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8625" yWindow="-15" windowWidth="8595" windowHeight="9825" tabRatio="703" firstSheet="16" activeTab="16"/>
  </bookViews>
  <sheets>
    <sheet name="Саидахмад МКР" sheetId="79" state="hidden" r:id="rId1"/>
    <sheet name="Бонки влож(без курс разн)" sheetId="76" state="hidden" r:id="rId2"/>
    <sheet name="Общ свод район (пог+выд)сомони" sheetId="60" state="hidden" r:id="rId3"/>
    <sheet name="район без курсовой" sheetId="48" state="hidden" r:id="rId4"/>
    <sheet name="общ.сводрайон без курсовой " sheetId="44" state="hidden" r:id="rId5"/>
    <sheet name="Кредит Инвест(карзи хурд)" sheetId="50" state="hidden" r:id="rId6"/>
    <sheet name="Чужие" sheetId="54" state="hidden" r:id="rId7"/>
    <sheet name="Черновики" sheetId="77" state="hidden" r:id="rId8"/>
    <sheet name="По месяцам" sheetId="31" state="hidden" r:id="rId9"/>
    <sheet name="СВОД по банк,ТМГ, чамъият, ТМХ" sheetId="18" state="hidden" r:id="rId10"/>
    <sheet name="Свод куҳистон(хурд)" sheetId="47" state="hidden" r:id="rId11"/>
    <sheet name="хамаги обший ва хурд" sheetId="69" state="hidden" r:id="rId12"/>
    <sheet name="без курсовой обш и карзи хурд" sheetId="52" state="hidden" r:id="rId13"/>
    <sheet name="сверкаКарзи хурд (пог+выд)" sheetId="59" state="hidden" r:id="rId14"/>
    <sheet name="Маълумот бонк ҷам қарз" sheetId="4" state="hidden" r:id="rId15"/>
    <sheet name="2015 Кӯҳистон(Общ)" sheetId="65" state="hidden" r:id="rId16"/>
    <sheet name="Лист1" sheetId="90" r:id="rId17"/>
    <sheet name="по районам с 2010 бе курб" sheetId="88" state="hidden" r:id="rId18"/>
    <sheet name="аз руи ВИЛОЯТХО 2016" sheetId="68" state="hidden" r:id="rId19"/>
    <sheet name="Кӯҳистон" sheetId="34" state="hidden" r:id="rId20"/>
    <sheet name="Кӯҳистон (Общий)" sheetId="46" state="hidden" r:id="rId21"/>
    <sheet name="Лист4" sheetId="70" state="hidden" r:id="rId22"/>
    <sheet name="Минтақа Ҷумҳурӣ" sheetId="35" state="hidden" r:id="rId23"/>
  </sheets>
  <externalReferences>
    <externalReference r:id="rId24"/>
    <externalReference r:id="rId25"/>
    <externalReference r:id="rId26"/>
    <externalReference r:id="rId27"/>
  </externalReferences>
  <definedNames>
    <definedName name="_xlnm._FilterDatabase" localSheetId="16" hidden="1">Лист1!$A$1:$AL$75</definedName>
    <definedName name="_xlnm.Print_Titles" localSheetId="19">Кӯҳистон!$3:$3</definedName>
    <definedName name="_xlnm.Print_Titles" localSheetId="16">Лист1!$3:$4</definedName>
    <definedName name="_xlnm.Print_Titles" localSheetId="14">'Маълумот бонк ҷам қарз'!$4:$5</definedName>
    <definedName name="_xlnm.Print_Titles" localSheetId="2">'Общ свод район (пог+выд)сомони'!$5:$7</definedName>
    <definedName name="_xlnm.Print_Titles" localSheetId="4">'общ.сводрайон без курсовой '!$5:$7</definedName>
    <definedName name="_xlnm.Print_Titles" localSheetId="17">'по районам с 2010 бе курб'!$2:$5</definedName>
    <definedName name="_xlnm.Print_Titles" localSheetId="3">'район без курсовой'!$5:$7</definedName>
    <definedName name="_xlnm.Print_Titles" localSheetId="13">'сверкаКарзи хурд (пог+выд)'!$6:$8</definedName>
    <definedName name="_xlnm.Print_Titles" localSheetId="9">'СВОД по банк,ТМГ, чамъият, ТМХ'!$4:$7</definedName>
    <definedName name="_xlnm.Print_Area" localSheetId="18">'аз руи ВИЛОЯТХО 2016'!$B$2:$G$12</definedName>
    <definedName name="_xlnm.Print_Area" localSheetId="12">'без курсовой обш и карзи хурд'!$A$4:$E$85</definedName>
    <definedName name="_xlnm.Print_Area" localSheetId="1">'Бонки влож(без курс разн)'!$B$2:$I$36</definedName>
    <definedName name="_xlnm.Print_Area" localSheetId="19">Кӯҳистон!$A$1:$F$45</definedName>
    <definedName name="_xlnm.Print_Area" localSheetId="20">'Кӯҳистон (Общий)'!$B$1:$H$46</definedName>
    <definedName name="_xlnm.Print_Area" localSheetId="16">Лист1!$A$1:$AI$75</definedName>
    <definedName name="_xlnm.Print_Area" localSheetId="21">Лист4!$B$1:$F$24</definedName>
    <definedName name="_xlnm.Print_Area" localSheetId="14">'Маълумот бонк ҷам қарз'!$A$1:$H$93</definedName>
    <definedName name="_xlnm.Print_Area" localSheetId="22">'Минтақа Ҷумҳурӣ'!$A$4:$F$28</definedName>
    <definedName name="_xlnm.Print_Area" localSheetId="2">'Общ свод район (пог+выд)сомони'!$A$1:$H$99</definedName>
    <definedName name="_xlnm.Print_Area" localSheetId="4">'общ.сводрайон без курсовой '!$A$1:$F$93</definedName>
    <definedName name="_xlnm.Print_Area" localSheetId="8">'По месяцам'!$A$1:$P$37</definedName>
    <definedName name="_xlnm.Print_Area" localSheetId="17">'по районам с 2010 бе курб'!$A$1:$M$82</definedName>
    <definedName name="_xlnm.Print_Area" localSheetId="3">'район без курсовой'!$A$1:$F$94</definedName>
    <definedName name="_xlnm.Print_Area" localSheetId="13">'сверкаКарзи хурд (пог+выд)'!$A$4:$D$86</definedName>
    <definedName name="_xlnm.Print_Area" localSheetId="10">'Свод куҳистон(хурд)'!$A$1:$H$92</definedName>
    <definedName name="_xlnm.Print_Area" localSheetId="9">'СВОД по банк,ТМГ, чамъият, ТМХ'!$A$1:$E$87</definedName>
    <definedName name="_xlnm.Print_Area" localSheetId="11">'хамаги обший ва хурд'!$A$4:$D$86</definedName>
  </definedNames>
  <calcPr calcId="124519"/>
</workbook>
</file>

<file path=xl/calcChain.xml><?xml version="1.0" encoding="utf-8"?>
<calcChain xmlns="http://schemas.openxmlformats.org/spreadsheetml/2006/main">
  <c r="AJ10" i="90"/>
  <c r="AH69"/>
  <c r="AI69"/>
  <c r="AH70"/>
  <c r="AI70"/>
  <c r="AH71"/>
  <c r="AI71"/>
  <c r="AH72"/>
  <c r="AI72"/>
  <c r="AH73"/>
  <c r="AI73"/>
  <c r="AH74"/>
  <c r="AI74"/>
  <c r="AI68"/>
  <c r="AH68"/>
  <c r="AI67"/>
  <c r="AH67"/>
  <c r="AH43"/>
  <c r="AI43"/>
  <c r="AH44"/>
  <c r="AI44"/>
  <c r="AH45"/>
  <c r="AI45"/>
  <c r="AH46"/>
  <c r="AI46"/>
  <c r="AH47"/>
  <c r="AI47"/>
  <c r="AH48"/>
  <c r="AI48"/>
  <c r="AH49"/>
  <c r="AI49"/>
  <c r="AH50"/>
  <c r="AI50"/>
  <c r="AH51"/>
  <c r="AI51"/>
  <c r="AH52"/>
  <c r="AI52"/>
  <c r="AH53"/>
  <c r="AI53"/>
  <c r="AH54"/>
  <c r="AI54"/>
  <c r="AH55"/>
  <c r="AI55"/>
  <c r="AH56"/>
  <c r="AI56"/>
  <c r="AH57"/>
  <c r="AI57"/>
  <c r="AH58"/>
  <c r="AI58"/>
  <c r="AH59"/>
  <c r="AI59"/>
  <c r="AH60"/>
  <c r="AI60"/>
  <c r="AH61"/>
  <c r="AI61"/>
  <c r="AH62"/>
  <c r="AI62"/>
  <c r="AH63"/>
  <c r="AI63"/>
  <c r="AH64"/>
  <c r="AI64"/>
  <c r="AH65"/>
  <c r="AI65"/>
  <c r="AI42"/>
  <c r="AH42"/>
  <c r="AI41"/>
  <c r="AH41"/>
  <c r="AH25"/>
  <c r="AI25"/>
  <c r="AH26"/>
  <c r="AI26"/>
  <c r="AH27"/>
  <c r="AI27"/>
  <c r="AH28"/>
  <c r="AI28"/>
  <c r="AH29"/>
  <c r="AI29"/>
  <c r="AH30"/>
  <c r="AI30"/>
  <c r="AH31"/>
  <c r="AI31"/>
  <c r="AH32"/>
  <c r="AI32"/>
  <c r="AH33"/>
  <c r="AI33"/>
  <c r="AH34"/>
  <c r="AI34"/>
  <c r="AH35"/>
  <c r="AI35"/>
  <c r="AH36"/>
  <c r="AI36"/>
  <c r="AH37"/>
  <c r="AI37"/>
  <c r="AH38"/>
  <c r="AI38"/>
  <c r="AH39"/>
  <c r="AI39"/>
  <c r="AI24"/>
  <c r="AH24"/>
  <c r="AI23"/>
  <c r="AH23"/>
  <c r="AI22"/>
  <c r="AH22"/>
  <c r="AH15"/>
  <c r="AI15"/>
  <c r="AH16"/>
  <c r="AI16"/>
  <c r="AH17"/>
  <c r="AI17"/>
  <c r="AH18"/>
  <c r="AI18"/>
  <c r="AH19"/>
  <c r="AI19"/>
  <c r="AH20"/>
  <c r="AI20"/>
  <c r="AI14"/>
  <c r="AH14"/>
  <c r="AI13"/>
  <c r="AH13"/>
  <c r="AH8"/>
  <c r="AI8"/>
  <c r="AH9"/>
  <c r="AI9"/>
  <c r="AH10"/>
  <c r="AH11"/>
  <c r="AI11"/>
  <c r="AI7"/>
  <c r="AH7"/>
  <c r="AI6"/>
  <c r="AH6"/>
  <c r="AG40" l="1"/>
  <c r="AG66"/>
  <c r="AG21"/>
  <c r="AG12"/>
  <c r="AG75"/>
  <c r="AI75" l="1"/>
  <c r="AH75"/>
  <c r="AI66"/>
  <c r="AH66"/>
  <c r="AI40"/>
  <c r="AH40"/>
  <c r="AI21"/>
  <c r="AH21"/>
  <c r="AH12"/>
  <c r="AI12"/>
  <c r="AG5"/>
  <c r="D79" i="88"/>
  <c r="E79"/>
  <c r="F79"/>
  <c r="G79"/>
  <c r="H79"/>
  <c r="J79"/>
  <c r="K79"/>
  <c r="C79"/>
  <c r="D59"/>
  <c r="E59"/>
  <c r="F59"/>
  <c r="G59"/>
  <c r="H59"/>
  <c r="J59"/>
  <c r="K59"/>
  <c r="C59"/>
  <c r="D32"/>
  <c r="E32"/>
  <c r="F32"/>
  <c r="G32"/>
  <c r="H32"/>
  <c r="J32"/>
  <c r="D22"/>
  <c r="E22"/>
  <c r="F22"/>
  <c r="G22"/>
  <c r="H22"/>
  <c r="J22"/>
  <c r="C22"/>
  <c r="C32"/>
  <c r="H15"/>
  <c r="G15"/>
  <c r="F15"/>
  <c r="E15"/>
  <c r="D15"/>
  <c r="C15"/>
  <c r="C82" s="1"/>
  <c r="AH5" i="90" l="1"/>
  <c r="AI5"/>
  <c r="D82" i="88"/>
  <c r="H82"/>
  <c r="G82"/>
  <c r="F82"/>
  <c r="E82"/>
  <c r="M81"/>
  <c r="L81"/>
  <c r="M78"/>
  <c r="L78"/>
  <c r="M77"/>
  <c r="L77"/>
  <c r="M76"/>
  <c r="L76"/>
  <c r="M75"/>
  <c r="L75"/>
  <c r="M74"/>
  <c r="L74"/>
  <c r="M73"/>
  <c r="L73"/>
  <c r="M72"/>
  <c r="L72"/>
  <c r="M71"/>
  <c r="L71"/>
  <c r="M70"/>
  <c r="L70"/>
  <c r="M69"/>
  <c r="L69"/>
  <c r="M68"/>
  <c r="L68"/>
  <c r="M67"/>
  <c r="L67"/>
  <c r="M66"/>
  <c r="L66"/>
  <c r="M65"/>
  <c r="L65"/>
  <c r="M64"/>
  <c r="L64"/>
  <c r="M63"/>
  <c r="L63"/>
  <c r="M62"/>
  <c r="L62"/>
  <c r="M61"/>
  <c r="L61"/>
  <c r="M58"/>
  <c r="L58"/>
  <c r="M57"/>
  <c r="L57"/>
  <c r="M56"/>
  <c r="L56"/>
  <c r="M55"/>
  <c r="L55"/>
  <c r="M54"/>
  <c r="L54"/>
  <c r="M53"/>
  <c r="L53"/>
  <c r="M52"/>
  <c r="L52"/>
  <c r="M51"/>
  <c r="L51"/>
  <c r="M50"/>
  <c r="L50"/>
  <c r="M49"/>
  <c r="L49"/>
  <c r="M48"/>
  <c r="L48"/>
  <c r="M47"/>
  <c r="L47"/>
  <c r="M46"/>
  <c r="L46"/>
  <c r="M45"/>
  <c r="L45"/>
  <c r="M44"/>
  <c r="L44"/>
  <c r="M43"/>
  <c r="L43"/>
  <c r="M42"/>
  <c r="L42"/>
  <c r="M41"/>
  <c r="L41"/>
  <c r="M40"/>
  <c r="L40"/>
  <c r="M39"/>
  <c r="L39"/>
  <c r="M38"/>
  <c r="L38"/>
  <c r="M37"/>
  <c r="L37"/>
  <c r="M36"/>
  <c r="L36"/>
  <c r="M35"/>
  <c r="L35"/>
  <c r="M34"/>
  <c r="L34"/>
  <c r="M31"/>
  <c r="L31"/>
  <c r="M30"/>
  <c r="L30"/>
  <c r="M29"/>
  <c r="L29"/>
  <c r="M28"/>
  <c r="L28"/>
  <c r="M27"/>
  <c r="L27"/>
  <c r="M26"/>
  <c r="L26"/>
  <c r="M25"/>
  <c r="L25"/>
  <c r="M24"/>
  <c r="L24"/>
  <c r="M21"/>
  <c r="L21"/>
  <c r="M20"/>
  <c r="L20"/>
  <c r="M19"/>
  <c r="L19"/>
  <c r="M18"/>
  <c r="L18"/>
  <c r="M17"/>
  <c r="L17"/>
  <c r="M14"/>
  <c r="L14"/>
  <c r="M13"/>
  <c r="L13"/>
  <c r="M12"/>
  <c r="L12"/>
  <c r="M11"/>
  <c r="L11"/>
  <c r="M10"/>
  <c r="L10"/>
  <c r="M9"/>
  <c r="L9"/>
  <c r="M8"/>
  <c r="L8"/>
  <c r="M7"/>
  <c r="L7"/>
  <c r="I79"/>
  <c r="K32"/>
  <c r="I32"/>
  <c r="K22"/>
  <c r="I22"/>
  <c r="K15"/>
  <c r="J15"/>
  <c r="J82" s="1"/>
  <c r="I15"/>
  <c r="I59" l="1"/>
  <c r="I82" s="1"/>
  <c r="L79"/>
  <c r="L59"/>
  <c r="L32"/>
  <c r="L22"/>
  <c r="L15"/>
  <c r="M79"/>
  <c r="M59"/>
  <c r="M32"/>
  <c r="M22"/>
  <c r="M15"/>
  <c r="K82"/>
  <c r="L82" l="1"/>
  <c r="M82"/>
  <c r="C28" i="65"/>
  <c r="C24"/>
  <c r="C17"/>
  <c r="E83" i="52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61" s="1"/>
  <c r="E33"/>
  <c r="E32"/>
  <c r="E31"/>
  <c r="E30"/>
  <c r="E29"/>
  <c r="E28"/>
  <c r="E27"/>
  <c r="E26"/>
  <c r="E23"/>
  <c r="E22"/>
  <c r="E21"/>
  <c r="E20"/>
  <c r="E19"/>
  <c r="E16"/>
  <c r="E15"/>
  <c r="E14"/>
  <c r="E13"/>
  <c r="E12"/>
  <c r="E11"/>
  <c r="E10"/>
  <c r="E9"/>
  <c r="E17" s="1"/>
  <c r="G17" s="1"/>
  <c r="D84" i="59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62" s="1"/>
  <c r="D34"/>
  <c r="D33"/>
  <c r="D32"/>
  <c r="D31"/>
  <c r="D30"/>
  <c r="D29"/>
  <c r="D28"/>
  <c r="D27"/>
  <c r="D24"/>
  <c r="D23"/>
  <c r="D22"/>
  <c r="D21"/>
  <c r="D20"/>
  <c r="D17"/>
  <c r="D16"/>
  <c r="D15"/>
  <c r="D14"/>
  <c r="D13"/>
  <c r="D12"/>
  <c r="D11"/>
  <c r="D10"/>
  <c r="D10" i="69"/>
  <c r="D11"/>
  <c r="D12"/>
  <c r="D13"/>
  <c r="D14"/>
  <c r="D15"/>
  <c r="H15" s="1"/>
  <c r="D16"/>
  <c r="H16" s="1"/>
  <c r="D17"/>
  <c r="D64"/>
  <c r="D65"/>
  <c r="D66"/>
  <c r="D67"/>
  <c r="D68"/>
  <c r="D69"/>
  <c r="D70"/>
  <c r="D71"/>
  <c r="D72"/>
  <c r="D73"/>
  <c r="H73" s="1"/>
  <c r="D74"/>
  <c r="H74" s="1"/>
  <c r="D75"/>
  <c r="H75" s="1"/>
  <c r="D76"/>
  <c r="D77"/>
  <c r="D78"/>
  <c r="D79"/>
  <c r="D80"/>
  <c r="D81"/>
  <c r="G84"/>
  <c r="G81"/>
  <c r="G80"/>
  <c r="G79"/>
  <c r="H79" s="1"/>
  <c r="G78"/>
  <c r="G77"/>
  <c r="H77" s="1"/>
  <c r="G76"/>
  <c r="G75"/>
  <c r="G74"/>
  <c r="G73"/>
  <c r="G72"/>
  <c r="G71"/>
  <c r="G70"/>
  <c r="G69"/>
  <c r="G68"/>
  <c r="G67"/>
  <c r="H67" s="1"/>
  <c r="G66"/>
  <c r="G65"/>
  <c r="H65" s="1"/>
  <c r="G64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62" s="1"/>
  <c r="G34"/>
  <c r="G33"/>
  <c r="G32"/>
  <c r="G31"/>
  <c r="G30"/>
  <c r="G29"/>
  <c r="G28"/>
  <c r="G27"/>
  <c r="G24"/>
  <c r="G23"/>
  <c r="H23" s="1"/>
  <c r="G22"/>
  <c r="G21"/>
  <c r="G20"/>
  <c r="G17"/>
  <c r="G16"/>
  <c r="G15"/>
  <c r="G14"/>
  <c r="G13"/>
  <c r="G12"/>
  <c r="G11"/>
  <c r="H11" s="1"/>
  <c r="G10"/>
  <c r="D20"/>
  <c r="H20" s="1"/>
  <c r="D21"/>
  <c r="D22"/>
  <c r="D23"/>
  <c r="D24"/>
  <c r="D27"/>
  <c r="D28"/>
  <c r="D29"/>
  <c r="D30"/>
  <c r="D31"/>
  <c r="D32"/>
  <c r="H32" s="1"/>
  <c r="D33"/>
  <c r="D34"/>
  <c r="H34" s="1"/>
  <c r="D37"/>
  <c r="D38"/>
  <c r="D39"/>
  <c r="D40"/>
  <c r="D41"/>
  <c r="D42"/>
  <c r="D43"/>
  <c r="D44"/>
  <c r="D45"/>
  <c r="D46"/>
  <c r="D47"/>
  <c r="D48"/>
  <c r="H48" s="1"/>
  <c r="D49"/>
  <c r="D50"/>
  <c r="D51"/>
  <c r="D52"/>
  <c r="D53"/>
  <c r="D54"/>
  <c r="D55"/>
  <c r="D56"/>
  <c r="D57"/>
  <c r="D58"/>
  <c r="D59"/>
  <c r="D60"/>
  <c r="H60" s="1"/>
  <c r="D61"/>
  <c r="D82"/>
  <c r="D84"/>
  <c r="E9" i="18"/>
  <c r="E10"/>
  <c r="E11"/>
  <c r="E12"/>
  <c r="E13"/>
  <c r="E14"/>
  <c r="E15"/>
  <c r="E16"/>
  <c r="G5" i="76"/>
  <c r="J5" s="1"/>
  <c r="I5" i="48"/>
  <c r="E28" i="76"/>
  <c r="F10"/>
  <c r="I10"/>
  <c r="I18"/>
  <c r="H42" i="44"/>
  <c r="H84"/>
  <c r="E21" i="35"/>
  <c r="D21"/>
  <c r="H84" i="48"/>
  <c r="C9" i="79"/>
  <c r="B9" s="1"/>
  <c r="I17"/>
  <c r="L17" s="1"/>
  <c r="L25" s="1"/>
  <c r="I18"/>
  <c r="L18" s="1"/>
  <c r="I19"/>
  <c r="L19" s="1"/>
  <c r="I20"/>
  <c r="L20" s="1"/>
  <c r="I21"/>
  <c r="L21" s="1"/>
  <c r="I22"/>
  <c r="L22" s="1"/>
  <c r="I23"/>
  <c r="L23" s="1"/>
  <c r="I24"/>
  <c r="L24" s="1"/>
  <c r="F25"/>
  <c r="G25"/>
  <c r="H25"/>
  <c r="J25"/>
  <c r="K25"/>
  <c r="I27"/>
  <c r="L27" s="1"/>
  <c r="I28"/>
  <c r="L28" s="1"/>
  <c r="I29"/>
  <c r="L29" s="1"/>
  <c r="I30"/>
  <c r="L30" s="1"/>
  <c r="I31"/>
  <c r="L31" s="1"/>
  <c r="F32"/>
  <c r="G32"/>
  <c r="H32"/>
  <c r="J32"/>
  <c r="K32"/>
  <c r="I34"/>
  <c r="L34" s="1"/>
  <c r="I35"/>
  <c r="L35" s="1"/>
  <c r="I36"/>
  <c r="L36" s="1"/>
  <c r="I37"/>
  <c r="L37" s="1"/>
  <c r="I38"/>
  <c r="L38" s="1"/>
  <c r="I39"/>
  <c r="L39" s="1"/>
  <c r="I40"/>
  <c r="L40" s="1"/>
  <c r="I41"/>
  <c r="L41" s="1"/>
  <c r="F42"/>
  <c r="G42"/>
  <c r="H42"/>
  <c r="J42"/>
  <c r="K42"/>
  <c r="D44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91" s="1"/>
  <c r="D92" s="1"/>
  <c r="D93" s="1"/>
  <c r="D94" s="1"/>
  <c r="I44"/>
  <c r="L44" s="1"/>
  <c r="I45"/>
  <c r="L45" s="1"/>
  <c r="I46"/>
  <c r="L46" s="1"/>
  <c r="I47"/>
  <c r="L47" s="1"/>
  <c r="I48"/>
  <c r="L48" s="1"/>
  <c r="I49"/>
  <c r="L49" s="1"/>
  <c r="I50"/>
  <c r="L50"/>
  <c r="I51"/>
  <c r="L51"/>
  <c r="I52"/>
  <c r="L52" s="1"/>
  <c r="I53"/>
  <c r="L53" s="1"/>
  <c r="I54"/>
  <c r="L54"/>
  <c r="I55"/>
  <c r="L55"/>
  <c r="L56"/>
  <c r="I57"/>
  <c r="I58"/>
  <c r="L58" s="1"/>
  <c r="I59"/>
  <c r="L59" s="1"/>
  <c r="I60"/>
  <c r="L60" s="1"/>
  <c r="I61"/>
  <c r="L61" s="1"/>
  <c r="I62"/>
  <c r="L62" s="1"/>
  <c r="I63"/>
  <c r="L63" s="1"/>
  <c r="I64"/>
  <c r="L64" s="1"/>
  <c r="I65"/>
  <c r="L65" s="1"/>
  <c r="I66"/>
  <c r="L66" s="1"/>
  <c r="I67"/>
  <c r="L67" s="1"/>
  <c r="I68"/>
  <c r="L68" s="1"/>
  <c r="F69"/>
  <c r="G69"/>
  <c r="H69"/>
  <c r="J69"/>
  <c r="K69"/>
  <c r="I71"/>
  <c r="L71" s="1"/>
  <c r="I72"/>
  <c r="L72" s="1"/>
  <c r="I73"/>
  <c r="L73" s="1"/>
  <c r="L89" s="1"/>
  <c r="I74"/>
  <c r="L74"/>
  <c r="I75"/>
  <c r="L75"/>
  <c r="I76"/>
  <c r="L76" s="1"/>
  <c r="I77"/>
  <c r="L77" s="1"/>
  <c r="I78"/>
  <c r="L78" s="1"/>
  <c r="I79"/>
  <c r="L79" s="1"/>
  <c r="I80"/>
  <c r="L80"/>
  <c r="I81"/>
  <c r="L81"/>
  <c r="I82"/>
  <c r="L82" s="1"/>
  <c r="I83"/>
  <c r="L83" s="1"/>
  <c r="I84"/>
  <c r="L84" s="1"/>
  <c r="I85"/>
  <c r="L85" s="1"/>
  <c r="I86"/>
  <c r="L86"/>
  <c r="I87"/>
  <c r="L87"/>
  <c r="I88"/>
  <c r="L88" s="1"/>
  <c r="F89"/>
  <c r="G89"/>
  <c r="H89"/>
  <c r="J89"/>
  <c r="K89"/>
  <c r="I91"/>
  <c r="L91" s="1"/>
  <c r="I92"/>
  <c r="L92" s="1"/>
  <c r="I93"/>
  <c r="I94"/>
  <c r="L94" s="1"/>
  <c r="F95"/>
  <c r="G95"/>
  <c r="H95"/>
  <c r="J95"/>
  <c r="K95"/>
  <c r="H90" i="44"/>
  <c r="H88"/>
  <c r="G47" i="59"/>
  <c r="D11" i="70"/>
  <c r="D10"/>
  <c r="D9"/>
  <c r="D8"/>
  <c r="D10" i="47"/>
  <c r="E10"/>
  <c r="C10"/>
  <c r="E80" i="18"/>
  <c r="E79"/>
  <c r="E78"/>
  <c r="E77"/>
  <c r="E76"/>
  <c r="E75"/>
  <c r="E74"/>
  <c r="E73"/>
  <c r="E72"/>
  <c r="E71"/>
  <c r="E70"/>
  <c r="E69"/>
  <c r="E68"/>
  <c r="E67"/>
  <c r="E66"/>
  <c r="E65"/>
  <c r="E64"/>
  <c r="E63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61" s="1"/>
  <c r="E33"/>
  <c r="E32"/>
  <c r="E31"/>
  <c r="E30"/>
  <c r="E29"/>
  <c r="E28"/>
  <c r="E27"/>
  <c r="E26"/>
  <c r="E34" s="1"/>
  <c r="F34" s="1"/>
  <c r="E23"/>
  <c r="E22"/>
  <c r="E21"/>
  <c r="E20"/>
  <c r="E19"/>
  <c r="E24" s="1"/>
  <c r="F24" s="1"/>
  <c r="D82" i="59"/>
  <c r="D35"/>
  <c r="D18"/>
  <c r="D25"/>
  <c r="E81" i="18"/>
  <c r="F81" s="1"/>
  <c r="D14" i="35"/>
  <c r="D13"/>
  <c r="D12"/>
  <c r="D43" i="65"/>
  <c r="D42"/>
  <c r="D41"/>
  <c r="D40"/>
  <c r="D38"/>
  <c r="D34"/>
  <c r="D33"/>
  <c r="D32"/>
  <c r="D31"/>
  <c r="D29"/>
  <c r="D25"/>
  <c r="D20"/>
  <c r="D18"/>
  <c r="D8"/>
  <c r="D7"/>
  <c r="D6"/>
  <c r="C38"/>
  <c r="C34"/>
  <c r="C33"/>
  <c r="C32"/>
  <c r="C31"/>
  <c r="C30"/>
  <c r="C29"/>
  <c r="C25"/>
  <c r="C23"/>
  <c r="C20"/>
  <c r="C19"/>
  <c r="C18"/>
  <c r="C16"/>
  <c r="C13"/>
  <c r="C12"/>
  <c r="C11"/>
  <c r="C10"/>
  <c r="C9"/>
  <c r="C8"/>
  <c r="C7"/>
  <c r="C6"/>
  <c r="F3"/>
  <c r="E3"/>
  <c r="D3"/>
  <c r="C3"/>
  <c r="E8" i="35"/>
  <c r="D8"/>
  <c r="B5"/>
  <c r="E4" i="70"/>
  <c r="D4"/>
  <c r="B1"/>
  <c r="B1" i="34"/>
  <c r="C1" i="46"/>
  <c r="G5" i="68"/>
  <c r="F5"/>
  <c r="E5"/>
  <c r="D5"/>
  <c r="B2"/>
  <c r="A1" i="65"/>
  <c r="A2" i="18"/>
  <c r="G4" i="4"/>
  <c r="F4"/>
  <c r="E4"/>
  <c r="D4"/>
  <c r="D2"/>
  <c r="F4" i="47"/>
  <c r="E4"/>
  <c r="D4"/>
  <c r="C4"/>
  <c r="C3"/>
  <c r="C5" i="52"/>
  <c r="F5" i="44"/>
  <c r="E5"/>
  <c r="D5"/>
  <c r="C5"/>
  <c r="C4"/>
  <c r="F5" i="48"/>
  <c r="E5"/>
  <c r="D5"/>
  <c r="C5"/>
  <c r="C4"/>
  <c r="B5" i="59"/>
  <c r="B5" i="69"/>
  <c r="F5" i="60"/>
  <c r="E5"/>
  <c r="D5"/>
  <c r="C5"/>
  <c r="C4"/>
  <c r="F5" i="76"/>
  <c r="E5"/>
  <c r="D5"/>
  <c r="C4"/>
  <c r="K25" i="60"/>
  <c r="J92"/>
  <c r="J91"/>
  <c r="J82"/>
  <c r="J62"/>
  <c r="D20" i="31"/>
  <c r="D30"/>
  <c r="D33"/>
  <c r="P18"/>
  <c r="P9"/>
  <c r="P10"/>
  <c r="P11"/>
  <c r="P12"/>
  <c r="P13"/>
  <c r="P14"/>
  <c r="P15"/>
  <c r="P16"/>
  <c r="P17"/>
  <c r="P19"/>
  <c r="P35"/>
  <c r="P22"/>
  <c r="P23"/>
  <c r="P24"/>
  <c r="P25"/>
  <c r="P26"/>
  <c r="P27"/>
  <c r="P28"/>
  <c r="P29"/>
  <c r="P32"/>
  <c r="P33" s="1"/>
  <c r="I33"/>
  <c r="H33"/>
  <c r="G33"/>
  <c r="F33"/>
  <c r="O33"/>
  <c r="O37" s="1"/>
  <c r="N33"/>
  <c r="N37" s="1"/>
  <c r="M33"/>
  <c r="M37" s="1"/>
  <c r="L33"/>
  <c r="L37" s="1"/>
  <c r="K33"/>
  <c r="J33"/>
  <c r="O30"/>
  <c r="N30"/>
  <c r="M30"/>
  <c r="L30"/>
  <c r="K30"/>
  <c r="J30"/>
  <c r="I30"/>
  <c r="H30"/>
  <c r="G30"/>
  <c r="F30"/>
  <c r="E30"/>
  <c r="E20"/>
  <c r="E33"/>
  <c r="E37"/>
  <c r="K37"/>
  <c r="J20"/>
  <c r="J37" s="1"/>
  <c r="I20"/>
  <c r="I37"/>
  <c r="H20"/>
  <c r="G20"/>
  <c r="F20"/>
  <c r="BI87" i="77"/>
  <c r="BI81"/>
  <c r="BI61"/>
  <c r="BI34"/>
  <c r="BI17"/>
  <c r="BI24"/>
  <c r="BJ87"/>
  <c r="BJ89" s="1"/>
  <c r="BJ81"/>
  <c r="BJ61"/>
  <c r="BJ34"/>
  <c r="BJ17"/>
  <c r="BJ24"/>
  <c r="AV83"/>
  <c r="AV84"/>
  <c r="AV85"/>
  <c r="AV86"/>
  <c r="AV87" s="1"/>
  <c r="AS63"/>
  <c r="AV63"/>
  <c r="AV64"/>
  <c r="AV65"/>
  <c r="AV67"/>
  <c r="AS68"/>
  <c r="AV69"/>
  <c r="AV70"/>
  <c r="AS71"/>
  <c r="AV71"/>
  <c r="AV72"/>
  <c r="AV73"/>
  <c r="AV74"/>
  <c r="AS75"/>
  <c r="AS76"/>
  <c r="AV76" s="1"/>
  <c r="AV77"/>
  <c r="AV78"/>
  <c r="AV79"/>
  <c r="AS80"/>
  <c r="AV80" s="1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V56"/>
  <c r="AV57"/>
  <c r="AV58"/>
  <c r="AV59"/>
  <c r="AV60"/>
  <c r="AV26"/>
  <c r="AV27"/>
  <c r="AV28"/>
  <c r="AV29"/>
  <c r="AV30"/>
  <c r="AV31"/>
  <c r="AV32"/>
  <c r="AV33"/>
  <c r="AV9"/>
  <c r="AV10"/>
  <c r="AV11"/>
  <c r="AV12"/>
  <c r="AV13"/>
  <c r="AV14"/>
  <c r="AV15"/>
  <c r="AV16"/>
  <c r="AV19"/>
  <c r="AV20"/>
  <c r="AV21"/>
  <c r="AV22"/>
  <c r="AV23"/>
  <c r="AW87"/>
  <c r="AW81"/>
  <c r="AW61"/>
  <c r="AW34"/>
  <c r="AW17"/>
  <c r="AW24"/>
  <c r="AW89"/>
  <c r="AX87"/>
  <c r="AX81"/>
  <c r="AX61"/>
  <c r="AX34"/>
  <c r="AX17"/>
  <c r="AX24"/>
  <c r="AS87"/>
  <c r="AS61"/>
  <c r="AS34"/>
  <c r="AS17"/>
  <c r="AS24"/>
  <c r="AU87"/>
  <c r="AU81"/>
  <c r="AU61"/>
  <c r="AU34"/>
  <c r="AU17"/>
  <c r="AU24"/>
  <c r="DE87"/>
  <c r="DE81"/>
  <c r="DE61"/>
  <c r="DE34"/>
  <c r="DE17"/>
  <c r="DE24"/>
  <c r="DF87"/>
  <c r="DF81"/>
  <c r="DF61"/>
  <c r="DF34"/>
  <c r="DF17"/>
  <c r="DF24"/>
  <c r="EC87"/>
  <c r="EC81"/>
  <c r="EC61"/>
  <c r="EC34"/>
  <c r="EC17"/>
  <c r="EC24"/>
  <c r="ED87"/>
  <c r="ED81"/>
  <c r="ED61"/>
  <c r="ED34"/>
  <c r="ED17"/>
  <c r="ED24"/>
  <c r="CY87"/>
  <c r="CY81"/>
  <c r="CY61"/>
  <c r="CY34"/>
  <c r="CY17"/>
  <c r="CY24"/>
  <c r="CY89" s="1"/>
  <c r="CX91" s="1"/>
  <c r="CX93" s="1"/>
  <c r="CZ87"/>
  <c r="CZ81"/>
  <c r="CZ89" s="1"/>
  <c r="CZ61"/>
  <c r="CZ34"/>
  <c r="CZ17"/>
  <c r="CZ24"/>
  <c r="CS87"/>
  <c r="CS81"/>
  <c r="CS61"/>
  <c r="CS34"/>
  <c r="CS17"/>
  <c r="CS24"/>
  <c r="CT87"/>
  <c r="CT81"/>
  <c r="CT61"/>
  <c r="CT34"/>
  <c r="CT17"/>
  <c r="CT24"/>
  <c r="CM87"/>
  <c r="CM81"/>
  <c r="CM61"/>
  <c r="CM34"/>
  <c r="CM17"/>
  <c r="CM24"/>
  <c r="CM89" s="1"/>
  <c r="CN87"/>
  <c r="CN81"/>
  <c r="CN61"/>
  <c r="CN34"/>
  <c r="CN17"/>
  <c r="CN24"/>
  <c r="CG87"/>
  <c r="CG81"/>
  <c r="CG61"/>
  <c r="CG34"/>
  <c r="CG17"/>
  <c r="CG24"/>
  <c r="CG89" s="1"/>
  <c r="CH87"/>
  <c r="CH89" s="1"/>
  <c r="CH81"/>
  <c r="CH61"/>
  <c r="CH34"/>
  <c r="CH17"/>
  <c r="CH24"/>
  <c r="CA87"/>
  <c r="CA63"/>
  <c r="CA64"/>
  <c r="CA65"/>
  <c r="CA66"/>
  <c r="CA67"/>
  <c r="EO67" s="1"/>
  <c r="EU67" s="1"/>
  <c r="CA68"/>
  <c r="EO68" s="1"/>
  <c r="EU68" s="1"/>
  <c r="CA69"/>
  <c r="CA70"/>
  <c r="CA71"/>
  <c r="CA72"/>
  <c r="CA73"/>
  <c r="CA74"/>
  <c r="CA75"/>
  <c r="CA76"/>
  <c r="CA77"/>
  <c r="CA78"/>
  <c r="CA79"/>
  <c r="EO79" s="1"/>
  <c r="EU79" s="1"/>
  <c r="CA80"/>
  <c r="EO80" s="1"/>
  <c r="EU80" s="1"/>
  <c r="CA36"/>
  <c r="CA37"/>
  <c r="CA38"/>
  <c r="CA39"/>
  <c r="CA40"/>
  <c r="CA41"/>
  <c r="CA42"/>
  <c r="CA43"/>
  <c r="CA44"/>
  <c r="BZ45"/>
  <c r="CA45" s="1"/>
  <c r="CA46"/>
  <c r="EO46" s="1"/>
  <c r="EU46" s="1"/>
  <c r="CA47"/>
  <c r="CA48"/>
  <c r="CA49"/>
  <c r="CA50"/>
  <c r="CA51"/>
  <c r="CA52"/>
  <c r="CA53"/>
  <c r="CA54"/>
  <c r="CA55"/>
  <c r="CA56"/>
  <c r="CA57"/>
  <c r="CA58"/>
  <c r="EO58" s="1"/>
  <c r="EU58" s="1"/>
  <c r="CA59"/>
  <c r="CA60"/>
  <c r="BZ26"/>
  <c r="CA26" s="1"/>
  <c r="BZ28"/>
  <c r="CA28" s="1"/>
  <c r="BZ29"/>
  <c r="CA29" s="1"/>
  <c r="BZ30"/>
  <c r="CA30" s="1"/>
  <c r="CA9"/>
  <c r="CA10"/>
  <c r="CA11"/>
  <c r="CA12"/>
  <c r="EO12" s="1"/>
  <c r="EU12" s="1"/>
  <c r="CA13"/>
  <c r="EO13" s="1"/>
  <c r="EU13" s="1"/>
  <c r="CA14"/>
  <c r="EO14" s="1"/>
  <c r="EU14" s="1"/>
  <c r="CA15"/>
  <c r="CA16"/>
  <c r="CA19"/>
  <c r="CA20"/>
  <c r="CA21"/>
  <c r="CA22"/>
  <c r="CA23"/>
  <c r="CB87"/>
  <c r="CB81"/>
  <c r="CB61"/>
  <c r="CB34"/>
  <c r="CB17"/>
  <c r="CB24"/>
  <c r="BC87"/>
  <c r="BC81"/>
  <c r="BC61"/>
  <c r="BC34"/>
  <c r="BC17"/>
  <c r="BC24"/>
  <c r="BC89"/>
  <c r="BD87"/>
  <c r="BD81"/>
  <c r="BD61"/>
  <c r="BD34"/>
  <c r="BD17"/>
  <c r="BD24"/>
  <c r="BO83"/>
  <c r="BO84"/>
  <c r="BO85"/>
  <c r="BO86"/>
  <c r="BO64"/>
  <c r="BO65"/>
  <c r="BO66"/>
  <c r="BO67"/>
  <c r="BU67" s="1"/>
  <c r="BO68"/>
  <c r="BU68" s="1"/>
  <c r="BO69"/>
  <c r="BO70"/>
  <c r="BO71"/>
  <c r="BO72"/>
  <c r="BO73"/>
  <c r="BO74"/>
  <c r="BO75"/>
  <c r="BO76"/>
  <c r="BO77"/>
  <c r="BO78"/>
  <c r="BO79"/>
  <c r="BU79" s="1"/>
  <c r="BO80"/>
  <c r="BU80" s="1"/>
  <c r="BO36"/>
  <c r="BO37"/>
  <c r="BO38"/>
  <c r="BO39"/>
  <c r="BO40"/>
  <c r="BO41"/>
  <c r="BO42"/>
  <c r="BO43"/>
  <c r="BO44"/>
  <c r="BO45"/>
  <c r="BO46"/>
  <c r="BU46" s="1"/>
  <c r="BO47"/>
  <c r="BU47" s="1"/>
  <c r="BO48"/>
  <c r="BO49"/>
  <c r="BO50"/>
  <c r="BO51"/>
  <c r="BO52"/>
  <c r="BO53"/>
  <c r="BO54"/>
  <c r="BO55"/>
  <c r="BO56"/>
  <c r="BO57"/>
  <c r="BO58"/>
  <c r="BU58" s="1"/>
  <c r="BO59"/>
  <c r="BU59" s="1"/>
  <c r="BO60"/>
  <c r="BO26"/>
  <c r="BO27"/>
  <c r="BO28"/>
  <c r="BO29"/>
  <c r="BO30"/>
  <c r="BO31"/>
  <c r="BO32"/>
  <c r="BO33"/>
  <c r="BO34"/>
  <c r="BO9"/>
  <c r="BO17" s="1"/>
  <c r="BO10"/>
  <c r="BU10" s="1"/>
  <c r="BO11"/>
  <c r="BO12"/>
  <c r="BO13"/>
  <c r="BO14"/>
  <c r="BO15"/>
  <c r="BO16"/>
  <c r="BO19"/>
  <c r="BO20"/>
  <c r="BO21"/>
  <c r="BO22"/>
  <c r="BO23"/>
  <c r="BP83"/>
  <c r="BP84"/>
  <c r="BP85"/>
  <c r="BP86"/>
  <c r="BP63"/>
  <c r="BP64"/>
  <c r="BP65"/>
  <c r="BP66"/>
  <c r="BP67"/>
  <c r="BP68"/>
  <c r="BV68" s="1"/>
  <c r="BP69"/>
  <c r="BV69" s="1"/>
  <c r="BP70"/>
  <c r="BV70" s="1"/>
  <c r="BP71"/>
  <c r="BV71" s="1"/>
  <c r="BP72"/>
  <c r="BP73"/>
  <c r="BP74"/>
  <c r="BP75"/>
  <c r="BP76"/>
  <c r="BP77"/>
  <c r="BP78"/>
  <c r="BP79"/>
  <c r="BP80"/>
  <c r="BV80" s="1"/>
  <c r="BP81"/>
  <c r="BP36"/>
  <c r="BV36" s="1"/>
  <c r="BP37"/>
  <c r="BV37" s="1"/>
  <c r="BP38"/>
  <c r="BP39"/>
  <c r="BP40"/>
  <c r="BP41"/>
  <c r="BP42"/>
  <c r="BP43"/>
  <c r="BP44"/>
  <c r="BP45"/>
  <c r="BP46"/>
  <c r="BV46" s="1"/>
  <c r="BP47"/>
  <c r="BV47" s="1"/>
  <c r="BP48"/>
  <c r="BV48" s="1"/>
  <c r="BP49"/>
  <c r="BV49" s="1"/>
  <c r="BP50"/>
  <c r="BP51"/>
  <c r="BP52"/>
  <c r="BP53"/>
  <c r="BP54"/>
  <c r="BP55"/>
  <c r="BP56"/>
  <c r="BP57"/>
  <c r="BP58"/>
  <c r="BV58" s="1"/>
  <c r="BP59"/>
  <c r="BV59" s="1"/>
  <c r="BP60"/>
  <c r="BV60" s="1"/>
  <c r="BP61"/>
  <c r="BP26"/>
  <c r="BP27"/>
  <c r="BP28"/>
  <c r="BP29"/>
  <c r="BP30"/>
  <c r="BP31"/>
  <c r="BP32"/>
  <c r="BP33"/>
  <c r="BP9"/>
  <c r="BV9" s="1"/>
  <c r="BP10"/>
  <c r="BV10" s="1"/>
  <c r="BP11"/>
  <c r="BV11" s="1"/>
  <c r="BP12"/>
  <c r="BV12" s="1"/>
  <c r="BP13"/>
  <c r="BP14"/>
  <c r="BP15"/>
  <c r="BP16"/>
  <c r="BP19"/>
  <c r="BP20"/>
  <c r="BP21"/>
  <c r="BP22"/>
  <c r="BP23"/>
  <c r="BV23" s="1"/>
  <c r="AQ87"/>
  <c r="AQ81"/>
  <c r="AQ61"/>
  <c r="AQ34"/>
  <c r="AQ17"/>
  <c r="AQ24"/>
  <c r="AR87"/>
  <c r="AR81"/>
  <c r="AR61"/>
  <c r="AR34"/>
  <c r="AR17"/>
  <c r="AR24"/>
  <c r="AK87"/>
  <c r="AK81"/>
  <c r="AK61"/>
  <c r="AK34"/>
  <c r="AK17"/>
  <c r="AK24"/>
  <c r="AL87"/>
  <c r="AL81"/>
  <c r="AL61"/>
  <c r="AL34"/>
  <c r="AL17"/>
  <c r="AL24"/>
  <c r="AE87"/>
  <c r="AE81"/>
  <c r="AE61"/>
  <c r="AE34"/>
  <c r="AE17"/>
  <c r="AE24"/>
  <c r="AF87"/>
  <c r="AF81"/>
  <c r="AF61"/>
  <c r="AF34"/>
  <c r="AF17"/>
  <c r="AF24"/>
  <c r="Y87"/>
  <c r="Y81"/>
  <c r="Y61"/>
  <c r="Y34"/>
  <c r="Y17"/>
  <c r="Y24"/>
  <c r="Z87"/>
  <c r="Z81"/>
  <c r="Z61"/>
  <c r="Z34"/>
  <c r="Z17"/>
  <c r="Z24"/>
  <c r="S87"/>
  <c r="S81"/>
  <c r="S61"/>
  <c r="S34"/>
  <c r="S17"/>
  <c r="S24"/>
  <c r="T87"/>
  <c r="T81"/>
  <c r="T61"/>
  <c r="T34"/>
  <c r="T17"/>
  <c r="T24"/>
  <c r="M87"/>
  <c r="M81"/>
  <c r="M61"/>
  <c r="M34"/>
  <c r="M17"/>
  <c r="M24"/>
  <c r="N87"/>
  <c r="N81"/>
  <c r="N61"/>
  <c r="N34"/>
  <c r="N17"/>
  <c r="N24"/>
  <c r="G87"/>
  <c r="G81"/>
  <c r="G61"/>
  <c r="G34"/>
  <c r="G17"/>
  <c r="G24"/>
  <c r="H87"/>
  <c r="H81"/>
  <c r="H61"/>
  <c r="H34"/>
  <c r="H17"/>
  <c r="H24"/>
  <c r="DQ87"/>
  <c r="DQ81"/>
  <c r="DQ61"/>
  <c r="DQ34"/>
  <c r="DQ17"/>
  <c r="DQ24"/>
  <c r="DR87"/>
  <c r="DR81"/>
  <c r="DR61"/>
  <c r="DR34"/>
  <c r="DR17"/>
  <c r="DR24"/>
  <c r="BW83"/>
  <c r="BZ83" s="1"/>
  <c r="CF83"/>
  <c r="CF87" s="1"/>
  <c r="CI83"/>
  <c r="CL83" s="1"/>
  <c r="CR83"/>
  <c r="DA83"/>
  <c r="DD83" s="1"/>
  <c r="DP83"/>
  <c r="EB83"/>
  <c r="C83"/>
  <c r="F83" s="1"/>
  <c r="I83"/>
  <c r="L83" s="1"/>
  <c r="O83"/>
  <c r="R83" s="1"/>
  <c r="AA83"/>
  <c r="AD83" s="1"/>
  <c r="AJ83"/>
  <c r="AM83"/>
  <c r="AP83" s="1"/>
  <c r="AY83"/>
  <c r="BL83"/>
  <c r="BM83"/>
  <c r="BN83" s="1"/>
  <c r="BE83"/>
  <c r="BH83" s="1"/>
  <c r="BW84"/>
  <c r="BZ84" s="1"/>
  <c r="CI84"/>
  <c r="CL84" s="1"/>
  <c r="CR84"/>
  <c r="DA84"/>
  <c r="DD84" s="1"/>
  <c r="DP84"/>
  <c r="DZ84"/>
  <c r="EB84" s="1"/>
  <c r="C84"/>
  <c r="F84" s="1"/>
  <c r="F87" s="1"/>
  <c r="I84"/>
  <c r="L84" s="1"/>
  <c r="L87" s="1"/>
  <c r="O84"/>
  <c r="AA84"/>
  <c r="AD84" s="1"/>
  <c r="AJ84"/>
  <c r="AM84"/>
  <c r="AP84" s="1"/>
  <c r="AY84"/>
  <c r="BB84" s="1"/>
  <c r="BL84"/>
  <c r="BM84"/>
  <c r="BN84" s="1"/>
  <c r="BE84"/>
  <c r="BH84"/>
  <c r="BW85"/>
  <c r="BZ85"/>
  <c r="CR85"/>
  <c r="CR87" s="1"/>
  <c r="DA85"/>
  <c r="DP85"/>
  <c r="EB85"/>
  <c r="C85"/>
  <c r="F85" s="1"/>
  <c r="L85"/>
  <c r="O85"/>
  <c r="R85"/>
  <c r="AA85"/>
  <c r="AD85"/>
  <c r="AJ85"/>
  <c r="AM85"/>
  <c r="U85"/>
  <c r="X85" s="1"/>
  <c r="X87" s="1"/>
  <c r="AY85"/>
  <c r="BB85" s="1"/>
  <c r="BL85"/>
  <c r="BM85"/>
  <c r="BN85" s="1"/>
  <c r="BE85"/>
  <c r="BH85"/>
  <c r="BW86"/>
  <c r="BZ86"/>
  <c r="CF86"/>
  <c r="CI86"/>
  <c r="CL86" s="1"/>
  <c r="CR86"/>
  <c r="DA86"/>
  <c r="DP86"/>
  <c r="DP87" s="1"/>
  <c r="EB86"/>
  <c r="EB87" s="1"/>
  <c r="C86"/>
  <c r="F86" s="1"/>
  <c r="I86"/>
  <c r="L86" s="1"/>
  <c r="O86"/>
  <c r="R86" s="1"/>
  <c r="AA86"/>
  <c r="AD86" s="1"/>
  <c r="AJ86"/>
  <c r="AM86"/>
  <c r="AP86" s="1"/>
  <c r="U86"/>
  <c r="X86" s="1"/>
  <c r="AY86"/>
  <c r="BB86" s="1"/>
  <c r="BL86"/>
  <c r="BR86" s="1"/>
  <c r="BM86"/>
  <c r="BS86" s="1"/>
  <c r="BE86"/>
  <c r="BH86" s="1"/>
  <c r="CI63"/>
  <c r="CR63"/>
  <c r="CU63"/>
  <c r="CX63" s="1"/>
  <c r="DD63"/>
  <c r="EB63"/>
  <c r="C63"/>
  <c r="F63" s="1"/>
  <c r="I63"/>
  <c r="L63" s="1"/>
  <c r="O63"/>
  <c r="R63" s="1"/>
  <c r="AA63"/>
  <c r="AD63" s="1"/>
  <c r="AJ63"/>
  <c r="AP63"/>
  <c r="U63"/>
  <c r="X63" s="1"/>
  <c r="AY63"/>
  <c r="BB63" s="1"/>
  <c r="BK63"/>
  <c r="BL63"/>
  <c r="BM63"/>
  <c r="BH63"/>
  <c r="CR64"/>
  <c r="CX64"/>
  <c r="DD64"/>
  <c r="EB64"/>
  <c r="C64"/>
  <c r="F64" s="1"/>
  <c r="L64"/>
  <c r="R64"/>
  <c r="AD64"/>
  <c r="AJ64"/>
  <c r="AP64"/>
  <c r="X64"/>
  <c r="AY64"/>
  <c r="BB64" s="1"/>
  <c r="BL64"/>
  <c r="BM64"/>
  <c r="BH64"/>
  <c r="CR65"/>
  <c r="CX65"/>
  <c r="DD65"/>
  <c r="EB65"/>
  <c r="F65"/>
  <c r="L65"/>
  <c r="R65"/>
  <c r="AD65"/>
  <c r="AJ65"/>
  <c r="AP65"/>
  <c r="X65"/>
  <c r="BB65"/>
  <c r="BL65"/>
  <c r="BM65"/>
  <c r="BS65" s="1"/>
  <c r="BH65"/>
  <c r="EB66"/>
  <c r="EN66" s="1"/>
  <c r="R66"/>
  <c r="AY66"/>
  <c r="BB66" s="1"/>
  <c r="BL66"/>
  <c r="BM66"/>
  <c r="CR67"/>
  <c r="CX67"/>
  <c r="DD67"/>
  <c r="EB67"/>
  <c r="F67"/>
  <c r="L67"/>
  <c r="R67"/>
  <c r="AD67"/>
  <c r="AJ67"/>
  <c r="AP67"/>
  <c r="X67"/>
  <c r="BB67"/>
  <c r="BL67"/>
  <c r="BM67"/>
  <c r="BH67"/>
  <c r="CR68"/>
  <c r="CX68"/>
  <c r="DD68"/>
  <c r="EB68"/>
  <c r="EN68" s="1"/>
  <c r="C68"/>
  <c r="BQ68" s="1"/>
  <c r="F68"/>
  <c r="I68"/>
  <c r="L68"/>
  <c r="R68"/>
  <c r="AD68"/>
  <c r="AJ68"/>
  <c r="AP68"/>
  <c r="X68"/>
  <c r="BB68"/>
  <c r="BL68"/>
  <c r="BR68" s="1"/>
  <c r="BM68"/>
  <c r="BN68" s="1"/>
  <c r="BE68"/>
  <c r="BH68" s="1"/>
  <c r="CR69"/>
  <c r="CX69"/>
  <c r="DD69"/>
  <c r="EB69"/>
  <c r="C69"/>
  <c r="F69" s="1"/>
  <c r="I69"/>
  <c r="L69" s="1"/>
  <c r="R69"/>
  <c r="AA69"/>
  <c r="AD69" s="1"/>
  <c r="AJ69"/>
  <c r="AP69"/>
  <c r="U69"/>
  <c r="AY69"/>
  <c r="BB69" s="1"/>
  <c r="BL69"/>
  <c r="BM69"/>
  <c r="BH69"/>
  <c r="CR70"/>
  <c r="CX70"/>
  <c r="DD70"/>
  <c r="EB70"/>
  <c r="C70"/>
  <c r="F70" s="1"/>
  <c r="I70"/>
  <c r="L70" s="1"/>
  <c r="O70"/>
  <c r="R70" s="1"/>
  <c r="AD70"/>
  <c r="AJ70"/>
  <c r="AP70"/>
  <c r="X70"/>
  <c r="AY70"/>
  <c r="BB70" s="1"/>
  <c r="BL70"/>
  <c r="BM70"/>
  <c r="BN70" s="1"/>
  <c r="BH70"/>
  <c r="CR71"/>
  <c r="CX71"/>
  <c r="DD71"/>
  <c r="EB71"/>
  <c r="C71"/>
  <c r="F71" s="1"/>
  <c r="L71"/>
  <c r="R71"/>
  <c r="AA71"/>
  <c r="AD71" s="1"/>
  <c r="AJ71"/>
  <c r="AP71"/>
  <c r="X71"/>
  <c r="BB71"/>
  <c r="BL71"/>
  <c r="BM71"/>
  <c r="BH71"/>
  <c r="CI72"/>
  <c r="CL72" s="1"/>
  <c r="CR72"/>
  <c r="EN72" s="1"/>
  <c r="CU72"/>
  <c r="EK72" s="1"/>
  <c r="CX72"/>
  <c r="DD72"/>
  <c r="EB72"/>
  <c r="C72"/>
  <c r="F72"/>
  <c r="L72"/>
  <c r="R72"/>
  <c r="AA72"/>
  <c r="AD72" s="1"/>
  <c r="AJ72"/>
  <c r="AP72"/>
  <c r="X72"/>
  <c r="AY72"/>
  <c r="BB72" s="1"/>
  <c r="BL72"/>
  <c r="BM72"/>
  <c r="BH72"/>
  <c r="CR73"/>
  <c r="CX73"/>
  <c r="DD73"/>
  <c r="EB73"/>
  <c r="C73"/>
  <c r="F73" s="1"/>
  <c r="L73"/>
  <c r="O73"/>
  <c r="AD73"/>
  <c r="AJ73"/>
  <c r="AP73"/>
  <c r="X73"/>
  <c r="AY73"/>
  <c r="BB73" s="1"/>
  <c r="BL73"/>
  <c r="BM73"/>
  <c r="BH73"/>
  <c r="CR74"/>
  <c r="CX74"/>
  <c r="DD74"/>
  <c r="EB74"/>
  <c r="C74"/>
  <c r="F74" s="1"/>
  <c r="L74"/>
  <c r="O74"/>
  <c r="R74" s="1"/>
  <c r="AD74"/>
  <c r="AG74"/>
  <c r="AJ74"/>
  <c r="AP74"/>
  <c r="X74"/>
  <c r="AY74"/>
  <c r="BB74" s="1"/>
  <c r="BL74"/>
  <c r="BR74" s="1"/>
  <c r="BM74"/>
  <c r="BH74"/>
  <c r="CR75"/>
  <c r="CX75"/>
  <c r="DD75"/>
  <c r="EB75"/>
  <c r="F75"/>
  <c r="I75"/>
  <c r="L75" s="1"/>
  <c r="O75"/>
  <c r="R75" s="1"/>
  <c r="AA75"/>
  <c r="AD75" s="1"/>
  <c r="AG75"/>
  <c r="AJ75" s="1"/>
  <c r="AP75"/>
  <c r="X75"/>
  <c r="AY75"/>
  <c r="BB75" s="1"/>
  <c r="BL75"/>
  <c r="BR75" s="1"/>
  <c r="BM75"/>
  <c r="BH75"/>
  <c r="CR76"/>
  <c r="CX76"/>
  <c r="DD76"/>
  <c r="EB76"/>
  <c r="EN76" s="1"/>
  <c r="C76"/>
  <c r="F76"/>
  <c r="I76"/>
  <c r="BQ76" s="1"/>
  <c r="L76"/>
  <c r="R76"/>
  <c r="AD76"/>
  <c r="AJ76"/>
  <c r="AP76"/>
  <c r="X76"/>
  <c r="BB76"/>
  <c r="BL76"/>
  <c r="BM76"/>
  <c r="BH76"/>
  <c r="CR77"/>
  <c r="CX77"/>
  <c r="DD77"/>
  <c r="EB77"/>
  <c r="EN77"/>
  <c r="C77"/>
  <c r="F77"/>
  <c r="I77"/>
  <c r="L77" s="1"/>
  <c r="R77"/>
  <c r="AA77"/>
  <c r="AD77" s="1"/>
  <c r="AG77"/>
  <c r="AJ77" s="1"/>
  <c r="AP77"/>
  <c r="X77"/>
  <c r="AY77"/>
  <c r="BL77"/>
  <c r="BR77" s="1"/>
  <c r="BM77"/>
  <c r="BS77" s="1"/>
  <c r="BH77"/>
  <c r="CR78"/>
  <c r="CX78"/>
  <c r="DD78"/>
  <c r="EB78"/>
  <c r="C78"/>
  <c r="F78" s="1"/>
  <c r="I78"/>
  <c r="L78" s="1"/>
  <c r="R78"/>
  <c r="AD78"/>
  <c r="AJ78"/>
  <c r="AP78"/>
  <c r="X78"/>
  <c r="AY78"/>
  <c r="BB78" s="1"/>
  <c r="BL78"/>
  <c r="BM78"/>
  <c r="BE78"/>
  <c r="BH78" s="1"/>
  <c r="CR79"/>
  <c r="CX79"/>
  <c r="DD79"/>
  <c r="EB79"/>
  <c r="C79"/>
  <c r="F79" s="1"/>
  <c r="I79"/>
  <c r="R79"/>
  <c r="AD79"/>
  <c r="AJ79"/>
  <c r="AP79"/>
  <c r="X79"/>
  <c r="AY79"/>
  <c r="BB79" s="1"/>
  <c r="BL79"/>
  <c r="BM79"/>
  <c r="BH79"/>
  <c r="CR80"/>
  <c r="CU80"/>
  <c r="CX80" s="1"/>
  <c r="DD80"/>
  <c r="EB80"/>
  <c r="F80"/>
  <c r="I80"/>
  <c r="L80" s="1"/>
  <c r="R80"/>
  <c r="AA80"/>
  <c r="AD80" s="1"/>
  <c r="AJ80"/>
  <c r="AP80"/>
  <c r="X80"/>
  <c r="AY80"/>
  <c r="BB80" s="1"/>
  <c r="BL80"/>
  <c r="BM80"/>
  <c r="BH80"/>
  <c r="CL36"/>
  <c r="CR36"/>
  <c r="DD36"/>
  <c r="EB36"/>
  <c r="C36"/>
  <c r="F36" s="1"/>
  <c r="I36"/>
  <c r="L36" s="1"/>
  <c r="R36"/>
  <c r="AA36"/>
  <c r="AD36" s="1"/>
  <c r="AJ36"/>
  <c r="AP36"/>
  <c r="U36"/>
  <c r="X36" s="1"/>
  <c r="BB36"/>
  <c r="BL36"/>
  <c r="BR36" s="1"/>
  <c r="BM36"/>
  <c r="BN36" s="1"/>
  <c r="BE36"/>
  <c r="BH36"/>
  <c r="CL37"/>
  <c r="CR37"/>
  <c r="DD37"/>
  <c r="EB37"/>
  <c r="C37"/>
  <c r="F37" s="1"/>
  <c r="L37"/>
  <c r="R37"/>
  <c r="AD37"/>
  <c r="AJ37"/>
  <c r="AP37"/>
  <c r="U37"/>
  <c r="X37"/>
  <c r="BB37"/>
  <c r="BL37"/>
  <c r="BM37"/>
  <c r="BE37"/>
  <c r="BH37" s="1"/>
  <c r="CL38"/>
  <c r="CR38"/>
  <c r="DD38"/>
  <c r="EB38"/>
  <c r="C38"/>
  <c r="F38" s="1"/>
  <c r="L38"/>
  <c r="R38"/>
  <c r="AD38"/>
  <c r="AJ38"/>
  <c r="AP38"/>
  <c r="X38"/>
  <c r="AY38"/>
  <c r="BB38" s="1"/>
  <c r="BL38"/>
  <c r="BM38"/>
  <c r="BE38"/>
  <c r="BH38" s="1"/>
  <c r="CL39"/>
  <c r="CR39"/>
  <c r="DD39"/>
  <c r="EB39"/>
  <c r="C39"/>
  <c r="F39" s="1"/>
  <c r="L39"/>
  <c r="R39"/>
  <c r="AD39"/>
  <c r="AJ39"/>
  <c r="AP39"/>
  <c r="X39"/>
  <c r="AY39"/>
  <c r="BB39" s="1"/>
  <c r="BL39"/>
  <c r="BM39"/>
  <c r="BS39" s="1"/>
  <c r="BE39"/>
  <c r="CL40"/>
  <c r="CR40"/>
  <c r="DD40"/>
  <c r="EB40"/>
  <c r="F40"/>
  <c r="L40"/>
  <c r="R40"/>
  <c r="AD40"/>
  <c r="AJ40"/>
  <c r="AP40"/>
  <c r="X40"/>
  <c r="BB40"/>
  <c r="BL40"/>
  <c r="BM40"/>
  <c r="BH40"/>
  <c r="CL41"/>
  <c r="CR41"/>
  <c r="DD41"/>
  <c r="EB41"/>
  <c r="C41"/>
  <c r="F41" s="1"/>
  <c r="L41"/>
  <c r="R41"/>
  <c r="AD41"/>
  <c r="AJ41"/>
  <c r="AP41"/>
  <c r="X41"/>
  <c r="AY41"/>
  <c r="BB41" s="1"/>
  <c r="BL41"/>
  <c r="BM41"/>
  <c r="BH41"/>
  <c r="CI42"/>
  <c r="CL42" s="1"/>
  <c r="CR42"/>
  <c r="DD42"/>
  <c r="EB42"/>
  <c r="C42"/>
  <c r="BQ42" s="1"/>
  <c r="L42"/>
  <c r="R42"/>
  <c r="AD42"/>
  <c r="AJ42"/>
  <c r="AP42"/>
  <c r="X42"/>
  <c r="BB42"/>
  <c r="BL42"/>
  <c r="BM42"/>
  <c r="BS42" s="1"/>
  <c r="BN42"/>
  <c r="BH42"/>
  <c r="CL43"/>
  <c r="EN43" s="1"/>
  <c r="CR43"/>
  <c r="DD43"/>
  <c r="EB43"/>
  <c r="F43"/>
  <c r="L43"/>
  <c r="R43"/>
  <c r="AD43"/>
  <c r="AJ43"/>
  <c r="AP43"/>
  <c r="BT43" s="1"/>
  <c r="ET43" s="1"/>
  <c r="X43"/>
  <c r="BB43"/>
  <c r="BL43"/>
  <c r="BM43"/>
  <c r="BH43"/>
  <c r="CL44"/>
  <c r="CR44"/>
  <c r="DD44"/>
  <c r="EB44"/>
  <c r="EN44"/>
  <c r="C44"/>
  <c r="BQ44" s="1"/>
  <c r="F44"/>
  <c r="L44"/>
  <c r="R44"/>
  <c r="AD44"/>
  <c r="AJ44"/>
  <c r="AP44"/>
  <c r="U44"/>
  <c r="X44" s="1"/>
  <c r="BB44"/>
  <c r="BL44"/>
  <c r="BM44"/>
  <c r="BH44"/>
  <c r="CL45"/>
  <c r="CR45"/>
  <c r="DD45"/>
  <c r="EB45"/>
  <c r="C45"/>
  <c r="F45" s="1"/>
  <c r="L45"/>
  <c r="O45"/>
  <c r="R45"/>
  <c r="AD45"/>
  <c r="AJ45"/>
  <c r="AP45"/>
  <c r="U45"/>
  <c r="X45" s="1"/>
  <c r="AY45"/>
  <c r="BB45" s="1"/>
  <c r="BL45"/>
  <c r="BM45"/>
  <c r="BS45" s="1"/>
  <c r="BH45"/>
  <c r="CL46"/>
  <c r="CR46"/>
  <c r="DD46"/>
  <c r="EB46"/>
  <c r="EE46"/>
  <c r="EG46"/>
  <c r="EH46" s="1"/>
  <c r="C46"/>
  <c r="F46" s="1"/>
  <c r="L46"/>
  <c r="R46"/>
  <c r="AD46"/>
  <c r="BT46" s="1"/>
  <c r="ET46" s="1"/>
  <c r="AJ46"/>
  <c r="AP46"/>
  <c r="X46"/>
  <c r="AY46"/>
  <c r="BB46" s="1"/>
  <c r="BL46"/>
  <c r="BM46"/>
  <c r="BN46" s="1"/>
  <c r="BE46"/>
  <c r="BH46" s="1"/>
  <c r="CL47"/>
  <c r="CR47"/>
  <c r="DD47"/>
  <c r="DP47"/>
  <c r="EB47"/>
  <c r="EN47" s="1"/>
  <c r="C47"/>
  <c r="BQ47" s="1"/>
  <c r="F47"/>
  <c r="L47"/>
  <c r="R47"/>
  <c r="AA47"/>
  <c r="AC47"/>
  <c r="AD47" s="1"/>
  <c r="AJ47"/>
  <c r="AP47"/>
  <c r="U47"/>
  <c r="X47" s="1"/>
  <c r="AY47"/>
  <c r="BB47" s="1"/>
  <c r="BL47"/>
  <c r="BR47" s="1"/>
  <c r="BM47"/>
  <c r="BN47" s="1"/>
  <c r="BH47"/>
  <c r="CL48"/>
  <c r="CR48"/>
  <c r="DD48"/>
  <c r="EB48"/>
  <c r="C48"/>
  <c r="F48" s="1"/>
  <c r="L48"/>
  <c r="R48"/>
  <c r="AD48"/>
  <c r="AJ48"/>
  <c r="AP48"/>
  <c r="U48"/>
  <c r="BB48"/>
  <c r="BL48"/>
  <c r="BR48" s="1"/>
  <c r="BM48"/>
  <c r="BE48"/>
  <c r="BH48" s="1"/>
  <c r="CL49"/>
  <c r="CR49"/>
  <c r="DD49"/>
  <c r="EB49"/>
  <c r="C49"/>
  <c r="F49" s="1"/>
  <c r="L49"/>
  <c r="R49"/>
  <c r="AD49"/>
  <c r="BT49" s="1"/>
  <c r="AJ49"/>
  <c r="AP49"/>
  <c r="X49"/>
  <c r="BB49"/>
  <c r="BL49"/>
  <c r="BM49"/>
  <c r="BH49"/>
  <c r="CL50"/>
  <c r="CR50"/>
  <c r="CX50"/>
  <c r="DA50"/>
  <c r="DD50" s="1"/>
  <c r="EB50"/>
  <c r="EN50" s="1"/>
  <c r="C50"/>
  <c r="F50" s="1"/>
  <c r="L50"/>
  <c r="R50"/>
  <c r="AA50"/>
  <c r="AD50" s="1"/>
  <c r="AJ50"/>
  <c r="AP50"/>
  <c r="U50"/>
  <c r="X50" s="1"/>
  <c r="AY50"/>
  <c r="BB50" s="1"/>
  <c r="BL50"/>
  <c r="BM50"/>
  <c r="BE50"/>
  <c r="BH50" s="1"/>
  <c r="CL51"/>
  <c r="CR51"/>
  <c r="DD51"/>
  <c r="EB51"/>
  <c r="C51"/>
  <c r="F51" s="1"/>
  <c r="L51"/>
  <c r="R51"/>
  <c r="AD51"/>
  <c r="AJ51"/>
  <c r="AP51"/>
  <c r="X51"/>
  <c r="BB51"/>
  <c r="BL51"/>
  <c r="BN51" s="1"/>
  <c r="BT51" s="1"/>
  <c r="BM51"/>
  <c r="BS51" s="1"/>
  <c r="BE51"/>
  <c r="BH51" s="1"/>
  <c r="CL52"/>
  <c r="CR52"/>
  <c r="DD52"/>
  <c r="EB52"/>
  <c r="C52"/>
  <c r="F52" s="1"/>
  <c r="L52"/>
  <c r="R52"/>
  <c r="AA52"/>
  <c r="AC52"/>
  <c r="BS52" s="1"/>
  <c r="AJ52"/>
  <c r="AP52"/>
  <c r="X52"/>
  <c r="BB52"/>
  <c r="BL52"/>
  <c r="BM52"/>
  <c r="BH52"/>
  <c r="CL53"/>
  <c r="CR53"/>
  <c r="DD53"/>
  <c r="EB53"/>
  <c r="F53"/>
  <c r="L53"/>
  <c r="BT53" s="1"/>
  <c r="R53"/>
  <c r="AD53"/>
  <c r="AJ53"/>
  <c r="AP53"/>
  <c r="X53"/>
  <c r="BB53"/>
  <c r="BL53"/>
  <c r="BM53"/>
  <c r="BE53"/>
  <c r="BH53" s="1"/>
  <c r="CL54"/>
  <c r="CR54"/>
  <c r="DD54"/>
  <c r="EB54"/>
  <c r="C54"/>
  <c r="L54"/>
  <c r="R54"/>
  <c r="AD54"/>
  <c r="AJ54"/>
  <c r="AP54"/>
  <c r="X54"/>
  <c r="BB54"/>
  <c r="BL54"/>
  <c r="BM54"/>
  <c r="BN54" s="1"/>
  <c r="BH54"/>
  <c r="CL55"/>
  <c r="CR55"/>
  <c r="DD55"/>
  <c r="EB55"/>
  <c r="F55"/>
  <c r="L55"/>
  <c r="R55"/>
  <c r="AD55"/>
  <c r="AJ55"/>
  <c r="AP55"/>
  <c r="U55"/>
  <c r="X55" s="1"/>
  <c r="BB55"/>
  <c r="BB61" s="1"/>
  <c r="BB62" s="1"/>
  <c r="BL55"/>
  <c r="BR55" s="1"/>
  <c r="BM55"/>
  <c r="BH55"/>
  <c r="CI56"/>
  <c r="CL56" s="1"/>
  <c r="CR56"/>
  <c r="DA56"/>
  <c r="DD56" s="1"/>
  <c r="EN56" s="1"/>
  <c r="EB56"/>
  <c r="C56"/>
  <c r="F56" s="1"/>
  <c r="L56"/>
  <c r="R56"/>
  <c r="AD56"/>
  <c r="AJ56"/>
  <c r="AP56"/>
  <c r="U56"/>
  <c r="BB56"/>
  <c r="BL56"/>
  <c r="BM56"/>
  <c r="BE56"/>
  <c r="BH56" s="1"/>
  <c r="CL57"/>
  <c r="CR57"/>
  <c r="DD57"/>
  <c r="EB57"/>
  <c r="C57"/>
  <c r="F57" s="1"/>
  <c r="I57"/>
  <c r="R57"/>
  <c r="AD57"/>
  <c r="AJ57"/>
  <c r="AP57"/>
  <c r="X57"/>
  <c r="BB57"/>
  <c r="BL57"/>
  <c r="BM57"/>
  <c r="BH57"/>
  <c r="CL58"/>
  <c r="CR58"/>
  <c r="DD58"/>
  <c r="EB58"/>
  <c r="C58"/>
  <c r="L58"/>
  <c r="O58"/>
  <c r="R58" s="1"/>
  <c r="AD58"/>
  <c r="AJ58"/>
  <c r="AP58"/>
  <c r="U58"/>
  <c r="X58" s="1"/>
  <c r="BB58"/>
  <c r="BL58"/>
  <c r="BR58" s="1"/>
  <c r="BM58"/>
  <c r="BH58"/>
  <c r="CL59"/>
  <c r="CR59"/>
  <c r="DD59"/>
  <c r="EB59"/>
  <c r="C59"/>
  <c r="F59" s="1"/>
  <c r="L59"/>
  <c r="R59"/>
  <c r="AD59"/>
  <c r="AJ59"/>
  <c r="AP59"/>
  <c r="U59"/>
  <c r="AY59"/>
  <c r="BB59" s="1"/>
  <c r="BL59"/>
  <c r="BR59" s="1"/>
  <c r="BM59"/>
  <c r="BH59"/>
  <c r="CL60"/>
  <c r="CR60"/>
  <c r="DD60"/>
  <c r="EB60"/>
  <c r="C60"/>
  <c r="F60" s="1"/>
  <c r="L60"/>
  <c r="R60"/>
  <c r="AD60"/>
  <c r="AJ60"/>
  <c r="AP60"/>
  <c r="X60"/>
  <c r="BB60"/>
  <c r="BL60"/>
  <c r="BM60"/>
  <c r="BH60"/>
  <c r="CR26"/>
  <c r="DD26"/>
  <c r="EB26"/>
  <c r="C26"/>
  <c r="F26" s="1"/>
  <c r="I26"/>
  <c r="R26"/>
  <c r="AA26"/>
  <c r="AD26" s="1"/>
  <c r="AJ26"/>
  <c r="AP26"/>
  <c r="X26"/>
  <c r="AY26"/>
  <c r="BB26" s="1"/>
  <c r="BL26"/>
  <c r="BM26"/>
  <c r="BE26"/>
  <c r="BH26" s="1"/>
  <c r="BW27"/>
  <c r="BZ27" s="1"/>
  <c r="CR27"/>
  <c r="DD27"/>
  <c r="EB27"/>
  <c r="EB34" s="1"/>
  <c r="C27"/>
  <c r="L27"/>
  <c r="R27"/>
  <c r="AA27"/>
  <c r="AD27" s="1"/>
  <c r="AJ27"/>
  <c r="AP27"/>
  <c r="BB27"/>
  <c r="BL27"/>
  <c r="BM27"/>
  <c r="BE27"/>
  <c r="BH27" s="1"/>
  <c r="CR28"/>
  <c r="DD28"/>
  <c r="EB28"/>
  <c r="C28"/>
  <c r="F28" s="1"/>
  <c r="I28"/>
  <c r="L28" s="1"/>
  <c r="O28"/>
  <c r="R28" s="1"/>
  <c r="AD28"/>
  <c r="AJ28"/>
  <c r="AP28"/>
  <c r="X28"/>
  <c r="AY28"/>
  <c r="BB28" s="1"/>
  <c r="BL28"/>
  <c r="BM28"/>
  <c r="BS28" s="1"/>
  <c r="BH28"/>
  <c r="CL29"/>
  <c r="CR29"/>
  <c r="DA29"/>
  <c r="DD29" s="1"/>
  <c r="DP29"/>
  <c r="EB29"/>
  <c r="C29"/>
  <c r="F29" s="1"/>
  <c r="I29"/>
  <c r="L29" s="1"/>
  <c r="R29"/>
  <c r="AA29"/>
  <c r="AD29" s="1"/>
  <c r="AJ29"/>
  <c r="AM29"/>
  <c r="X29"/>
  <c r="X34" s="1"/>
  <c r="AY29"/>
  <c r="BB29" s="1"/>
  <c r="BB34" s="1"/>
  <c r="BB35" s="1"/>
  <c r="BL29"/>
  <c r="BM29"/>
  <c r="BE29"/>
  <c r="BH29"/>
  <c r="CF30"/>
  <c r="CI30"/>
  <c r="CL30" s="1"/>
  <c r="CR30"/>
  <c r="DD30"/>
  <c r="EB30"/>
  <c r="C30"/>
  <c r="F30" s="1"/>
  <c r="I30"/>
  <c r="L30" s="1"/>
  <c r="R30"/>
  <c r="AA30"/>
  <c r="AD30" s="1"/>
  <c r="AJ30"/>
  <c r="AM30"/>
  <c r="AP30" s="1"/>
  <c r="X30"/>
  <c r="AY30"/>
  <c r="BB30" s="1"/>
  <c r="BL30"/>
  <c r="BM30"/>
  <c r="BS30" s="1"/>
  <c r="BE30"/>
  <c r="BW31"/>
  <c r="CF31"/>
  <c r="CF34" s="1"/>
  <c r="CR31"/>
  <c r="DD31"/>
  <c r="EB31"/>
  <c r="C31"/>
  <c r="F31" s="1"/>
  <c r="I31"/>
  <c r="L31" s="1"/>
  <c r="R31"/>
  <c r="AA31"/>
  <c r="AB31"/>
  <c r="AC31"/>
  <c r="BS31" s="1"/>
  <c r="AJ31"/>
  <c r="AJ34" s="1"/>
  <c r="AM31"/>
  <c r="X31"/>
  <c r="AY31"/>
  <c r="BB31" s="1"/>
  <c r="BL31"/>
  <c r="BM31"/>
  <c r="BE31"/>
  <c r="BH31" s="1"/>
  <c r="BW32"/>
  <c r="BZ32" s="1"/>
  <c r="CF32"/>
  <c r="CR32"/>
  <c r="DA32"/>
  <c r="DD32" s="1"/>
  <c r="EB32"/>
  <c r="F32"/>
  <c r="I32"/>
  <c r="O32"/>
  <c r="R32" s="1"/>
  <c r="AA32"/>
  <c r="AC32"/>
  <c r="AJ32"/>
  <c r="AP32"/>
  <c r="X32"/>
  <c r="BB32"/>
  <c r="BL32"/>
  <c r="BM32"/>
  <c r="BE32"/>
  <c r="BH32" s="1"/>
  <c r="BW33"/>
  <c r="CF33"/>
  <c r="CR33"/>
  <c r="DA33"/>
  <c r="DD33" s="1"/>
  <c r="EB33"/>
  <c r="C33"/>
  <c r="F33" s="1"/>
  <c r="I33"/>
  <c r="L33" s="1"/>
  <c r="R33"/>
  <c r="AA33"/>
  <c r="AD33" s="1"/>
  <c r="AJ33"/>
  <c r="AM33"/>
  <c r="AP33" s="1"/>
  <c r="U33"/>
  <c r="X33" s="1"/>
  <c r="AY33"/>
  <c r="BB33" s="1"/>
  <c r="BL33"/>
  <c r="BR33" s="1"/>
  <c r="BM33"/>
  <c r="BS33" s="1"/>
  <c r="BE33"/>
  <c r="BH33" s="1"/>
  <c r="CR9"/>
  <c r="DD9"/>
  <c r="EN9" s="1"/>
  <c r="C9"/>
  <c r="F9" s="1"/>
  <c r="I9"/>
  <c r="L9" s="1"/>
  <c r="O9"/>
  <c r="R9" s="1"/>
  <c r="AD9"/>
  <c r="AJ9"/>
  <c r="AP9"/>
  <c r="U9"/>
  <c r="AY9"/>
  <c r="BN9"/>
  <c r="BH9"/>
  <c r="CR10"/>
  <c r="DD10"/>
  <c r="EN10" s="1"/>
  <c r="C10"/>
  <c r="F10" s="1"/>
  <c r="L10"/>
  <c r="R10"/>
  <c r="AD10"/>
  <c r="AJ10"/>
  <c r="AP10"/>
  <c r="U10"/>
  <c r="X10" s="1"/>
  <c r="AY10"/>
  <c r="BB10" s="1"/>
  <c r="BN10"/>
  <c r="BH10"/>
  <c r="CR11"/>
  <c r="DD11"/>
  <c r="EN11" s="1"/>
  <c r="C11"/>
  <c r="F11" s="1"/>
  <c r="L11"/>
  <c r="O11"/>
  <c r="R11" s="1"/>
  <c r="AD11"/>
  <c r="AJ11"/>
  <c r="AP11"/>
  <c r="X11"/>
  <c r="AY11"/>
  <c r="BN11"/>
  <c r="BH11"/>
  <c r="CR12"/>
  <c r="DD12"/>
  <c r="EN12" s="1"/>
  <c r="C12"/>
  <c r="F12" s="1"/>
  <c r="L12"/>
  <c r="R12"/>
  <c r="AD12"/>
  <c r="AJ12"/>
  <c r="AP12"/>
  <c r="U12"/>
  <c r="X12" s="1"/>
  <c r="AY12"/>
  <c r="BB12" s="1"/>
  <c r="BN12"/>
  <c r="BH12"/>
  <c r="CR13"/>
  <c r="DD13"/>
  <c r="EN13" s="1"/>
  <c r="F13"/>
  <c r="L13"/>
  <c r="R13"/>
  <c r="AD13"/>
  <c r="AJ13"/>
  <c r="AP13"/>
  <c r="X13"/>
  <c r="AY13"/>
  <c r="BN13"/>
  <c r="BH13"/>
  <c r="CR14"/>
  <c r="DD14"/>
  <c r="C14"/>
  <c r="F14" s="1"/>
  <c r="L14"/>
  <c r="O14"/>
  <c r="R14" s="1"/>
  <c r="AD14"/>
  <c r="AJ14"/>
  <c r="AP14"/>
  <c r="U14"/>
  <c r="X14" s="1"/>
  <c r="AY14"/>
  <c r="BB14" s="1"/>
  <c r="BN14"/>
  <c r="BH14"/>
  <c r="CR15"/>
  <c r="DD15"/>
  <c r="F15"/>
  <c r="L15"/>
  <c r="R15"/>
  <c r="AD15"/>
  <c r="AJ15"/>
  <c r="AP15"/>
  <c r="U15"/>
  <c r="AY15"/>
  <c r="BB15" s="1"/>
  <c r="BN15"/>
  <c r="BH15"/>
  <c r="CR16"/>
  <c r="DD16"/>
  <c r="F16"/>
  <c r="L16"/>
  <c r="R16"/>
  <c r="AD16"/>
  <c r="AJ16"/>
  <c r="AP16"/>
  <c r="U16"/>
  <c r="AY16"/>
  <c r="BB16" s="1"/>
  <c r="BN16"/>
  <c r="BH16"/>
  <c r="CR19"/>
  <c r="DD19"/>
  <c r="EN19"/>
  <c r="C19"/>
  <c r="F19"/>
  <c r="L19"/>
  <c r="R19"/>
  <c r="AA19"/>
  <c r="AD19"/>
  <c r="AD24" s="1"/>
  <c r="AJ19"/>
  <c r="AJ24" s="1"/>
  <c r="AP19"/>
  <c r="AY19"/>
  <c r="BB19"/>
  <c r="BL19"/>
  <c r="BR19"/>
  <c r="BM19"/>
  <c r="BH19"/>
  <c r="CL20"/>
  <c r="CR20"/>
  <c r="DD20"/>
  <c r="C20"/>
  <c r="L20"/>
  <c r="O20"/>
  <c r="AD20"/>
  <c r="AJ20"/>
  <c r="AP20"/>
  <c r="AY20"/>
  <c r="BB20" s="1"/>
  <c r="BL20"/>
  <c r="BM20"/>
  <c r="BE20"/>
  <c r="BH20" s="1"/>
  <c r="CL21"/>
  <c r="CR21"/>
  <c r="DD21"/>
  <c r="F21"/>
  <c r="L21"/>
  <c r="R21"/>
  <c r="AA21"/>
  <c r="AD21" s="1"/>
  <c r="AJ21"/>
  <c r="AP21"/>
  <c r="AY21"/>
  <c r="BB21" s="1"/>
  <c r="BL21"/>
  <c r="BR21" s="1"/>
  <c r="BM21"/>
  <c r="BH21"/>
  <c r="CR22"/>
  <c r="DD22"/>
  <c r="C22"/>
  <c r="F22" s="1"/>
  <c r="L22"/>
  <c r="R22"/>
  <c r="AA22"/>
  <c r="AD22" s="1"/>
  <c r="AJ22"/>
  <c r="AP22"/>
  <c r="X22"/>
  <c r="AY22"/>
  <c r="BB22" s="1"/>
  <c r="BL22"/>
  <c r="BM22"/>
  <c r="BH22"/>
  <c r="CR23"/>
  <c r="CR24" s="1"/>
  <c r="DD23"/>
  <c r="EN23" s="1"/>
  <c r="F23"/>
  <c r="L23"/>
  <c r="R23"/>
  <c r="AA23"/>
  <c r="AD23" s="1"/>
  <c r="AJ23"/>
  <c r="AP23"/>
  <c r="X23"/>
  <c r="AY23"/>
  <c r="BB23" s="1"/>
  <c r="BL23"/>
  <c r="BM23"/>
  <c r="BS23" s="1"/>
  <c r="BE23"/>
  <c r="BQ83"/>
  <c r="BQ95" s="1"/>
  <c r="BQ84"/>
  <c r="BQ65"/>
  <c r="BQ66"/>
  <c r="BQ67"/>
  <c r="BQ70"/>
  <c r="BQ71"/>
  <c r="BQ72"/>
  <c r="BQ78"/>
  <c r="BQ80"/>
  <c r="BQ36"/>
  <c r="BQ37"/>
  <c r="BQ38"/>
  <c r="BQ39"/>
  <c r="BQ40"/>
  <c r="BQ41"/>
  <c r="BQ43"/>
  <c r="BQ46"/>
  <c r="BQ49"/>
  <c r="BQ50"/>
  <c r="BQ51"/>
  <c r="BQ52"/>
  <c r="BQ53"/>
  <c r="BQ60"/>
  <c r="BQ26"/>
  <c r="BQ27"/>
  <c r="BQ28"/>
  <c r="BR83"/>
  <c r="BR84"/>
  <c r="BR85"/>
  <c r="BR63"/>
  <c r="BR64"/>
  <c r="BR65"/>
  <c r="BR66"/>
  <c r="BR67"/>
  <c r="BR70"/>
  <c r="BR71"/>
  <c r="BR72"/>
  <c r="BR73"/>
  <c r="BR76"/>
  <c r="BR78"/>
  <c r="BR79"/>
  <c r="BR80"/>
  <c r="BR37"/>
  <c r="BR38"/>
  <c r="BR39"/>
  <c r="BR40"/>
  <c r="BR41"/>
  <c r="BR42"/>
  <c r="BR43"/>
  <c r="BR44"/>
  <c r="BR46"/>
  <c r="BR49"/>
  <c r="BR50"/>
  <c r="BR52"/>
  <c r="BR53"/>
  <c r="BR54"/>
  <c r="BR56"/>
  <c r="BR57"/>
  <c r="BR60"/>
  <c r="BR26"/>
  <c r="BR34" s="1"/>
  <c r="BR27"/>
  <c r="BR28"/>
  <c r="BR29"/>
  <c r="BR30"/>
  <c r="BR31"/>
  <c r="BR32"/>
  <c r="BL9"/>
  <c r="BR9" s="1"/>
  <c r="BL10"/>
  <c r="BR10" s="1"/>
  <c r="BL11"/>
  <c r="BR11" s="1"/>
  <c r="BL12"/>
  <c r="BR12" s="1"/>
  <c r="BL13"/>
  <c r="BR13" s="1"/>
  <c r="BL14"/>
  <c r="BR14" s="1"/>
  <c r="BL15"/>
  <c r="BR15" s="1"/>
  <c r="BL16"/>
  <c r="BR16" s="1"/>
  <c r="BR20"/>
  <c r="BR22"/>
  <c r="BR23"/>
  <c r="BU83"/>
  <c r="BU84"/>
  <c r="BU85"/>
  <c r="BU86"/>
  <c r="BU63"/>
  <c r="BU64"/>
  <c r="BU65"/>
  <c r="BU66"/>
  <c r="BU69"/>
  <c r="BU70"/>
  <c r="BU71"/>
  <c r="BU72"/>
  <c r="BU73"/>
  <c r="BU74"/>
  <c r="BU75"/>
  <c r="BU76"/>
  <c r="BU77"/>
  <c r="BU78"/>
  <c r="BU36"/>
  <c r="BU37"/>
  <c r="BU38"/>
  <c r="BU39"/>
  <c r="BU40"/>
  <c r="BU41"/>
  <c r="BU42"/>
  <c r="BU43"/>
  <c r="BU44"/>
  <c r="BU45"/>
  <c r="BU48"/>
  <c r="BU49"/>
  <c r="BU50"/>
  <c r="BU51"/>
  <c r="BU52"/>
  <c r="BU53"/>
  <c r="BU54"/>
  <c r="BU55"/>
  <c r="BU56"/>
  <c r="BU57"/>
  <c r="BU60"/>
  <c r="BU26"/>
  <c r="BU27"/>
  <c r="BU28"/>
  <c r="BU29"/>
  <c r="BU30"/>
  <c r="BU31"/>
  <c r="BU32"/>
  <c r="BU33"/>
  <c r="BU9"/>
  <c r="BU17" s="1"/>
  <c r="BU11"/>
  <c r="BU12"/>
  <c r="BU13"/>
  <c r="BU14"/>
  <c r="BU15"/>
  <c r="BU16"/>
  <c r="BU19"/>
  <c r="BU20"/>
  <c r="BU21"/>
  <c r="BU22"/>
  <c r="BU23"/>
  <c r="BS83"/>
  <c r="BS84"/>
  <c r="BS85"/>
  <c r="BS63"/>
  <c r="BS64"/>
  <c r="BS66"/>
  <c r="BS67"/>
  <c r="BS68"/>
  <c r="BS69"/>
  <c r="BS70"/>
  <c r="BS71"/>
  <c r="BS72"/>
  <c r="BS73"/>
  <c r="BS75"/>
  <c r="BS76"/>
  <c r="BS78"/>
  <c r="BS79"/>
  <c r="BS80"/>
  <c r="BS36"/>
  <c r="BS61" s="1"/>
  <c r="BS37"/>
  <c r="BS38"/>
  <c r="BS40"/>
  <c r="BS41"/>
  <c r="BS43"/>
  <c r="BS44"/>
  <c r="BS46"/>
  <c r="BS48"/>
  <c r="BS49"/>
  <c r="BS50"/>
  <c r="BS53"/>
  <c r="BS56"/>
  <c r="BS57"/>
  <c r="BS59"/>
  <c r="BS60"/>
  <c r="BS26"/>
  <c r="BS27"/>
  <c r="BS29"/>
  <c r="BS32"/>
  <c r="BM9"/>
  <c r="BS9" s="1"/>
  <c r="BM10"/>
  <c r="BS10" s="1"/>
  <c r="BM11"/>
  <c r="BS11" s="1"/>
  <c r="ES11" s="1"/>
  <c r="BM12"/>
  <c r="BS12" s="1"/>
  <c r="BM13"/>
  <c r="BS13" s="1"/>
  <c r="BM14"/>
  <c r="BS14" s="1"/>
  <c r="BM15"/>
  <c r="BS15" s="1"/>
  <c r="BM16"/>
  <c r="BS16" s="1"/>
  <c r="BS19"/>
  <c r="BS20"/>
  <c r="BS21"/>
  <c r="BS22"/>
  <c r="BV84"/>
  <c r="BV85"/>
  <c r="BV86"/>
  <c r="BV63"/>
  <c r="BV64"/>
  <c r="BV65"/>
  <c r="BV66"/>
  <c r="BV67"/>
  <c r="BV72"/>
  <c r="BV73"/>
  <c r="BV74"/>
  <c r="BV75"/>
  <c r="BV76"/>
  <c r="BV77"/>
  <c r="BV78"/>
  <c r="BV79"/>
  <c r="BV38"/>
  <c r="BV39"/>
  <c r="BV40"/>
  <c r="BV41"/>
  <c r="BV42"/>
  <c r="BV43"/>
  <c r="BV44"/>
  <c r="BV45"/>
  <c r="BV50"/>
  <c r="BV51"/>
  <c r="BV52"/>
  <c r="BV53"/>
  <c r="BV54"/>
  <c r="BV55"/>
  <c r="BV56"/>
  <c r="BV57"/>
  <c r="BV26"/>
  <c r="BV27"/>
  <c r="BV28"/>
  <c r="BV29"/>
  <c r="BV30"/>
  <c r="BV31"/>
  <c r="BV32"/>
  <c r="BV33"/>
  <c r="BV13"/>
  <c r="BV14"/>
  <c r="BV15"/>
  <c r="BV16"/>
  <c r="BV19"/>
  <c r="BV24" s="1"/>
  <c r="BV20"/>
  <c r="BV21"/>
  <c r="BV22"/>
  <c r="EM83"/>
  <c r="ES83" s="1"/>
  <c r="EM84"/>
  <c r="ES84" s="1"/>
  <c r="EM85"/>
  <c r="ES85" s="1"/>
  <c r="EM86"/>
  <c r="EM63"/>
  <c r="ES63" s="1"/>
  <c r="EM64"/>
  <c r="EM65"/>
  <c r="ES65" s="1"/>
  <c r="EM66"/>
  <c r="ES66" s="1"/>
  <c r="EM67"/>
  <c r="EM68"/>
  <c r="EM69"/>
  <c r="EM70"/>
  <c r="EM71"/>
  <c r="ES71" s="1"/>
  <c r="EM72"/>
  <c r="ES72" s="1"/>
  <c r="EM73"/>
  <c r="ES73" s="1"/>
  <c r="EM74"/>
  <c r="EM75"/>
  <c r="ES75" s="1"/>
  <c r="EM76"/>
  <c r="ES76" s="1"/>
  <c r="EM77"/>
  <c r="ES77" s="1"/>
  <c r="EM78"/>
  <c r="ES78" s="1"/>
  <c r="EM79"/>
  <c r="EM80"/>
  <c r="EM36"/>
  <c r="EM37"/>
  <c r="EM38"/>
  <c r="ES38" s="1"/>
  <c r="EM39"/>
  <c r="EM40"/>
  <c r="ES40" s="1"/>
  <c r="EM41"/>
  <c r="ES41" s="1"/>
  <c r="EM42"/>
  <c r="EM43"/>
  <c r="ES43" s="1"/>
  <c r="EM44"/>
  <c r="ES44" s="1"/>
  <c r="EM45"/>
  <c r="ES45" s="1"/>
  <c r="EM46"/>
  <c r="EM47"/>
  <c r="EM48"/>
  <c r="EM49"/>
  <c r="EM50"/>
  <c r="ES50" s="1"/>
  <c r="EM51"/>
  <c r="EM52"/>
  <c r="EM53"/>
  <c r="ES53" s="1"/>
  <c r="EM54"/>
  <c r="EM55"/>
  <c r="EM56"/>
  <c r="ES56" s="1"/>
  <c r="EM57"/>
  <c r="ES57" s="1"/>
  <c r="EM58"/>
  <c r="EM59"/>
  <c r="EM60"/>
  <c r="EM26"/>
  <c r="EM27"/>
  <c r="ES27" s="1"/>
  <c r="EM28"/>
  <c r="EM29"/>
  <c r="ES29" s="1"/>
  <c r="EM30"/>
  <c r="EM31"/>
  <c r="EM32"/>
  <c r="ES32" s="1"/>
  <c r="EM33"/>
  <c r="ES33" s="1"/>
  <c r="EM9"/>
  <c r="EM10"/>
  <c r="EM11"/>
  <c r="EM12"/>
  <c r="EM13"/>
  <c r="EM14"/>
  <c r="EM15"/>
  <c r="EM16"/>
  <c r="EM19"/>
  <c r="ES19" s="1"/>
  <c r="EM20"/>
  <c r="ES20" s="1"/>
  <c r="EM21"/>
  <c r="ES21" s="1"/>
  <c r="EM22"/>
  <c r="ES22" s="1"/>
  <c r="EM23"/>
  <c r="EP83"/>
  <c r="EP84"/>
  <c r="EP85"/>
  <c r="EP86"/>
  <c r="EP63"/>
  <c r="EV63" s="1"/>
  <c r="EP64"/>
  <c r="EV64" s="1"/>
  <c r="EP65"/>
  <c r="EV65" s="1"/>
  <c r="EP66"/>
  <c r="EV66" s="1"/>
  <c r="EP67"/>
  <c r="EV67" s="1"/>
  <c r="EP68"/>
  <c r="EV68" s="1"/>
  <c r="EP69"/>
  <c r="EV69" s="1"/>
  <c r="EP70"/>
  <c r="EV70" s="1"/>
  <c r="EP71"/>
  <c r="EP72"/>
  <c r="EP73"/>
  <c r="EP74"/>
  <c r="EP75"/>
  <c r="EV75" s="1"/>
  <c r="EP76"/>
  <c r="EV76" s="1"/>
  <c r="EP77"/>
  <c r="EV77" s="1"/>
  <c r="EP78"/>
  <c r="EV78" s="1"/>
  <c r="EP79"/>
  <c r="EV79" s="1"/>
  <c r="EP80"/>
  <c r="EV80" s="1"/>
  <c r="EP36"/>
  <c r="EP37"/>
  <c r="EV37" s="1"/>
  <c r="EP38"/>
  <c r="EP39"/>
  <c r="EP40"/>
  <c r="EP41"/>
  <c r="EP42"/>
  <c r="EV42" s="1"/>
  <c r="EP43"/>
  <c r="EV43" s="1"/>
  <c r="EP44"/>
  <c r="EV44" s="1"/>
  <c r="EP45"/>
  <c r="EV45" s="1"/>
  <c r="EP46"/>
  <c r="EP47"/>
  <c r="EV47" s="1"/>
  <c r="EP48"/>
  <c r="EV48" s="1"/>
  <c r="EP49"/>
  <c r="EV49" s="1"/>
  <c r="EP50"/>
  <c r="EP51"/>
  <c r="EP52"/>
  <c r="EP53"/>
  <c r="EP54"/>
  <c r="EV54" s="1"/>
  <c r="EP55"/>
  <c r="EV55" s="1"/>
  <c r="EP56"/>
  <c r="EV56" s="1"/>
  <c r="EP57"/>
  <c r="EV57" s="1"/>
  <c r="EP58"/>
  <c r="EP59"/>
  <c r="EV59" s="1"/>
  <c r="EP60"/>
  <c r="EV60" s="1"/>
  <c r="EP26"/>
  <c r="EV26" s="1"/>
  <c r="EV34" s="1"/>
  <c r="EP27"/>
  <c r="EP28"/>
  <c r="EP29"/>
  <c r="EP30"/>
  <c r="EP31"/>
  <c r="EV31" s="1"/>
  <c r="EP32"/>
  <c r="EV32" s="1"/>
  <c r="EP33"/>
  <c r="EV33" s="1"/>
  <c r="EP9"/>
  <c r="EP10"/>
  <c r="EP11"/>
  <c r="EV11" s="1"/>
  <c r="EP12"/>
  <c r="EV12" s="1"/>
  <c r="EP13"/>
  <c r="EV13" s="1"/>
  <c r="EP14"/>
  <c r="EP15"/>
  <c r="EP16"/>
  <c r="EP19"/>
  <c r="EP20"/>
  <c r="EV20" s="1"/>
  <c r="EP21"/>
  <c r="EV21" s="1"/>
  <c r="EP22"/>
  <c r="EV22" s="1"/>
  <c r="EP23"/>
  <c r="EL83"/>
  <c r="EL84"/>
  <c r="ER84" s="1"/>
  <c r="EL85"/>
  <c r="ER85" s="1"/>
  <c r="EL86"/>
  <c r="ER86" s="1"/>
  <c r="EL63"/>
  <c r="ER63" s="1"/>
  <c r="EL64"/>
  <c r="ER64" s="1"/>
  <c r="EL65"/>
  <c r="ER65" s="1"/>
  <c r="EL66"/>
  <c r="ER66" s="1"/>
  <c r="EL67"/>
  <c r="ER67" s="1"/>
  <c r="EL68"/>
  <c r="EL69"/>
  <c r="EL70"/>
  <c r="EL71"/>
  <c r="EL72"/>
  <c r="EL73"/>
  <c r="ER73" s="1"/>
  <c r="EL74"/>
  <c r="ER74" s="1"/>
  <c r="EL75"/>
  <c r="EL76"/>
  <c r="ER76" s="1"/>
  <c r="EL77"/>
  <c r="EL78"/>
  <c r="ER78" s="1"/>
  <c r="EL79"/>
  <c r="ER79" s="1"/>
  <c r="EL80"/>
  <c r="ER80" s="1"/>
  <c r="EL36"/>
  <c r="EL37"/>
  <c r="EL38"/>
  <c r="EL39"/>
  <c r="EL40"/>
  <c r="ER40" s="1"/>
  <c r="EL41"/>
  <c r="ER41" s="1"/>
  <c r="EL42"/>
  <c r="ER42" s="1"/>
  <c r="EL43"/>
  <c r="ER43" s="1"/>
  <c r="EL44"/>
  <c r="ER44" s="1"/>
  <c r="EL45"/>
  <c r="EL46"/>
  <c r="ER46" s="1"/>
  <c r="EL47"/>
  <c r="EL48"/>
  <c r="EL49"/>
  <c r="EL50"/>
  <c r="EL51"/>
  <c r="EL52"/>
  <c r="ER52" s="1"/>
  <c r="EL53"/>
  <c r="ER53" s="1"/>
  <c r="EL54"/>
  <c r="ER54" s="1"/>
  <c r="EL55"/>
  <c r="EL56"/>
  <c r="ER56" s="1"/>
  <c r="EL57"/>
  <c r="ER57" s="1"/>
  <c r="EL58"/>
  <c r="EL59"/>
  <c r="EL60"/>
  <c r="EL26"/>
  <c r="EL27"/>
  <c r="EL28"/>
  <c r="EL29"/>
  <c r="ER29" s="1"/>
  <c r="EL30"/>
  <c r="ER30" s="1"/>
  <c r="EL31"/>
  <c r="ER31" s="1"/>
  <c r="EL32"/>
  <c r="ER32" s="1"/>
  <c r="EL33"/>
  <c r="EL9"/>
  <c r="EL10"/>
  <c r="EL11"/>
  <c r="EL12"/>
  <c r="EL13"/>
  <c r="EL14"/>
  <c r="EL15"/>
  <c r="ER15" s="1"/>
  <c r="EL16"/>
  <c r="ER16" s="1"/>
  <c r="EL19"/>
  <c r="ER19" s="1"/>
  <c r="EL20"/>
  <c r="ER20" s="1"/>
  <c r="EL21"/>
  <c r="EL22"/>
  <c r="ER22" s="1"/>
  <c r="EL23"/>
  <c r="ER23" s="1"/>
  <c r="EO83"/>
  <c r="EU83" s="1"/>
  <c r="EO84"/>
  <c r="EU84" s="1"/>
  <c r="EO85"/>
  <c r="EU85" s="1"/>
  <c r="EO86"/>
  <c r="EU86" s="1"/>
  <c r="EO63"/>
  <c r="EU63" s="1"/>
  <c r="EO64"/>
  <c r="EU64" s="1"/>
  <c r="EU81" s="1"/>
  <c r="EO65"/>
  <c r="EO66"/>
  <c r="EU66" s="1"/>
  <c r="EO69"/>
  <c r="EU69" s="1"/>
  <c r="EO70"/>
  <c r="EU70" s="1"/>
  <c r="EO71"/>
  <c r="EU71" s="1"/>
  <c r="EO72"/>
  <c r="EU72" s="1"/>
  <c r="EO73"/>
  <c r="EU73" s="1"/>
  <c r="EO74"/>
  <c r="EU74" s="1"/>
  <c r="EO75"/>
  <c r="EU75" s="1"/>
  <c r="EO76"/>
  <c r="EU76" s="1"/>
  <c r="EO77"/>
  <c r="EU77" s="1"/>
  <c r="EO78"/>
  <c r="EU78" s="1"/>
  <c r="EO36"/>
  <c r="EO37"/>
  <c r="EU37" s="1"/>
  <c r="EO38"/>
  <c r="EU38" s="1"/>
  <c r="EO39"/>
  <c r="EU39" s="1"/>
  <c r="EO40"/>
  <c r="EU40" s="1"/>
  <c r="EO41"/>
  <c r="EU41" s="1"/>
  <c r="EO42"/>
  <c r="EU42" s="1"/>
  <c r="EO43"/>
  <c r="EO44"/>
  <c r="EO45"/>
  <c r="EU45" s="1"/>
  <c r="EO47"/>
  <c r="EO48"/>
  <c r="EU48" s="1"/>
  <c r="EO49"/>
  <c r="EU49" s="1"/>
  <c r="EO50"/>
  <c r="EU50" s="1"/>
  <c r="EO51"/>
  <c r="EU51" s="1"/>
  <c r="EO52"/>
  <c r="EU52" s="1"/>
  <c r="EO53"/>
  <c r="EU53" s="1"/>
  <c r="EO54"/>
  <c r="EU54" s="1"/>
  <c r="EO55"/>
  <c r="EU55" s="1"/>
  <c r="EO56"/>
  <c r="EU56" s="1"/>
  <c r="EO57"/>
  <c r="EU57" s="1"/>
  <c r="EO59"/>
  <c r="EO60"/>
  <c r="EU60" s="1"/>
  <c r="EO26"/>
  <c r="EU26" s="1"/>
  <c r="EO27"/>
  <c r="EU27" s="1"/>
  <c r="EO28"/>
  <c r="EU28" s="1"/>
  <c r="EO29"/>
  <c r="EU29" s="1"/>
  <c r="EO30"/>
  <c r="EU30" s="1"/>
  <c r="EO31"/>
  <c r="EU31" s="1"/>
  <c r="EO32"/>
  <c r="EU32" s="1"/>
  <c r="EO33"/>
  <c r="EU33" s="1"/>
  <c r="EO9"/>
  <c r="EO10"/>
  <c r="EO11"/>
  <c r="EU11" s="1"/>
  <c r="EO15"/>
  <c r="EU15" s="1"/>
  <c r="EO16"/>
  <c r="EU16" s="1"/>
  <c r="EO19"/>
  <c r="EO20"/>
  <c r="EU20" s="1"/>
  <c r="EO21"/>
  <c r="EO22"/>
  <c r="EU22" s="1"/>
  <c r="EO23"/>
  <c r="EK84"/>
  <c r="CI85"/>
  <c r="EK64"/>
  <c r="EK65"/>
  <c r="EQ65" s="1"/>
  <c r="EK66"/>
  <c r="EQ66" s="1"/>
  <c r="EK67"/>
  <c r="EQ67" s="1"/>
  <c r="EK68"/>
  <c r="EQ68" s="1"/>
  <c r="EK69"/>
  <c r="EK70"/>
  <c r="EQ70" s="1"/>
  <c r="EK71"/>
  <c r="EK73"/>
  <c r="EK74"/>
  <c r="EK75"/>
  <c r="EK76"/>
  <c r="EK77"/>
  <c r="EK78"/>
  <c r="EQ78" s="1"/>
  <c r="EK79"/>
  <c r="EK80"/>
  <c r="EQ80" s="1"/>
  <c r="EK36"/>
  <c r="EK37"/>
  <c r="EQ37" s="1"/>
  <c r="EK38"/>
  <c r="EK39"/>
  <c r="EK40"/>
  <c r="EQ40" s="1"/>
  <c r="EK41"/>
  <c r="EQ41" s="1"/>
  <c r="EK42"/>
  <c r="EK43"/>
  <c r="EQ43" s="1"/>
  <c r="EK44"/>
  <c r="EK45"/>
  <c r="EK46"/>
  <c r="EQ46" s="1"/>
  <c r="EK47"/>
  <c r="EQ47" s="1"/>
  <c r="EK48"/>
  <c r="EK49"/>
  <c r="EQ49" s="1"/>
  <c r="EK51"/>
  <c r="EK52"/>
  <c r="EQ52" s="1"/>
  <c r="EK53"/>
  <c r="EQ53" s="1"/>
  <c r="EK54"/>
  <c r="EK55"/>
  <c r="EK56"/>
  <c r="EK57"/>
  <c r="EK58"/>
  <c r="EK59"/>
  <c r="EK60"/>
  <c r="EQ60" s="1"/>
  <c r="EK26"/>
  <c r="EK27"/>
  <c r="EK28"/>
  <c r="EK29"/>
  <c r="EK30"/>
  <c r="EK32"/>
  <c r="EK9"/>
  <c r="EK10"/>
  <c r="EK11"/>
  <c r="EK12"/>
  <c r="EK13"/>
  <c r="EK14"/>
  <c r="EK15"/>
  <c r="EK16"/>
  <c r="EK19"/>
  <c r="EK20"/>
  <c r="EK21"/>
  <c r="EK22"/>
  <c r="EK23"/>
  <c r="DD81"/>
  <c r="DD82" s="1"/>
  <c r="DD17"/>
  <c r="DD24"/>
  <c r="DC87"/>
  <c r="DC81"/>
  <c r="DC61"/>
  <c r="DC34"/>
  <c r="DC17"/>
  <c r="DC24"/>
  <c r="DB87"/>
  <c r="DB81"/>
  <c r="DB61"/>
  <c r="DB34"/>
  <c r="DB17"/>
  <c r="DB24"/>
  <c r="DA81"/>
  <c r="DA61"/>
  <c r="DA34"/>
  <c r="DA17"/>
  <c r="DA24"/>
  <c r="BL87"/>
  <c r="BL81"/>
  <c r="BL61"/>
  <c r="BL34"/>
  <c r="BL17"/>
  <c r="BL89" s="1"/>
  <c r="BL97" s="1"/>
  <c r="BL24"/>
  <c r="BK87"/>
  <c r="BK81"/>
  <c r="BK61"/>
  <c r="BK34"/>
  <c r="BK17"/>
  <c r="BK24"/>
  <c r="AP17"/>
  <c r="AP24"/>
  <c r="X24"/>
  <c r="W87"/>
  <c r="W81"/>
  <c r="W61"/>
  <c r="W34"/>
  <c r="W17"/>
  <c r="W24"/>
  <c r="V87"/>
  <c r="V81"/>
  <c r="V61"/>
  <c r="V34"/>
  <c r="V17"/>
  <c r="V24"/>
  <c r="U24"/>
  <c r="Q87"/>
  <c r="Q81"/>
  <c r="Q61"/>
  <c r="Q34"/>
  <c r="Q17"/>
  <c r="Q24"/>
  <c r="P87"/>
  <c r="P81"/>
  <c r="P61"/>
  <c r="P34"/>
  <c r="P17"/>
  <c r="P24"/>
  <c r="O81"/>
  <c r="O61"/>
  <c r="O34"/>
  <c r="O17"/>
  <c r="BH17"/>
  <c r="CP87"/>
  <c r="CP81"/>
  <c r="CP61"/>
  <c r="CP34"/>
  <c r="CP17"/>
  <c r="CP24"/>
  <c r="CJ87"/>
  <c r="CJ89" s="1"/>
  <c r="CJ95" s="1"/>
  <c r="CJ81"/>
  <c r="CJ61"/>
  <c r="CJ34"/>
  <c r="CJ17"/>
  <c r="CJ24"/>
  <c r="CD87"/>
  <c r="CD81"/>
  <c r="CD61"/>
  <c r="CD34"/>
  <c r="CD17"/>
  <c r="CD24"/>
  <c r="BX87"/>
  <c r="BX81"/>
  <c r="BX61"/>
  <c r="BX34"/>
  <c r="BX17"/>
  <c r="BX24"/>
  <c r="EB17"/>
  <c r="EB24"/>
  <c r="CI81"/>
  <c r="CI61"/>
  <c r="CI34"/>
  <c r="CI17"/>
  <c r="CI24"/>
  <c r="EH87"/>
  <c r="EH81"/>
  <c r="EH34"/>
  <c r="EH17"/>
  <c r="EH24"/>
  <c r="EI87"/>
  <c r="EI81"/>
  <c r="EI61"/>
  <c r="EI34"/>
  <c r="EI17"/>
  <c r="EI24"/>
  <c r="EJ87"/>
  <c r="EJ81"/>
  <c r="EJ61"/>
  <c r="EJ34"/>
  <c r="EJ17"/>
  <c r="EJ24"/>
  <c r="DP81"/>
  <c r="DP61"/>
  <c r="DP34"/>
  <c r="DP17"/>
  <c r="DP24"/>
  <c r="CX87"/>
  <c r="CX61"/>
  <c r="CX34"/>
  <c r="CX17"/>
  <c r="CX24"/>
  <c r="CR61"/>
  <c r="CR34"/>
  <c r="CR17"/>
  <c r="CL17"/>
  <c r="CL24"/>
  <c r="CF81"/>
  <c r="CF61"/>
  <c r="CF17"/>
  <c r="CF24"/>
  <c r="CF89" s="1"/>
  <c r="BN17"/>
  <c r="AJ87"/>
  <c r="AJ17"/>
  <c r="AD17"/>
  <c r="BZ81"/>
  <c r="BZ17"/>
  <c r="BZ24"/>
  <c r="EP17"/>
  <c r="EP34"/>
  <c r="EP87"/>
  <c r="EM87"/>
  <c r="EL24"/>
  <c r="EL61"/>
  <c r="EG87"/>
  <c r="EG81"/>
  <c r="EG61"/>
  <c r="EG34"/>
  <c r="EG17"/>
  <c r="EG24"/>
  <c r="EF87"/>
  <c r="EF81"/>
  <c r="EF61"/>
  <c r="EF34"/>
  <c r="EF17"/>
  <c r="EF24"/>
  <c r="EE87"/>
  <c r="EE81"/>
  <c r="EE61"/>
  <c r="EE34"/>
  <c r="EE17"/>
  <c r="EE24"/>
  <c r="EA87"/>
  <c r="EA81"/>
  <c r="EA61"/>
  <c r="EA34"/>
  <c r="EA17"/>
  <c r="EA24"/>
  <c r="DZ87"/>
  <c r="DZ81"/>
  <c r="DZ61"/>
  <c r="DZ34"/>
  <c r="DZ17"/>
  <c r="DZ24"/>
  <c r="DY87"/>
  <c r="DY81"/>
  <c r="DY61"/>
  <c r="EB62" s="1"/>
  <c r="DY34"/>
  <c r="DY17"/>
  <c r="EB18" s="1"/>
  <c r="DY24"/>
  <c r="DO87"/>
  <c r="DO81"/>
  <c r="DO61"/>
  <c r="DO34"/>
  <c r="DO17"/>
  <c r="DO24"/>
  <c r="DN87"/>
  <c r="DN81"/>
  <c r="DN61"/>
  <c r="DN34"/>
  <c r="DN17"/>
  <c r="DN24"/>
  <c r="DM87"/>
  <c r="DM81"/>
  <c r="DM61"/>
  <c r="DM34"/>
  <c r="DM17"/>
  <c r="DM24"/>
  <c r="CW87"/>
  <c r="CW81"/>
  <c r="CW61"/>
  <c r="CW34"/>
  <c r="CW17"/>
  <c r="CW24"/>
  <c r="CV87"/>
  <c r="CV81"/>
  <c r="CV61"/>
  <c r="CV34"/>
  <c r="CV17"/>
  <c r="CV24"/>
  <c r="CU87"/>
  <c r="CU81"/>
  <c r="CU61"/>
  <c r="CU34"/>
  <c r="CU17"/>
  <c r="CU24"/>
  <c r="CQ87"/>
  <c r="CQ81"/>
  <c r="CQ61"/>
  <c r="CQ34"/>
  <c r="CQ17"/>
  <c r="CQ24"/>
  <c r="CO87"/>
  <c r="CO81"/>
  <c r="CO61"/>
  <c r="CO34"/>
  <c r="CO17"/>
  <c r="CO24"/>
  <c r="CK87"/>
  <c r="CK81"/>
  <c r="CK61"/>
  <c r="CK34"/>
  <c r="CK17"/>
  <c r="CK24"/>
  <c r="CE87"/>
  <c r="CE81"/>
  <c r="CE61"/>
  <c r="CE34"/>
  <c r="CE17"/>
  <c r="CE24"/>
  <c r="CC87"/>
  <c r="CC81"/>
  <c r="CC61"/>
  <c r="CC34"/>
  <c r="CC17"/>
  <c r="CC24"/>
  <c r="BY87"/>
  <c r="BY81"/>
  <c r="BY61"/>
  <c r="BY34"/>
  <c r="BY17"/>
  <c r="BY24"/>
  <c r="BW81"/>
  <c r="BW61"/>
  <c r="BW17"/>
  <c r="BW24"/>
  <c r="BM87"/>
  <c r="BM81"/>
  <c r="BM61"/>
  <c r="BM34"/>
  <c r="BM17"/>
  <c r="BM24"/>
  <c r="BG87"/>
  <c r="BG81"/>
  <c r="BG89" s="1"/>
  <c r="BG61"/>
  <c r="BG34"/>
  <c r="BG17"/>
  <c r="BG24"/>
  <c r="BF87"/>
  <c r="BF81"/>
  <c r="BF61"/>
  <c r="BF34"/>
  <c r="BF17"/>
  <c r="BF24"/>
  <c r="BE17"/>
  <c r="BA87"/>
  <c r="BA81"/>
  <c r="BA61"/>
  <c r="BA34"/>
  <c r="BA17"/>
  <c r="BA24"/>
  <c r="AZ87"/>
  <c r="AZ81"/>
  <c r="AZ61"/>
  <c r="AZ34"/>
  <c r="AZ17"/>
  <c r="AZ24"/>
  <c r="AY81"/>
  <c r="AY34"/>
  <c r="AY24"/>
  <c r="AT87"/>
  <c r="AT81"/>
  <c r="AT61"/>
  <c r="AT34"/>
  <c r="AT17"/>
  <c r="AT24"/>
  <c r="AO87"/>
  <c r="AO81"/>
  <c r="AO89" s="1"/>
  <c r="AO61"/>
  <c r="AO34"/>
  <c r="AO17"/>
  <c r="AO24"/>
  <c r="AN87"/>
  <c r="AN81"/>
  <c r="AN61"/>
  <c r="AN34"/>
  <c r="AN17"/>
  <c r="AN24"/>
  <c r="AM81"/>
  <c r="AM61"/>
  <c r="AM34"/>
  <c r="AM17"/>
  <c r="AM24"/>
  <c r="AI87"/>
  <c r="AI81"/>
  <c r="AI61"/>
  <c r="AI34"/>
  <c r="AI17"/>
  <c r="AI24"/>
  <c r="AH87"/>
  <c r="AH81"/>
  <c r="AH61"/>
  <c r="AH34"/>
  <c r="AH17"/>
  <c r="AH24"/>
  <c r="AG87"/>
  <c r="AG81"/>
  <c r="AG61"/>
  <c r="AG34"/>
  <c r="AG17"/>
  <c r="AG24"/>
  <c r="AC87"/>
  <c r="AC81"/>
  <c r="AC61"/>
  <c r="AC34"/>
  <c r="AC17"/>
  <c r="AC24"/>
  <c r="AB87"/>
  <c r="AB81"/>
  <c r="AB61"/>
  <c r="AB34"/>
  <c r="AB17"/>
  <c r="AB24"/>
  <c r="AA87"/>
  <c r="AA81"/>
  <c r="AA61"/>
  <c r="AA34"/>
  <c r="AA17"/>
  <c r="AA24"/>
  <c r="K87"/>
  <c r="K81"/>
  <c r="K61"/>
  <c r="K34"/>
  <c r="K17"/>
  <c r="K24"/>
  <c r="K89"/>
  <c r="J87"/>
  <c r="J81"/>
  <c r="J61"/>
  <c r="J34"/>
  <c r="J17"/>
  <c r="J24"/>
  <c r="I17"/>
  <c r="I24"/>
  <c r="E87"/>
  <c r="E81"/>
  <c r="E61"/>
  <c r="E34"/>
  <c r="E17"/>
  <c r="E24"/>
  <c r="D87"/>
  <c r="D81"/>
  <c r="D61"/>
  <c r="D34"/>
  <c r="D17"/>
  <c r="D24"/>
  <c r="C87"/>
  <c r="C81"/>
  <c r="C61"/>
  <c r="C17"/>
  <c r="A85"/>
  <c r="A86" s="1"/>
  <c r="EZ82"/>
  <c r="EY82"/>
  <c r="EX82"/>
  <c r="EW82"/>
  <c r="A80"/>
  <c r="A76"/>
  <c r="A72"/>
  <c r="A73" s="1"/>
  <c r="A74" s="1"/>
  <c r="EZ62"/>
  <c r="EY62"/>
  <c r="EX62"/>
  <c r="EW62"/>
  <c r="A59"/>
  <c r="A60" s="1"/>
  <c r="A57"/>
  <c r="A54"/>
  <c r="A55" s="1"/>
  <c r="A49"/>
  <c r="A50" s="1"/>
  <c r="A51" s="1"/>
  <c r="A45"/>
  <c r="A46"/>
  <c r="A32"/>
  <c r="A29"/>
  <c r="A20"/>
  <c r="A21" s="1"/>
  <c r="A22" s="1"/>
  <c r="A23" s="1"/>
  <c r="A12"/>
  <c r="A13" s="1"/>
  <c r="A14" s="1"/>
  <c r="A15" s="1"/>
  <c r="A16" s="1"/>
  <c r="G61" i="52"/>
  <c r="K25" i="50"/>
  <c r="K32"/>
  <c r="K42"/>
  <c r="K69"/>
  <c r="K89"/>
  <c r="K95"/>
  <c r="K97" s="1"/>
  <c r="I17"/>
  <c r="L17" s="1"/>
  <c r="L25" s="1"/>
  <c r="I18"/>
  <c r="L18" s="1"/>
  <c r="I19"/>
  <c r="L19" s="1"/>
  <c r="I20"/>
  <c r="L20" s="1"/>
  <c r="I21"/>
  <c r="L21" s="1"/>
  <c r="I22"/>
  <c r="L22" s="1"/>
  <c r="I23"/>
  <c r="L23" s="1"/>
  <c r="I24"/>
  <c r="L24" s="1"/>
  <c r="I27"/>
  <c r="L27" s="1"/>
  <c r="I28"/>
  <c r="L28" s="1"/>
  <c r="I29"/>
  <c r="L29" s="1"/>
  <c r="I30"/>
  <c r="L30" s="1"/>
  <c r="I31"/>
  <c r="L31" s="1"/>
  <c r="I34"/>
  <c r="L34" s="1"/>
  <c r="I35"/>
  <c r="L35" s="1"/>
  <c r="I36"/>
  <c r="L36" s="1"/>
  <c r="I37"/>
  <c r="L37" s="1"/>
  <c r="I38"/>
  <c r="L38" s="1"/>
  <c r="I39"/>
  <c r="L39" s="1"/>
  <c r="I40"/>
  <c r="L40" s="1"/>
  <c r="I41"/>
  <c r="L41" s="1"/>
  <c r="I44"/>
  <c r="L44" s="1"/>
  <c r="I45"/>
  <c r="L45" s="1"/>
  <c r="I46"/>
  <c r="L46" s="1"/>
  <c r="L69" s="1"/>
  <c r="I47"/>
  <c r="L47" s="1"/>
  <c r="I48"/>
  <c r="L48" s="1"/>
  <c r="I49"/>
  <c r="L49" s="1"/>
  <c r="I50"/>
  <c r="L50" s="1"/>
  <c r="I51"/>
  <c r="L51" s="1"/>
  <c r="I52"/>
  <c r="L52" s="1"/>
  <c r="I53"/>
  <c r="L53" s="1"/>
  <c r="I54"/>
  <c r="L54" s="1"/>
  <c r="I55"/>
  <c r="L55" s="1"/>
  <c r="I56"/>
  <c r="L56" s="1"/>
  <c r="I57"/>
  <c r="L57" s="1"/>
  <c r="I58"/>
  <c r="L58" s="1"/>
  <c r="I59"/>
  <c r="L59" s="1"/>
  <c r="I60"/>
  <c r="L60" s="1"/>
  <c r="I61"/>
  <c r="L61" s="1"/>
  <c r="I62"/>
  <c r="L62" s="1"/>
  <c r="I63"/>
  <c r="L63" s="1"/>
  <c r="I64"/>
  <c r="L64" s="1"/>
  <c r="I65"/>
  <c r="L65" s="1"/>
  <c r="I66"/>
  <c r="L66" s="1"/>
  <c r="I67"/>
  <c r="L67" s="1"/>
  <c r="I68"/>
  <c r="L68" s="1"/>
  <c r="I71"/>
  <c r="L71" s="1"/>
  <c r="I72"/>
  <c r="L72" s="1"/>
  <c r="I73"/>
  <c r="L73" s="1"/>
  <c r="I74"/>
  <c r="L74" s="1"/>
  <c r="I75"/>
  <c r="L75" s="1"/>
  <c r="I76"/>
  <c r="L76" s="1"/>
  <c r="I77"/>
  <c r="L77" s="1"/>
  <c r="I78"/>
  <c r="L78" s="1"/>
  <c r="I79"/>
  <c r="L79" s="1"/>
  <c r="I80"/>
  <c r="L80" s="1"/>
  <c r="I81"/>
  <c r="L81" s="1"/>
  <c r="H82"/>
  <c r="I82" s="1"/>
  <c r="L82" s="1"/>
  <c r="I83"/>
  <c r="L83" s="1"/>
  <c r="I84"/>
  <c r="L84" s="1"/>
  <c r="I85"/>
  <c r="L85" s="1"/>
  <c r="I86"/>
  <c r="L86" s="1"/>
  <c r="I87"/>
  <c r="L87" s="1"/>
  <c r="I88"/>
  <c r="L88" s="1"/>
  <c r="I91"/>
  <c r="L91" s="1"/>
  <c r="I92"/>
  <c r="L92" s="1"/>
  <c r="I93"/>
  <c r="L93" s="1"/>
  <c r="I94"/>
  <c r="L94" s="1"/>
  <c r="J25"/>
  <c r="J32"/>
  <c r="J42"/>
  <c r="J69"/>
  <c r="J89"/>
  <c r="J95"/>
  <c r="H25"/>
  <c r="H32"/>
  <c r="H42"/>
  <c r="H69"/>
  <c r="H89"/>
  <c r="H95"/>
  <c r="G25"/>
  <c r="G32"/>
  <c r="G42"/>
  <c r="G69"/>
  <c r="G89"/>
  <c r="G95"/>
  <c r="F25"/>
  <c r="F32"/>
  <c r="F42"/>
  <c r="F69"/>
  <c r="F89"/>
  <c r="F95"/>
  <c r="D44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91" s="1"/>
  <c r="D92" s="1"/>
  <c r="D93" s="1"/>
  <c r="D94" s="1"/>
  <c r="B94"/>
  <c r="B93"/>
  <c r="B92"/>
  <c r="B91"/>
  <c r="B90"/>
  <c r="B75"/>
  <c r="B74"/>
  <c r="B73"/>
  <c r="B72"/>
  <c r="B71"/>
  <c r="B48"/>
  <c r="B47"/>
  <c r="B46"/>
  <c r="B45"/>
  <c r="B44"/>
  <c r="B38"/>
  <c r="B37"/>
  <c r="B36"/>
  <c r="B35"/>
  <c r="B34"/>
  <c r="B31"/>
  <c r="B30"/>
  <c r="B29"/>
  <c r="B28"/>
  <c r="B27"/>
  <c r="B21"/>
  <c r="B20"/>
  <c r="B19"/>
  <c r="B18"/>
  <c r="B17"/>
  <c r="C9"/>
  <c r="B9" s="1"/>
  <c r="D15" i="35"/>
  <c r="B7" i="46"/>
  <c r="B11"/>
  <c r="B12" s="1"/>
  <c r="B13" s="1"/>
  <c r="B16" s="1"/>
  <c r="B17" s="1"/>
  <c r="B18" s="1"/>
  <c r="B19" s="1"/>
  <c r="B20" s="1"/>
  <c r="B23" s="1"/>
  <c r="B24" s="1"/>
  <c r="B25" s="1"/>
  <c r="B28" s="1"/>
  <c r="B29" s="1"/>
  <c r="B30" s="1"/>
  <c r="B31" s="1"/>
  <c r="B32" s="1"/>
  <c r="B33" s="1"/>
  <c r="B34" s="1"/>
  <c r="B37" s="1"/>
  <c r="B38" s="1"/>
  <c r="B39" s="1"/>
  <c r="B40" s="1"/>
  <c r="B41" s="1"/>
  <c r="B42" s="1"/>
  <c r="B43" s="1"/>
  <c r="E5" i="34"/>
  <c r="B6"/>
  <c r="E6"/>
  <c r="E7"/>
  <c r="E8"/>
  <c r="E9"/>
  <c r="B10"/>
  <c r="B11" s="1"/>
  <c r="B12" s="1"/>
  <c r="B15" s="1"/>
  <c r="B16" s="1"/>
  <c r="B17" s="1"/>
  <c r="B18" s="1"/>
  <c r="B19" s="1"/>
  <c r="B22" s="1"/>
  <c r="B23" s="1"/>
  <c r="B24" s="1"/>
  <c r="B27" s="1"/>
  <c r="B28" s="1"/>
  <c r="B29" s="1"/>
  <c r="B30" s="1"/>
  <c r="B31" s="1"/>
  <c r="B32" s="1"/>
  <c r="B33" s="1"/>
  <c r="B36" s="1"/>
  <c r="B37" s="1"/>
  <c r="B38" s="1"/>
  <c r="B39" s="1"/>
  <c r="B40" s="1"/>
  <c r="B41" s="1"/>
  <c r="B42" s="1"/>
  <c r="E10"/>
  <c r="E11"/>
  <c r="E12"/>
  <c r="E13"/>
  <c r="I13" s="1"/>
  <c r="E15"/>
  <c r="E20" s="1"/>
  <c r="E16"/>
  <c r="E17"/>
  <c r="E18"/>
  <c r="E19"/>
  <c r="E22"/>
  <c r="E25" s="1"/>
  <c r="E45" s="1"/>
  <c r="E23"/>
  <c r="E24"/>
  <c r="E27"/>
  <c r="E34" s="1"/>
  <c r="E28"/>
  <c r="E29"/>
  <c r="E30"/>
  <c r="E31"/>
  <c r="E32"/>
  <c r="E33"/>
  <c r="E36"/>
  <c r="E43" s="1"/>
  <c r="E37"/>
  <c r="E38"/>
  <c r="E39"/>
  <c r="E40"/>
  <c r="E41"/>
  <c r="E42"/>
  <c r="H8" i="68"/>
  <c r="H9"/>
  <c r="H10"/>
  <c r="H11"/>
  <c r="H12"/>
  <c r="A7" i="65"/>
  <c r="A11"/>
  <c r="A12" s="1"/>
  <c r="A13" s="1"/>
  <c r="A16" s="1"/>
  <c r="A17" s="1"/>
  <c r="A18" s="1"/>
  <c r="A19" s="1"/>
  <c r="A20" s="1"/>
  <c r="A23" s="1"/>
  <c r="A24" s="1"/>
  <c r="A25" s="1"/>
  <c r="A28" s="1"/>
  <c r="A29" s="1"/>
  <c r="A30" s="1"/>
  <c r="A31" s="1"/>
  <c r="A32" s="1"/>
  <c r="A33" s="1"/>
  <c r="A34" s="1"/>
  <c r="A37" s="1"/>
  <c r="A38" s="1"/>
  <c r="A39" s="1"/>
  <c r="A40" s="1"/>
  <c r="A41" s="1"/>
  <c r="A42" s="1"/>
  <c r="A43" s="1"/>
  <c r="C14"/>
  <c r="A10" i="18"/>
  <c r="A11" s="1"/>
  <c r="A12" s="1"/>
  <c r="A13" s="1"/>
  <c r="A14" s="1"/>
  <c r="A15" s="1"/>
  <c r="A16" s="1"/>
  <c r="A19" s="1"/>
  <c r="A20" s="1"/>
  <c r="A21" s="1"/>
  <c r="A22" s="1"/>
  <c r="A23" s="1"/>
  <c r="A26" s="1"/>
  <c r="A27" s="1"/>
  <c r="A28" s="1"/>
  <c r="A29" s="1"/>
  <c r="A30" s="1"/>
  <c r="A31" s="1"/>
  <c r="A32" s="1"/>
  <c r="A33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83"/>
  <c r="I7" i="4"/>
  <c r="J7" s="1"/>
  <c r="B9"/>
  <c r="B10" s="1"/>
  <c r="B11" s="1"/>
  <c r="B12" s="1"/>
  <c r="B13" s="1"/>
  <c r="B14" s="1"/>
  <c r="B15" s="1"/>
  <c r="I17"/>
  <c r="J17" s="1"/>
  <c r="B19"/>
  <c r="B20" s="1"/>
  <c r="B21" s="1"/>
  <c r="B22" s="1"/>
  <c r="I24"/>
  <c r="J24" s="1"/>
  <c r="B26"/>
  <c r="B27" s="1"/>
  <c r="B28" s="1"/>
  <c r="B29" s="1"/>
  <c r="B30" s="1"/>
  <c r="B31" s="1"/>
  <c r="B32" s="1"/>
  <c r="I34"/>
  <c r="J34" s="1"/>
  <c r="B36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3"/>
  <c r="B64" s="1"/>
  <c r="B65" s="1"/>
  <c r="B66" s="1"/>
  <c r="B67" s="1"/>
  <c r="B68" s="1"/>
  <c r="B69" s="1"/>
  <c r="B70" s="1"/>
  <c r="B71" s="1"/>
  <c r="B72" s="1"/>
  <c r="B73" s="1"/>
  <c r="B74" s="1"/>
  <c r="B77"/>
  <c r="B78" s="1"/>
  <c r="B79" s="1"/>
  <c r="B83"/>
  <c r="B84" s="1"/>
  <c r="B85" s="1"/>
  <c r="G90"/>
  <c r="C63" i="47"/>
  <c r="C64"/>
  <c r="C65"/>
  <c r="C66"/>
  <c r="C67"/>
  <c r="C68"/>
  <c r="C69"/>
  <c r="C36"/>
  <c r="C37"/>
  <c r="C38"/>
  <c r="C39"/>
  <c r="C40"/>
  <c r="C41"/>
  <c r="C42"/>
  <c r="C25"/>
  <c r="C26"/>
  <c r="C27"/>
  <c r="C8"/>
  <c r="C9"/>
  <c r="C11"/>
  <c r="C12"/>
  <c r="C13"/>
  <c r="I13" s="1"/>
  <c r="J13" s="1"/>
  <c r="C14"/>
  <c r="C15"/>
  <c r="C18"/>
  <c r="C19"/>
  <c r="C20"/>
  <c r="C21"/>
  <c r="C22"/>
  <c r="D63"/>
  <c r="D64"/>
  <c r="D65"/>
  <c r="D66"/>
  <c r="D67"/>
  <c r="D68"/>
  <c r="I68" s="1"/>
  <c r="D69"/>
  <c r="D36"/>
  <c r="D37"/>
  <c r="D38"/>
  <c r="D39"/>
  <c r="D40"/>
  <c r="D41"/>
  <c r="D42"/>
  <c r="D25"/>
  <c r="D33" s="1"/>
  <c r="D26"/>
  <c r="D27"/>
  <c r="D8"/>
  <c r="D9"/>
  <c r="D11"/>
  <c r="D12"/>
  <c r="D13"/>
  <c r="D14"/>
  <c r="D15"/>
  <c r="D18"/>
  <c r="D19"/>
  <c r="D20"/>
  <c r="D21"/>
  <c r="D22"/>
  <c r="I22" s="1"/>
  <c r="J22" s="1"/>
  <c r="E63"/>
  <c r="E80" s="1"/>
  <c r="E64"/>
  <c r="E65"/>
  <c r="E66"/>
  <c r="E67"/>
  <c r="E68"/>
  <c r="E69"/>
  <c r="E36"/>
  <c r="E37"/>
  <c r="E38"/>
  <c r="E39"/>
  <c r="E40"/>
  <c r="E41"/>
  <c r="E42"/>
  <c r="E25"/>
  <c r="E26"/>
  <c r="E27"/>
  <c r="E8"/>
  <c r="E9"/>
  <c r="E11"/>
  <c r="E12"/>
  <c r="E13"/>
  <c r="E14"/>
  <c r="E15"/>
  <c r="E18"/>
  <c r="E19"/>
  <c r="E20"/>
  <c r="E21"/>
  <c r="E22"/>
  <c r="G63"/>
  <c r="G80" s="1"/>
  <c r="G64"/>
  <c r="G65"/>
  <c r="G66"/>
  <c r="G67"/>
  <c r="G68"/>
  <c r="G69"/>
  <c r="G36"/>
  <c r="G60" s="1"/>
  <c r="G37"/>
  <c r="G38"/>
  <c r="G39"/>
  <c r="G40"/>
  <c r="G41"/>
  <c r="G42"/>
  <c r="G25"/>
  <c r="G33" s="1"/>
  <c r="G26"/>
  <c r="G27"/>
  <c r="G8"/>
  <c r="G9"/>
  <c r="G10"/>
  <c r="G11"/>
  <c r="G12"/>
  <c r="G13"/>
  <c r="G14"/>
  <c r="G15"/>
  <c r="G16"/>
  <c r="G18"/>
  <c r="G23" s="1"/>
  <c r="G19"/>
  <c r="G20"/>
  <c r="G21"/>
  <c r="G22"/>
  <c r="I7"/>
  <c r="J7" s="1"/>
  <c r="F8"/>
  <c r="F16" s="1"/>
  <c r="A9"/>
  <c r="A10" s="1"/>
  <c r="A11" s="1"/>
  <c r="A12" s="1"/>
  <c r="A13" s="1"/>
  <c r="A14" s="1"/>
  <c r="A15" s="1"/>
  <c r="A18" s="1"/>
  <c r="A19" s="1"/>
  <c r="A20" s="1"/>
  <c r="A21" s="1"/>
  <c r="A22" s="1"/>
  <c r="F9"/>
  <c r="F10"/>
  <c r="F11"/>
  <c r="F12"/>
  <c r="H12" s="1"/>
  <c r="F13"/>
  <c r="F14"/>
  <c r="H14" s="1"/>
  <c r="F15"/>
  <c r="I17"/>
  <c r="J17" s="1"/>
  <c r="F18"/>
  <c r="F23" s="1"/>
  <c r="F19"/>
  <c r="H19" s="1"/>
  <c r="F20"/>
  <c r="F21"/>
  <c r="F22"/>
  <c r="F25"/>
  <c r="A26"/>
  <c r="A27" s="1"/>
  <c r="A28" s="1"/>
  <c r="A29" s="1"/>
  <c r="A30" s="1"/>
  <c r="A31" s="1"/>
  <c r="A32" s="1"/>
  <c r="F26"/>
  <c r="F27"/>
  <c r="C28"/>
  <c r="D28"/>
  <c r="E28"/>
  <c r="I28" s="1"/>
  <c r="F28"/>
  <c r="G28"/>
  <c r="C29"/>
  <c r="D29"/>
  <c r="E29"/>
  <c r="F29"/>
  <c r="G29"/>
  <c r="C30"/>
  <c r="D30"/>
  <c r="E30"/>
  <c r="F30"/>
  <c r="G30"/>
  <c r="C31"/>
  <c r="I31" s="1"/>
  <c r="J31" s="1"/>
  <c r="D31"/>
  <c r="E31"/>
  <c r="F31"/>
  <c r="G31"/>
  <c r="C32"/>
  <c r="D32"/>
  <c r="E32"/>
  <c r="F32"/>
  <c r="G32"/>
  <c r="I34"/>
  <c r="J34" s="1"/>
  <c r="C35"/>
  <c r="D35"/>
  <c r="I35" s="1"/>
  <c r="J35" s="1"/>
  <c r="E35"/>
  <c r="F35"/>
  <c r="G35"/>
  <c r="F36"/>
  <c r="A37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F37"/>
  <c r="F38"/>
  <c r="F39"/>
  <c r="F40"/>
  <c r="F41"/>
  <c r="F42"/>
  <c r="C43"/>
  <c r="I43" s="1"/>
  <c r="J43" s="1"/>
  <c r="D43"/>
  <c r="E43"/>
  <c r="F43"/>
  <c r="G43"/>
  <c r="C44"/>
  <c r="D44"/>
  <c r="E44"/>
  <c r="F44"/>
  <c r="G44"/>
  <c r="C45"/>
  <c r="D45"/>
  <c r="E45"/>
  <c r="I45" s="1"/>
  <c r="J45" s="1"/>
  <c r="F45"/>
  <c r="H45" s="1"/>
  <c r="G45"/>
  <c r="C46"/>
  <c r="D46"/>
  <c r="E46"/>
  <c r="F46"/>
  <c r="G46"/>
  <c r="C47"/>
  <c r="D47"/>
  <c r="E47"/>
  <c r="F47"/>
  <c r="G47"/>
  <c r="C48"/>
  <c r="I48" s="1"/>
  <c r="J48" s="1"/>
  <c r="D48"/>
  <c r="E48"/>
  <c r="F48"/>
  <c r="G48"/>
  <c r="C49"/>
  <c r="D49"/>
  <c r="E49"/>
  <c r="F49"/>
  <c r="G49"/>
  <c r="C50"/>
  <c r="D50"/>
  <c r="E50"/>
  <c r="F50"/>
  <c r="G50"/>
  <c r="C51"/>
  <c r="D51"/>
  <c r="E51"/>
  <c r="F51"/>
  <c r="G51"/>
  <c r="C52"/>
  <c r="D52"/>
  <c r="E52"/>
  <c r="I52" s="1"/>
  <c r="F52"/>
  <c r="G52"/>
  <c r="C53"/>
  <c r="D53"/>
  <c r="E53"/>
  <c r="F53"/>
  <c r="G53"/>
  <c r="C54"/>
  <c r="D54"/>
  <c r="E54"/>
  <c r="F54"/>
  <c r="G54"/>
  <c r="C55"/>
  <c r="I55" s="1"/>
  <c r="J55" s="1"/>
  <c r="D55"/>
  <c r="E55"/>
  <c r="F55"/>
  <c r="G55"/>
  <c r="C56"/>
  <c r="D56"/>
  <c r="E56"/>
  <c r="F56"/>
  <c r="G56"/>
  <c r="C57"/>
  <c r="D57"/>
  <c r="E57"/>
  <c r="F57"/>
  <c r="H57" s="1"/>
  <c r="G57"/>
  <c r="C58"/>
  <c r="D58"/>
  <c r="E58"/>
  <c r="F58"/>
  <c r="G58"/>
  <c r="C59"/>
  <c r="D59"/>
  <c r="I59" s="1"/>
  <c r="E59"/>
  <c r="F59"/>
  <c r="H59" s="1"/>
  <c r="G59"/>
  <c r="I61"/>
  <c r="J61" s="1"/>
  <c r="C62"/>
  <c r="D62"/>
  <c r="E62"/>
  <c r="F62"/>
  <c r="G62"/>
  <c r="F63"/>
  <c r="H63" s="1"/>
  <c r="H80" s="1"/>
  <c r="A64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F64"/>
  <c r="F65"/>
  <c r="H65" s="1"/>
  <c r="F66"/>
  <c r="F67"/>
  <c r="F68"/>
  <c r="H68" s="1"/>
  <c r="F69"/>
  <c r="C70"/>
  <c r="D70"/>
  <c r="E70"/>
  <c r="F70"/>
  <c r="G70"/>
  <c r="C71"/>
  <c r="D71"/>
  <c r="E71"/>
  <c r="F71"/>
  <c r="G71"/>
  <c r="C72"/>
  <c r="D72"/>
  <c r="E72"/>
  <c r="F72"/>
  <c r="G72"/>
  <c r="C73"/>
  <c r="D73"/>
  <c r="E73"/>
  <c r="F73"/>
  <c r="J73" s="1"/>
  <c r="G73"/>
  <c r="C74"/>
  <c r="D74"/>
  <c r="E74"/>
  <c r="F74"/>
  <c r="G74"/>
  <c r="C75"/>
  <c r="D75"/>
  <c r="E75"/>
  <c r="F75"/>
  <c r="G75"/>
  <c r="C76"/>
  <c r="D76"/>
  <c r="E76"/>
  <c r="F76"/>
  <c r="H76" s="1"/>
  <c r="G76"/>
  <c r="C77"/>
  <c r="D77"/>
  <c r="E77"/>
  <c r="F77"/>
  <c r="G77"/>
  <c r="C78"/>
  <c r="D78"/>
  <c r="E78"/>
  <c r="I78" s="1"/>
  <c r="J78" s="1"/>
  <c r="F78"/>
  <c r="G78"/>
  <c r="C79"/>
  <c r="I79" s="1"/>
  <c r="J79" s="1"/>
  <c r="D79"/>
  <c r="E79"/>
  <c r="F79"/>
  <c r="G79"/>
  <c r="C82"/>
  <c r="D82"/>
  <c r="E82"/>
  <c r="F82"/>
  <c r="G82"/>
  <c r="G86" s="1"/>
  <c r="A83"/>
  <c r="A84" s="1"/>
  <c r="A85" s="1"/>
  <c r="C83"/>
  <c r="D83"/>
  <c r="E83"/>
  <c r="F83"/>
  <c r="G83"/>
  <c r="C84"/>
  <c r="D84"/>
  <c r="E84"/>
  <c r="F84"/>
  <c r="G84"/>
  <c r="C85"/>
  <c r="D85"/>
  <c r="E85"/>
  <c r="F85"/>
  <c r="H85" s="1"/>
  <c r="G85"/>
  <c r="I87"/>
  <c r="J87" s="1"/>
  <c r="I88"/>
  <c r="J88" s="1"/>
  <c r="B10" i="52"/>
  <c r="B14"/>
  <c r="B15" s="1"/>
  <c r="B16" s="1"/>
  <c r="B19" s="1"/>
  <c r="B20" s="1"/>
  <c r="B21" s="1"/>
  <c r="B22" s="1"/>
  <c r="B23" s="1"/>
  <c r="B26" s="1"/>
  <c r="B27" s="1"/>
  <c r="B28" s="1"/>
  <c r="I18"/>
  <c r="I25"/>
  <c r="B30"/>
  <c r="B31" s="1"/>
  <c r="B32" s="1"/>
  <c r="B33" s="1"/>
  <c r="I35"/>
  <c r="B37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I62"/>
  <c r="I82"/>
  <c r="B83"/>
  <c r="A10" i="44"/>
  <c r="A11" s="1"/>
  <c r="A12" s="1"/>
  <c r="A13" s="1"/>
  <c r="A14" s="1"/>
  <c r="A15" s="1"/>
  <c r="A16" s="1"/>
  <c r="A20"/>
  <c r="A21" s="1"/>
  <c r="A22" s="1"/>
  <c r="A23" s="1"/>
  <c r="A26" s="1"/>
  <c r="A27" s="1"/>
  <c r="A28" s="1"/>
  <c r="A29" s="1"/>
  <c r="A30" s="1"/>
  <c r="A31" s="1"/>
  <c r="A32" s="1"/>
  <c r="A33" s="1"/>
  <c r="A37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4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4"/>
  <c r="A85" s="1"/>
  <c r="A86" s="1"/>
  <c r="J88"/>
  <c r="K88"/>
  <c r="J89"/>
  <c r="K89"/>
  <c r="K90"/>
  <c r="A10" i="48"/>
  <c r="A11" s="1"/>
  <c r="A12" s="1"/>
  <c r="A13" s="1"/>
  <c r="A14" s="1"/>
  <c r="A15" s="1"/>
  <c r="A16" s="1"/>
  <c r="A20"/>
  <c r="A21" s="1"/>
  <c r="A22" s="1"/>
  <c r="A23" s="1"/>
  <c r="A26" s="1"/>
  <c r="A27" s="1"/>
  <c r="A28" s="1"/>
  <c r="A29" s="1"/>
  <c r="A30" s="1"/>
  <c r="A31" s="1"/>
  <c r="A32" s="1"/>
  <c r="A33" s="1"/>
  <c r="A37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4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4"/>
  <c r="A85" s="1"/>
  <c r="A86" s="1"/>
  <c r="G10" i="59"/>
  <c r="H10" s="1"/>
  <c r="A11"/>
  <c r="G11"/>
  <c r="H11" s="1"/>
  <c r="G12"/>
  <c r="H12" s="1"/>
  <c r="G13"/>
  <c r="G14"/>
  <c r="H14" s="1"/>
  <c r="A15"/>
  <c r="A16" s="1"/>
  <c r="A17" s="1"/>
  <c r="A20" s="1"/>
  <c r="A21" s="1"/>
  <c r="A22" s="1"/>
  <c r="A23" s="1"/>
  <c r="A24" s="1"/>
  <c r="A27" s="1"/>
  <c r="A28" s="1"/>
  <c r="A29" s="1"/>
  <c r="G15"/>
  <c r="H15" s="1"/>
  <c r="G16"/>
  <c r="H16" s="1"/>
  <c r="G17"/>
  <c r="H17" s="1"/>
  <c r="H19"/>
  <c r="G20"/>
  <c r="H20" s="1"/>
  <c r="G21"/>
  <c r="H21" s="1"/>
  <c r="G22"/>
  <c r="H22" s="1"/>
  <c r="G23"/>
  <c r="H23" s="1"/>
  <c r="G24"/>
  <c r="H24" s="1"/>
  <c r="H26"/>
  <c r="G27"/>
  <c r="G28"/>
  <c r="H28" s="1"/>
  <c r="G29"/>
  <c r="H29" s="1"/>
  <c r="G30"/>
  <c r="A31"/>
  <c r="A32" s="1"/>
  <c r="A33" s="1"/>
  <c r="A34" s="1"/>
  <c r="G31"/>
  <c r="G32"/>
  <c r="H32" s="1"/>
  <c r="G33"/>
  <c r="H33" s="1"/>
  <c r="G34"/>
  <c r="H34" s="1"/>
  <c r="H36"/>
  <c r="G37"/>
  <c r="H37" s="1"/>
  <c r="A3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G38"/>
  <c r="H38" s="1"/>
  <c r="G39"/>
  <c r="H39" s="1"/>
  <c r="G40"/>
  <c r="H40" s="1"/>
  <c r="G41"/>
  <c r="H41" s="1"/>
  <c r="G42"/>
  <c r="H42" s="1"/>
  <c r="G43"/>
  <c r="G44"/>
  <c r="G45"/>
  <c r="G46"/>
  <c r="H46" s="1"/>
  <c r="H47"/>
  <c r="G48"/>
  <c r="H48" s="1"/>
  <c r="G49"/>
  <c r="H49" s="1"/>
  <c r="G50"/>
  <c r="H50" s="1"/>
  <c r="G51"/>
  <c r="H51" s="1"/>
  <c r="G52"/>
  <c r="H52" s="1"/>
  <c r="G53"/>
  <c r="H53" s="1"/>
  <c r="G54"/>
  <c r="H54" s="1"/>
  <c r="G55"/>
  <c r="G56"/>
  <c r="G57"/>
  <c r="G58"/>
  <c r="H58" s="1"/>
  <c r="G59"/>
  <c r="H59" s="1"/>
  <c r="G60"/>
  <c r="H60" s="1"/>
  <c r="G61"/>
  <c r="H61" s="1"/>
  <c r="H63"/>
  <c r="G64"/>
  <c r="G65"/>
  <c r="H65" s="1"/>
  <c r="G66"/>
  <c r="H66" s="1"/>
  <c r="G67"/>
  <c r="H67" s="1"/>
  <c r="G68"/>
  <c r="H68" s="1"/>
  <c r="G69"/>
  <c r="G70"/>
  <c r="G7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80"/>
  <c r="H80" s="1"/>
  <c r="G81"/>
  <c r="H83"/>
  <c r="A84"/>
  <c r="G84"/>
  <c r="H85"/>
  <c r="H87"/>
  <c r="H10" i="69"/>
  <c r="A11"/>
  <c r="H12"/>
  <c r="H13"/>
  <c r="H14"/>
  <c r="A15"/>
  <c r="A16"/>
  <c r="A17" s="1"/>
  <c r="A20" s="1"/>
  <c r="A21" s="1"/>
  <c r="A22" s="1"/>
  <c r="A23" s="1"/>
  <c r="A24" s="1"/>
  <c r="A27" s="1"/>
  <c r="A28" s="1"/>
  <c r="A29" s="1"/>
  <c r="H17"/>
  <c r="G18"/>
  <c r="H19"/>
  <c r="H21"/>
  <c r="H22"/>
  <c r="H24"/>
  <c r="G25"/>
  <c r="H26"/>
  <c r="H28"/>
  <c r="H29"/>
  <c r="H30"/>
  <c r="A31"/>
  <c r="H31"/>
  <c r="A32"/>
  <c r="A33" s="1"/>
  <c r="A34" s="1"/>
  <c r="H33"/>
  <c r="H36"/>
  <c r="H37"/>
  <c r="A3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H38"/>
  <c r="H39"/>
  <c r="H40"/>
  <c r="H41"/>
  <c r="H42"/>
  <c r="H43"/>
  <c r="H44"/>
  <c r="H45"/>
  <c r="H46"/>
  <c r="H47"/>
  <c r="H49"/>
  <c r="H50"/>
  <c r="H51"/>
  <c r="H52"/>
  <c r="H53"/>
  <c r="H54"/>
  <c r="H55"/>
  <c r="H56"/>
  <c r="H57"/>
  <c r="H58"/>
  <c r="H59"/>
  <c r="H61"/>
  <c r="H63"/>
  <c r="H64"/>
  <c r="H66"/>
  <c r="H68"/>
  <c r="H69"/>
  <c r="H70"/>
  <c r="H71"/>
  <c r="H72"/>
  <c r="H76"/>
  <c r="H78"/>
  <c r="H80"/>
  <c r="H81"/>
  <c r="G82"/>
  <c r="H82" s="1"/>
  <c r="H83"/>
  <c r="A84"/>
  <c r="H84"/>
  <c r="H85"/>
  <c r="H87"/>
  <c r="A10" i="60"/>
  <c r="A11" s="1"/>
  <c r="A12" s="1"/>
  <c r="A13" s="1"/>
  <c r="A14" s="1"/>
  <c r="A15" s="1"/>
  <c r="A16" s="1"/>
  <c r="A20"/>
  <c r="A21" s="1"/>
  <c r="A22" s="1"/>
  <c r="A23" s="1"/>
  <c r="A26" s="1"/>
  <c r="A27" s="1"/>
  <c r="A28" s="1"/>
  <c r="A29" s="1"/>
  <c r="A30" s="1"/>
  <c r="A31" s="1"/>
  <c r="A32" s="1"/>
  <c r="A33" s="1"/>
  <c r="A37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4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4"/>
  <c r="A85" s="1"/>
  <c r="A86" s="1"/>
  <c r="F7" i="54"/>
  <c r="I7"/>
  <c r="F8"/>
  <c r="I8"/>
  <c r="F9"/>
  <c r="I9"/>
  <c r="F10"/>
  <c r="I10"/>
  <c r="F11"/>
  <c r="I11"/>
  <c r="F12"/>
  <c r="I12"/>
  <c r="F13"/>
  <c r="I13"/>
  <c r="F14"/>
  <c r="I14"/>
  <c r="E15"/>
  <c r="G15"/>
  <c r="H15"/>
  <c r="I15" s="1"/>
  <c r="F17"/>
  <c r="I17"/>
  <c r="F18"/>
  <c r="I18"/>
  <c r="F19"/>
  <c r="I19"/>
  <c r="F20"/>
  <c r="I20"/>
  <c r="F21"/>
  <c r="I21"/>
  <c r="E22"/>
  <c r="G22"/>
  <c r="H22"/>
  <c r="I22" s="1"/>
  <c r="F24"/>
  <c r="I24"/>
  <c r="F25"/>
  <c r="I25"/>
  <c r="F26"/>
  <c r="I26"/>
  <c r="F27"/>
  <c r="I27"/>
  <c r="F28"/>
  <c r="I28"/>
  <c r="F29"/>
  <c r="I29"/>
  <c r="F30"/>
  <c r="I30"/>
  <c r="F31"/>
  <c r="I31"/>
  <c r="E32"/>
  <c r="G32"/>
  <c r="H32"/>
  <c r="F34"/>
  <c r="I34"/>
  <c r="F35"/>
  <c r="I35"/>
  <c r="F36"/>
  <c r="I36"/>
  <c r="F37"/>
  <c r="I37"/>
  <c r="F38"/>
  <c r="I38"/>
  <c r="F39"/>
  <c r="I39"/>
  <c r="F40"/>
  <c r="I40"/>
  <c r="F41"/>
  <c r="I41"/>
  <c r="F42"/>
  <c r="I42"/>
  <c r="F43"/>
  <c r="I43"/>
  <c r="F44"/>
  <c r="I44"/>
  <c r="F45"/>
  <c r="I45"/>
  <c r="F46"/>
  <c r="I46"/>
  <c r="F47"/>
  <c r="I47"/>
  <c r="F48"/>
  <c r="I48"/>
  <c r="F49"/>
  <c r="I49"/>
  <c r="F50"/>
  <c r="I50"/>
  <c r="F51"/>
  <c r="I51"/>
  <c r="F52"/>
  <c r="I52"/>
  <c r="F53"/>
  <c r="I53"/>
  <c r="F54"/>
  <c r="I54"/>
  <c r="F55"/>
  <c r="I55"/>
  <c r="F56"/>
  <c r="I56"/>
  <c r="F57"/>
  <c r="I57"/>
  <c r="F58"/>
  <c r="I58"/>
  <c r="E59"/>
  <c r="G59"/>
  <c r="H59"/>
  <c r="F61"/>
  <c r="I61"/>
  <c r="F62"/>
  <c r="I62"/>
  <c r="F63"/>
  <c r="I63"/>
  <c r="F64"/>
  <c r="I64"/>
  <c r="F65"/>
  <c r="I65"/>
  <c r="F66"/>
  <c r="I66"/>
  <c r="F67"/>
  <c r="I67"/>
  <c r="F68"/>
  <c r="I68"/>
  <c r="F69"/>
  <c r="I69"/>
  <c r="F70"/>
  <c r="I70"/>
  <c r="F71"/>
  <c r="I71"/>
  <c r="F72"/>
  <c r="I72"/>
  <c r="F73"/>
  <c r="I73"/>
  <c r="F74"/>
  <c r="I74"/>
  <c r="F75"/>
  <c r="I75"/>
  <c r="F76"/>
  <c r="I76"/>
  <c r="F77"/>
  <c r="I77"/>
  <c r="F78"/>
  <c r="I78"/>
  <c r="E79"/>
  <c r="G79"/>
  <c r="H79"/>
  <c r="F81"/>
  <c r="I81"/>
  <c r="E38" i="65"/>
  <c r="E40"/>
  <c r="E41"/>
  <c r="E42"/>
  <c r="E43"/>
  <c r="E29"/>
  <c r="F29" s="1"/>
  <c r="I29" s="1"/>
  <c r="E31"/>
  <c r="F31" s="1"/>
  <c r="I31" s="1"/>
  <c r="E32"/>
  <c r="F32" s="1"/>
  <c r="I32" s="1"/>
  <c r="E33"/>
  <c r="F33" s="1"/>
  <c r="I33" s="1"/>
  <c r="E34"/>
  <c r="F34" s="1"/>
  <c r="I34" s="1"/>
  <c r="E23"/>
  <c r="E25"/>
  <c r="F25" s="1"/>
  <c r="I25" s="1"/>
  <c r="E20"/>
  <c r="F20" s="1"/>
  <c r="I20" s="1"/>
  <c r="E16"/>
  <c r="E18"/>
  <c r="E6"/>
  <c r="E7"/>
  <c r="F7" s="1"/>
  <c r="I7" s="1"/>
  <c r="E8"/>
  <c r="F8" s="1"/>
  <c r="I8" s="1"/>
  <c r="E10"/>
  <c r="E12"/>
  <c r="E13"/>
  <c r="E83" i="18"/>
  <c r="F83" s="1"/>
  <c r="I17" i="76"/>
  <c r="E18"/>
  <c r="E15"/>
  <c r="I72" i="47"/>
  <c r="J72" s="1"/>
  <c r="I70"/>
  <c r="J70" s="1"/>
  <c r="BN60" i="77"/>
  <c r="BN65"/>
  <c r="BT65" s="1"/>
  <c r="I58" i="47"/>
  <c r="J58" s="1"/>
  <c r="I56"/>
  <c r="J56" s="1"/>
  <c r="I54"/>
  <c r="J54" s="1"/>
  <c r="I46"/>
  <c r="J46" s="1"/>
  <c r="I44"/>
  <c r="J44" s="1"/>
  <c r="C80"/>
  <c r="BV17" i="77"/>
  <c r="BN52"/>
  <c r="BN66"/>
  <c r="BP24"/>
  <c r="I84" i="47"/>
  <c r="J84" s="1"/>
  <c r="I77"/>
  <c r="I75"/>
  <c r="I73"/>
  <c r="I71"/>
  <c r="I62"/>
  <c r="J62" s="1"/>
  <c r="H55"/>
  <c r="H53"/>
  <c r="H51"/>
  <c r="H49"/>
  <c r="H43"/>
  <c r="F33"/>
  <c r="H31"/>
  <c r="H29"/>
  <c r="I29"/>
  <c r="J29" s="1"/>
  <c r="BN21" i="77"/>
  <c r="BN57"/>
  <c r="BN56"/>
  <c r="BN37"/>
  <c r="BP17"/>
  <c r="F86" i="47"/>
  <c r="J77"/>
  <c r="J75"/>
  <c r="C86"/>
  <c r="H78"/>
  <c r="H74"/>
  <c r="H72"/>
  <c r="H70"/>
  <c r="I53"/>
  <c r="J53" s="1"/>
  <c r="I51"/>
  <c r="J51" s="1"/>
  <c r="I49"/>
  <c r="J49" s="1"/>
  <c r="I47"/>
  <c r="H35"/>
  <c r="I32"/>
  <c r="J32" s="1"/>
  <c r="I30"/>
  <c r="J30" s="1"/>
  <c r="EV81" i="77"/>
  <c r="BV34"/>
  <c r="BS81"/>
  <c r="BU81"/>
  <c r="BN23"/>
  <c r="BN29"/>
  <c r="BN59"/>
  <c r="BN53"/>
  <c r="BN49"/>
  <c r="BN43"/>
  <c r="BN41"/>
  <c r="BN67"/>
  <c r="BP34"/>
  <c r="BO81"/>
  <c r="E17" i="18"/>
  <c r="F17" s="1"/>
  <c r="EU34" i="77"/>
  <c r="ES87"/>
  <c r="BS24"/>
  <c r="BU24"/>
  <c r="BU61"/>
  <c r="BR87"/>
  <c r="BN64"/>
  <c r="BO24"/>
  <c r="BO61"/>
  <c r="BO87"/>
  <c r="BO89" s="1"/>
  <c r="BO97" s="1"/>
  <c r="D25" i="69"/>
  <c r="CX81" i="77"/>
  <c r="CX89" s="1"/>
  <c r="BZ87"/>
  <c r="L95" i="50"/>
  <c r="L89"/>
  <c r="ER81" i="77"/>
  <c r="ES24"/>
  <c r="ES81"/>
  <c r="BT21"/>
  <c r="BB24"/>
  <c r="BB25" s="1"/>
  <c r="BH87"/>
  <c r="BH88" s="1"/>
  <c r="AD87"/>
  <c r="F17"/>
  <c r="F18" s="1"/>
  <c r="EN46"/>
  <c r="EH61"/>
  <c r="EH89" s="1"/>
  <c r="EU87"/>
  <c r="BT64"/>
  <c r="EN84"/>
  <c r="AV68"/>
  <c r="I42" i="50"/>
  <c r="EB82" i="77"/>
  <c r="CI87"/>
  <c r="BQ21"/>
  <c r="EQ21" s="1"/>
  <c r="BQ19"/>
  <c r="BQ14"/>
  <c r="EQ14" s="1"/>
  <c r="BQ12"/>
  <c r="EQ12" s="1"/>
  <c r="BQ10"/>
  <c r="DE89"/>
  <c r="BI89"/>
  <c r="P20" i="31"/>
  <c r="L42" i="79"/>
  <c r="G18" i="59"/>
  <c r="H18" s="1"/>
  <c r="D86" i="47"/>
  <c r="F80"/>
  <c r="AX89" i="77"/>
  <c r="AV91" s="1"/>
  <c r="F37" i="31"/>
  <c r="H37"/>
  <c r="P30"/>
  <c r="D37"/>
  <c r="L32" i="79"/>
  <c r="I28" i="76"/>
  <c r="I89" i="79"/>
  <c r="I42"/>
  <c r="I32"/>
  <c r="I25"/>
  <c r="E23" i="76"/>
  <c r="G32" i="4"/>
  <c r="F23" i="76"/>
  <c r="G28" i="4"/>
  <c r="G29"/>
  <c r="D18" i="76"/>
  <c r="D17"/>
  <c r="H20"/>
  <c r="H23"/>
  <c r="H17"/>
  <c r="F17"/>
  <c r="F18"/>
  <c r="F15"/>
  <c r="H15"/>
  <c r="F20"/>
  <c r="I20"/>
  <c r="D22"/>
  <c r="D28"/>
  <c r="H29"/>
  <c r="D19"/>
  <c r="D29"/>
  <c r="I19"/>
  <c r="H63" i="44"/>
  <c r="DE97" i="77"/>
  <c r="E20" i="76"/>
  <c r="E22"/>
  <c r="E19"/>
  <c r="I22"/>
  <c r="I29"/>
  <c r="I30" s="1"/>
  <c r="D26" i="18"/>
  <c r="C26" s="1"/>
  <c r="I23" i="76"/>
  <c r="H19"/>
  <c r="D20"/>
  <c r="F22"/>
  <c r="E29"/>
  <c r="E30" s="1"/>
  <c r="F19"/>
  <c r="F29"/>
  <c r="H26" i="44"/>
  <c r="EQ10" i="77"/>
  <c r="F88"/>
  <c r="L88"/>
  <c r="G76" i="44"/>
  <c r="H9"/>
  <c r="H83" i="48"/>
  <c r="E26" i="44"/>
  <c r="E26" i="48" s="1"/>
  <c r="H19" i="44"/>
  <c r="H63" i="48"/>
  <c r="D30" i="76"/>
  <c r="H9" i="48"/>
  <c r="F16" i="76"/>
  <c r="E16"/>
  <c r="I16"/>
  <c r="I21"/>
  <c r="F21"/>
  <c r="E21"/>
  <c r="H70" i="4"/>
  <c r="H26" i="48"/>
  <c r="E26" i="4"/>
  <c r="H42" i="48"/>
  <c r="F7" i="76"/>
  <c r="E7"/>
  <c r="E14"/>
  <c r="H46" i="44"/>
  <c r="H46" i="60" s="1"/>
  <c r="H46" i="48"/>
  <c r="D29" i="44"/>
  <c r="H14" i="76"/>
  <c r="I14"/>
  <c r="I12"/>
  <c r="F12"/>
  <c r="E12"/>
  <c r="F8"/>
  <c r="H8"/>
  <c r="D30" i="44"/>
  <c r="H27"/>
  <c r="H27" i="48"/>
  <c r="F11" i="76"/>
  <c r="H11"/>
  <c r="E13"/>
  <c r="F13"/>
  <c r="F9"/>
  <c r="H9"/>
  <c r="F24"/>
  <c r="E24"/>
  <c r="H24"/>
  <c r="BN19" i="77"/>
  <c r="H21" i="76"/>
  <c r="E17"/>
  <c r="F14"/>
  <c r="H22"/>
  <c r="H16"/>
  <c r="I9"/>
  <c r="E9"/>
  <c r="G76" i="48"/>
  <c r="E10" i="76"/>
  <c r="G10" s="1"/>
  <c r="J10" s="1"/>
  <c r="D39" i="18"/>
  <c r="C39" s="1"/>
  <c r="D77"/>
  <c r="C77" s="1"/>
  <c r="D77" i="44"/>
  <c r="F30" i="4"/>
  <c r="H7" i="76"/>
  <c r="I24" i="46"/>
  <c r="I24" i="76"/>
  <c r="E8"/>
  <c r="H18"/>
  <c r="D55" i="44"/>
  <c r="D55" i="48" s="1"/>
  <c r="I15" i="76"/>
  <c r="I8"/>
  <c r="D7"/>
  <c r="D16"/>
  <c r="D78" i="18"/>
  <c r="ER21" i="77"/>
  <c r="BR24"/>
  <c r="D15" i="18"/>
  <c r="C15" s="1"/>
  <c r="E50" i="4"/>
  <c r="H13" i="76"/>
  <c r="D9"/>
  <c r="G9" s="1"/>
  <c r="J9" s="1"/>
  <c r="D15"/>
  <c r="D24"/>
  <c r="D11"/>
  <c r="I11"/>
  <c r="H16" i="44"/>
  <c r="I13" i="46" s="1"/>
  <c r="H16" i="48"/>
  <c r="H15" i="44"/>
  <c r="I12" i="46" s="1"/>
  <c r="H15" i="48"/>
  <c r="H15" i="60"/>
  <c r="H80" i="48"/>
  <c r="H80" i="44"/>
  <c r="H80" i="60" s="1"/>
  <c r="H78" i="48"/>
  <c r="H78" i="44"/>
  <c r="H78" i="60" s="1"/>
  <c r="H76" i="48"/>
  <c r="H76" i="44"/>
  <c r="H76" i="60" s="1"/>
  <c r="H30" i="48"/>
  <c r="H30" i="44"/>
  <c r="H30" i="60" s="1"/>
  <c r="H21" i="44"/>
  <c r="I18" i="46" s="1"/>
  <c r="H21" i="48"/>
  <c r="H66" i="44"/>
  <c r="I39" i="46" s="1"/>
  <c r="H66" i="48"/>
  <c r="H40" i="44"/>
  <c r="H40" i="60" s="1"/>
  <c r="H40" i="48"/>
  <c r="H38"/>
  <c r="H38" i="44"/>
  <c r="F32" i="4"/>
  <c r="E32" i="44"/>
  <c r="G33"/>
  <c r="G33" i="48"/>
  <c r="H29" i="4"/>
  <c r="H23" i="44"/>
  <c r="H23" i="48"/>
  <c r="H11" i="44"/>
  <c r="H11" i="60" s="1"/>
  <c r="H11" i="48"/>
  <c r="EY32" i="77"/>
  <c r="G33" i="60"/>
  <c r="I20" i="46"/>
  <c r="BN87" i="77"/>
  <c r="D49" i="18"/>
  <c r="C49" s="1"/>
  <c r="D38"/>
  <c r="C38" s="1"/>
  <c r="G83" i="44"/>
  <c r="D71"/>
  <c r="D67"/>
  <c r="EX67" i="77" s="1"/>
  <c r="E65" i="4"/>
  <c r="G36" i="44"/>
  <c r="D48" i="18"/>
  <c r="C48" s="1"/>
  <c r="E35" i="4"/>
  <c r="D52" i="18"/>
  <c r="C52" s="1"/>
  <c r="D21" i="44"/>
  <c r="D21" i="18"/>
  <c r="C21" s="1"/>
  <c r="G83" i="48"/>
  <c r="D73" i="44"/>
  <c r="E63" i="4"/>
  <c r="D52" i="44"/>
  <c r="EX52" i="77" s="1"/>
  <c r="G36" i="48"/>
  <c r="H59" i="4"/>
  <c r="E20"/>
  <c r="H86" i="48"/>
  <c r="H86" i="44"/>
  <c r="E65"/>
  <c r="EY65" i="77" s="1"/>
  <c r="F62" i="4"/>
  <c r="H73" i="48"/>
  <c r="H73" i="44"/>
  <c r="H71" i="48"/>
  <c r="H71" i="44"/>
  <c r="H71" i="60" s="1"/>
  <c r="H69" i="48"/>
  <c r="H69" i="44"/>
  <c r="H59" i="48"/>
  <c r="H59" i="44"/>
  <c r="H57"/>
  <c r="H57" i="60" s="1"/>
  <c r="H57" i="48"/>
  <c r="H55"/>
  <c r="H55" i="44"/>
  <c r="H53"/>
  <c r="H53" i="60" s="1"/>
  <c r="H53" i="48"/>
  <c r="H51" i="44"/>
  <c r="H51" i="60" s="1"/>
  <c r="H51" i="48"/>
  <c r="H49" i="44"/>
  <c r="H49" i="48"/>
  <c r="H44"/>
  <c r="H44" i="44"/>
  <c r="E58"/>
  <c r="EY58" i="77" s="1"/>
  <c r="F55" i="4"/>
  <c r="E56" i="44"/>
  <c r="EY56" i="77" s="1"/>
  <c r="F52" i="4"/>
  <c r="F49"/>
  <c r="E54" i="44"/>
  <c r="EY54" i="77" s="1"/>
  <c r="E42" i="4"/>
  <c r="D48" i="44"/>
  <c r="H10" i="76"/>
  <c r="H29" i="44"/>
  <c r="H29" i="60" s="1"/>
  <c r="H29" i="48"/>
  <c r="H32"/>
  <c r="H32" i="44"/>
  <c r="H32" i="60" s="1"/>
  <c r="E32" s="1"/>
  <c r="H86"/>
  <c r="H73"/>
  <c r="E65" i="48"/>
  <c r="D48"/>
  <c r="H49" i="60"/>
  <c r="E54" i="48"/>
  <c r="H44" i="60"/>
  <c r="H55"/>
  <c r="H59"/>
  <c r="E16" i="47"/>
  <c r="I82"/>
  <c r="J82" s="1"/>
  <c r="E60"/>
  <c r="D16"/>
  <c r="D32" i="76"/>
  <c r="E86" i="47"/>
  <c r="I86" s="1"/>
  <c r="H75"/>
  <c r="D80"/>
  <c r="I66"/>
  <c r="C60"/>
  <c r="D62" i="69"/>
  <c r="H56" i="47"/>
  <c r="H48"/>
  <c r="D60"/>
  <c r="I60" s="1"/>
  <c r="H30"/>
  <c r="C33"/>
  <c r="C92" s="1"/>
  <c r="D35" i="69"/>
  <c r="I20" i="47"/>
  <c r="J20" s="1"/>
  <c r="C23"/>
  <c r="I11"/>
  <c r="J11" s="1"/>
  <c r="C16"/>
  <c r="H36" i="48"/>
  <c r="H23" i="60"/>
  <c r="H21"/>
  <c r="D50" i="44"/>
  <c r="D16"/>
  <c r="H27" i="60"/>
  <c r="E28" i="4"/>
  <c r="H12" i="76"/>
  <c r="I7"/>
  <c r="H19" i="48"/>
  <c r="EK24" i="77"/>
  <c r="EU19"/>
  <c r="EU24" s="1"/>
  <c r="G62" i="59"/>
  <c r="I36" i="47"/>
  <c r="J36" s="1"/>
  <c r="I25"/>
  <c r="J25" s="1"/>
  <c r="I95" i="50"/>
  <c r="I32"/>
  <c r="CK89" i="77"/>
  <c r="CV89"/>
  <c r="DO89"/>
  <c r="EE89"/>
  <c r="EJ89"/>
  <c r="BX89"/>
  <c r="BX95" s="1"/>
  <c r="P89"/>
  <c r="W89"/>
  <c r="W97" s="1"/>
  <c r="BT47"/>
  <c r="ET47" s="1"/>
  <c r="AJ81"/>
  <c r="AJ82" s="1"/>
  <c r="EU36"/>
  <c r="EU61" s="1"/>
  <c r="CC89"/>
  <c r="CQ89"/>
  <c r="DM89"/>
  <c r="DZ89"/>
  <c r="EG89"/>
  <c r="DP89"/>
  <c r="CD89"/>
  <c r="CD95" s="1"/>
  <c r="CP89"/>
  <c r="CP95" s="1"/>
  <c r="R17"/>
  <c r="CL87"/>
  <c r="CA34"/>
  <c r="F28" i="76"/>
  <c r="D10"/>
  <c r="EO87" i="77"/>
  <c r="EP24"/>
  <c r="D11" i="44"/>
  <c r="D11" i="48" s="1"/>
  <c r="E9" i="4"/>
  <c r="R18" i="77"/>
  <c r="P97"/>
  <c r="P95"/>
  <c r="E14" i="4"/>
  <c r="E44"/>
  <c r="H36" i="44"/>
  <c r="E32" i="4"/>
  <c r="D11" i="52"/>
  <c r="G11" s="1"/>
  <c r="D28" i="44"/>
  <c r="E27" i="4"/>
  <c r="D32" i="44"/>
  <c r="D31"/>
  <c r="D31" i="48" s="1"/>
  <c r="E31" i="4"/>
  <c r="D27" i="44"/>
  <c r="EX27" i="77" s="1"/>
  <c r="E25" i="4"/>
  <c r="D28" i="48"/>
  <c r="D28" i="52"/>
  <c r="G28" s="1"/>
  <c r="EX28" i="77"/>
  <c r="H75" i="44"/>
  <c r="H75" i="60" s="1"/>
  <c r="H75" i="48"/>
  <c r="E76" i="4"/>
  <c r="D21" i="76"/>
  <c r="G21" s="1"/>
  <c r="J21" s="1"/>
  <c r="E72" i="4"/>
  <c r="D38" i="44"/>
  <c r="E46" i="4"/>
  <c r="D39" i="44"/>
  <c r="G20" i="76"/>
  <c r="J20" s="1"/>
  <c r="D23"/>
  <c r="H38" i="60"/>
  <c r="E11" i="76"/>
  <c r="D12"/>
  <c r="D45" i="18"/>
  <c r="C45" s="1"/>
  <c r="E74" i="4"/>
  <c r="D78" i="44"/>
  <c r="EX78" i="77" s="1"/>
  <c r="E63" i="44"/>
  <c r="E63" i="48" s="1"/>
  <c r="F79" i="4"/>
  <c r="D79" i="44"/>
  <c r="D79" i="48" s="1"/>
  <c r="G78"/>
  <c r="D13" i="76"/>
  <c r="H36" i="60"/>
  <c r="J78"/>
  <c r="G78" i="44"/>
  <c r="G78" i="60" s="1"/>
  <c r="D78" s="1"/>
  <c r="EY63" i="77"/>
  <c r="E13" i="4"/>
  <c r="D15" i="44"/>
  <c r="EX15" i="77" s="1"/>
  <c r="E54" i="4"/>
  <c r="D8" i="76"/>
  <c r="D28" i="4"/>
  <c r="C29" i="44"/>
  <c r="C29" i="60" s="1"/>
  <c r="G26" i="48"/>
  <c r="G26" i="44"/>
  <c r="G23" i="65" s="1"/>
  <c r="H30" i="4"/>
  <c r="G26" i="60"/>
  <c r="D26" s="1"/>
  <c r="H72" i="4"/>
  <c r="G77" i="44"/>
  <c r="G77" i="60" s="1"/>
  <c r="J77"/>
  <c r="G77" i="48"/>
  <c r="H84" i="60"/>
  <c r="E64" i="44"/>
  <c r="EY64" i="77" s="1"/>
  <c r="F78" i="4"/>
  <c r="D27" i="52"/>
  <c r="G27" s="1"/>
  <c r="D14" i="76"/>
  <c r="E64" i="48"/>
  <c r="H82" i="4"/>
  <c r="H83" i="44"/>
  <c r="H83" i="60" s="1"/>
  <c r="H63"/>
  <c r="I33" i="46"/>
  <c r="H42" i="60"/>
  <c r="E53" i="4"/>
  <c r="D57" i="44"/>
  <c r="D57" i="48" s="1"/>
  <c r="E43" i="4"/>
  <c r="D49" i="44"/>
  <c r="D49" i="48" s="1"/>
  <c r="EX57" i="77"/>
  <c r="H67" i="44"/>
  <c r="H67" i="48"/>
  <c r="EX55" i="77"/>
  <c r="D55" i="52"/>
  <c r="G55" s="1"/>
  <c r="I13" i="76"/>
  <c r="G83" i="60"/>
  <c r="D53" i="44"/>
  <c r="E48" i="4"/>
  <c r="G30"/>
  <c r="D31"/>
  <c r="C31" i="44"/>
  <c r="D26" i="4"/>
  <c r="C30" i="44"/>
  <c r="C30" i="60" s="1"/>
  <c r="I16" i="46"/>
  <c r="H19" i="60"/>
  <c r="H9"/>
  <c r="I6" i="46"/>
  <c r="H10" i="44"/>
  <c r="H10" i="48"/>
  <c r="C30"/>
  <c r="G26" i="4"/>
  <c r="F82"/>
  <c r="E83" i="44"/>
  <c r="F83" i="4"/>
  <c r="E84" i="44"/>
  <c r="D67" i="48"/>
  <c r="D67" i="52"/>
  <c r="H77" i="4"/>
  <c r="G80" i="44"/>
  <c r="G80" i="48"/>
  <c r="G76" i="60"/>
  <c r="H79" i="4"/>
  <c r="G63" i="48"/>
  <c r="G63" i="44"/>
  <c r="H75" i="4"/>
  <c r="G66" i="48"/>
  <c r="G66" i="44"/>
  <c r="G39" i="65" s="1"/>
  <c r="D75" i="44"/>
  <c r="E69" i="4"/>
  <c r="C78" i="18"/>
  <c r="E62" i="4"/>
  <c r="D65" i="44"/>
  <c r="EX77" i="77"/>
  <c r="D77" i="48"/>
  <c r="D77" i="52"/>
  <c r="G77" s="1"/>
  <c r="E71" i="4"/>
  <c r="D50" i="52"/>
  <c r="D50" i="48"/>
  <c r="I50" i="52" s="1"/>
  <c r="EX50" i="77"/>
  <c r="D41" i="44"/>
  <c r="D41" i="48" s="1"/>
  <c r="E58" i="4"/>
  <c r="D45" i="44"/>
  <c r="E38" i="4"/>
  <c r="E39"/>
  <c r="D46" i="44"/>
  <c r="G39" i="48"/>
  <c r="J39" i="60"/>
  <c r="G39" i="44"/>
  <c r="H54" i="4"/>
  <c r="G25"/>
  <c r="EY26" i="77"/>
  <c r="C33" i="44"/>
  <c r="D29" i="4"/>
  <c r="E30"/>
  <c r="J26" i="60"/>
  <c r="D26" i="44"/>
  <c r="D29" i="52"/>
  <c r="G29" s="1"/>
  <c r="D29" i="48"/>
  <c r="EX29" i="77"/>
  <c r="D25" i="4"/>
  <c r="C27" i="44"/>
  <c r="C27" i="48" s="1"/>
  <c r="D32" i="4"/>
  <c r="I32" s="1"/>
  <c r="J32" s="1"/>
  <c r="C32" i="44"/>
  <c r="D27" i="4"/>
  <c r="C28" i="44"/>
  <c r="D30" i="4"/>
  <c r="I30" s="1"/>
  <c r="C26" i="44"/>
  <c r="J15" i="60"/>
  <c r="G15" i="48"/>
  <c r="G15" i="44"/>
  <c r="G15" i="60" s="1"/>
  <c r="D15" s="1"/>
  <c r="H13" i="4"/>
  <c r="E83" i="48"/>
  <c r="EY83" i="77"/>
  <c r="D75" i="48"/>
  <c r="G80" i="60"/>
  <c r="G67" i="52"/>
  <c r="I67"/>
  <c r="D65" i="48"/>
  <c r="D65" i="52"/>
  <c r="EX65" i="77"/>
  <c r="H39" i="46"/>
  <c r="G63" i="60"/>
  <c r="EX45" i="77"/>
  <c r="D45" i="48"/>
  <c r="D45" i="52"/>
  <c r="G45" s="1"/>
  <c r="EX41" i="77"/>
  <c r="H30" i="46"/>
  <c r="G39" i="60"/>
  <c r="G30" i="65"/>
  <c r="D46" i="48"/>
  <c r="D46" i="52"/>
  <c r="I46" s="1"/>
  <c r="EX46" i="77"/>
  <c r="G50" i="52"/>
  <c r="C28" i="60"/>
  <c r="EW28" i="77"/>
  <c r="C28" i="48"/>
  <c r="EW32" i="77"/>
  <c r="C32" i="48"/>
  <c r="J32" i="44"/>
  <c r="C32" i="60"/>
  <c r="F32" i="44"/>
  <c r="EW33" i="77"/>
  <c r="C33" i="48"/>
  <c r="C33" i="60"/>
  <c r="C26"/>
  <c r="EW26" i="77"/>
  <c r="C34" i="44"/>
  <c r="C26" i="48"/>
  <c r="C34" s="1"/>
  <c r="J26" i="44"/>
  <c r="F26"/>
  <c r="EZ26" i="77" s="1"/>
  <c r="D33" i="4"/>
  <c r="EX26" i="77"/>
  <c r="D26" i="52"/>
  <c r="I26" s="1"/>
  <c r="D26" i="48"/>
  <c r="G12" i="65"/>
  <c r="H12" i="46"/>
  <c r="I65" i="52"/>
  <c r="G65"/>
  <c r="G46"/>
  <c r="G26"/>
  <c r="EZ32" i="77"/>
  <c r="D25" i="46"/>
  <c r="D23"/>
  <c r="D26" s="1"/>
  <c r="D85" i="44"/>
  <c r="E84" i="4"/>
  <c r="F85"/>
  <c r="E86" i="44"/>
  <c r="E86" i="48" s="1"/>
  <c r="G84" i="4"/>
  <c r="F84"/>
  <c r="F86" s="1"/>
  <c r="E85" i="44"/>
  <c r="F85" s="1"/>
  <c r="EZ85" i="77" s="1"/>
  <c r="G85" i="4"/>
  <c r="G77"/>
  <c r="G74"/>
  <c r="G70"/>
  <c r="G66"/>
  <c r="G64"/>
  <c r="G73"/>
  <c r="G68"/>
  <c r="G75"/>
  <c r="G78"/>
  <c r="G76"/>
  <c r="G72"/>
  <c r="G69"/>
  <c r="G65"/>
  <c r="G63"/>
  <c r="G67"/>
  <c r="G71"/>
  <c r="G56"/>
  <c r="G53"/>
  <c r="G50"/>
  <c r="G48"/>
  <c r="G45"/>
  <c r="G43"/>
  <c r="G41"/>
  <c r="G38"/>
  <c r="G47"/>
  <c r="G58"/>
  <c r="G54"/>
  <c r="G40"/>
  <c r="G57"/>
  <c r="G55"/>
  <c r="G52"/>
  <c r="G49"/>
  <c r="G35"/>
  <c r="G44"/>
  <c r="G42"/>
  <c r="G39"/>
  <c r="G37"/>
  <c r="G51"/>
  <c r="G36"/>
  <c r="G46"/>
  <c r="G21" i="48"/>
  <c r="H20" i="4"/>
  <c r="J21" i="60"/>
  <c r="G21" i="44"/>
  <c r="H18" i="46" s="1"/>
  <c r="G22" i="4"/>
  <c r="G20"/>
  <c r="E21"/>
  <c r="D22" i="44"/>
  <c r="EX22" i="77" s="1"/>
  <c r="G21" i="4"/>
  <c r="BN96" i="77"/>
  <c r="G13" i="4"/>
  <c r="G11"/>
  <c r="G9"/>
  <c r="G14"/>
  <c r="G12"/>
  <c r="G10"/>
  <c r="G8"/>
  <c r="C85" i="44"/>
  <c r="D84" i="4"/>
  <c r="I84" s="1"/>
  <c r="E86" i="60"/>
  <c r="E87" i="44"/>
  <c r="EX85" i="77"/>
  <c r="D85" i="48"/>
  <c r="D63" i="18"/>
  <c r="C63" s="1"/>
  <c r="D66"/>
  <c r="C66" s="1"/>
  <c r="D76"/>
  <c r="C76" s="1"/>
  <c r="D80"/>
  <c r="C80" s="1"/>
  <c r="C80" i="44"/>
  <c r="D77" i="4"/>
  <c r="F75"/>
  <c r="E66" i="44"/>
  <c r="E66" i="48" s="1"/>
  <c r="D46" i="4"/>
  <c r="C38" i="44"/>
  <c r="C38" i="48" s="1"/>
  <c r="D51" i="4"/>
  <c r="C42" i="44"/>
  <c r="C48"/>
  <c r="D42" i="4"/>
  <c r="D44"/>
  <c r="C50" i="44"/>
  <c r="EW50" i="77" s="1"/>
  <c r="D60" i="18"/>
  <c r="C60" s="1"/>
  <c r="C37" i="44"/>
  <c r="C37" i="48" s="1"/>
  <c r="D40" i="4"/>
  <c r="D54"/>
  <c r="C39" i="44"/>
  <c r="C43"/>
  <c r="C43" i="48" s="1"/>
  <c r="D47" i="4"/>
  <c r="C45" i="44"/>
  <c r="D38" i="4"/>
  <c r="C47" i="44"/>
  <c r="C47" i="48" s="1"/>
  <c r="D41" i="4"/>
  <c r="C49" i="44"/>
  <c r="C49" i="48" s="1"/>
  <c r="D43" i="4"/>
  <c r="D45"/>
  <c r="C51" i="44"/>
  <c r="EW51" i="77" s="1"/>
  <c r="D48" i="4"/>
  <c r="C53" i="44"/>
  <c r="D50" i="4"/>
  <c r="C55" i="44"/>
  <c r="D53" i="4"/>
  <c r="C57" i="44"/>
  <c r="D56" i="4"/>
  <c r="C59" i="44"/>
  <c r="D36" i="4"/>
  <c r="C40" i="44"/>
  <c r="EW40" i="77" s="1"/>
  <c r="D37" i="4"/>
  <c r="C44" i="44"/>
  <c r="EW44" i="77" s="1"/>
  <c r="D39" i="4"/>
  <c r="C46" i="44"/>
  <c r="D35" i="4"/>
  <c r="C52" i="44"/>
  <c r="C54"/>
  <c r="D49" i="4"/>
  <c r="D52"/>
  <c r="C56" i="44"/>
  <c r="C56" i="60" s="1"/>
  <c r="C58" i="44"/>
  <c r="D55" i="4"/>
  <c r="D57"/>
  <c r="C60" i="44"/>
  <c r="EW60" i="77" s="1"/>
  <c r="D36" i="18"/>
  <c r="C36" s="1"/>
  <c r="D58" i="4"/>
  <c r="C41" i="44"/>
  <c r="C41" i="60" s="1"/>
  <c r="D32" i="46" s="1"/>
  <c r="D20" i="4"/>
  <c r="C21" i="44"/>
  <c r="C23"/>
  <c r="D22" i="4"/>
  <c r="D19" i="18"/>
  <c r="C19" s="1"/>
  <c r="G21" i="60"/>
  <c r="D21" s="1"/>
  <c r="G18" i="65"/>
  <c r="D9" i="18"/>
  <c r="C9" s="1"/>
  <c r="D10"/>
  <c r="C10" s="1"/>
  <c r="D82" i="4"/>
  <c r="C83" i="44"/>
  <c r="EY87" i="77"/>
  <c r="C85" i="48"/>
  <c r="C85" i="60"/>
  <c r="EW85" i="77"/>
  <c r="J85" i="44"/>
  <c r="J83" i="60"/>
  <c r="D83" i="44"/>
  <c r="E82" i="4"/>
  <c r="I82" s="1"/>
  <c r="J82" s="1"/>
  <c r="E64"/>
  <c r="D72" i="44"/>
  <c r="D72" i="48" s="1"/>
  <c r="EW80" i="77"/>
  <c r="C80" i="48"/>
  <c r="C80" i="60"/>
  <c r="D74" i="44"/>
  <c r="D74" i="52" s="1"/>
  <c r="E66" i="4"/>
  <c r="D80" i="44"/>
  <c r="D80" i="48" s="1"/>
  <c r="J80" i="60"/>
  <c r="E77" i="4"/>
  <c r="J76" i="60"/>
  <c r="D76" i="44"/>
  <c r="E70" i="4"/>
  <c r="E79"/>
  <c r="D63" i="44"/>
  <c r="J63" i="60"/>
  <c r="D79" i="4"/>
  <c r="C63" i="44"/>
  <c r="C63" i="48" s="1"/>
  <c r="D68" i="44"/>
  <c r="EX68" i="77" s="1"/>
  <c r="E68" i="4"/>
  <c r="D70" i="44"/>
  <c r="E73" i="4"/>
  <c r="D64" i="44"/>
  <c r="E78" i="4"/>
  <c r="D66" i="44"/>
  <c r="D66" i="52" s="1"/>
  <c r="G66" s="1"/>
  <c r="E75" i="4"/>
  <c r="J66" i="60"/>
  <c r="E36" i="44"/>
  <c r="F59" i="4"/>
  <c r="D36" i="44"/>
  <c r="D36" i="48" s="1"/>
  <c r="E59" i="4"/>
  <c r="J36" i="60"/>
  <c r="EW56" i="77"/>
  <c r="C56" i="48"/>
  <c r="EW52" i="77"/>
  <c r="C52" i="60"/>
  <c r="C52" i="48"/>
  <c r="C46"/>
  <c r="C46" i="60"/>
  <c r="EW46" i="77"/>
  <c r="C40" i="48"/>
  <c r="C40" i="60"/>
  <c r="D31" i="46" s="1"/>
  <c r="D51" i="44"/>
  <c r="E45" i="4"/>
  <c r="E41"/>
  <c r="D47" i="44"/>
  <c r="EX47" i="77" s="1"/>
  <c r="E40" i="4"/>
  <c r="D37" i="44"/>
  <c r="C49" i="60"/>
  <c r="C45" i="48"/>
  <c r="C45" i="60"/>
  <c r="EW45" i="77"/>
  <c r="EW43"/>
  <c r="D60" i="44"/>
  <c r="E57" i="4"/>
  <c r="E55"/>
  <c r="I55" s="1"/>
  <c r="J55" s="1"/>
  <c r="D58" i="44"/>
  <c r="F58" s="1"/>
  <c r="D54"/>
  <c r="F54" s="1"/>
  <c r="EZ54" i="77" s="1"/>
  <c r="E49" i="4"/>
  <c r="I49" s="1"/>
  <c r="J49" s="1"/>
  <c r="C48" i="60"/>
  <c r="C48" i="48"/>
  <c r="EW48" i="77"/>
  <c r="D44" i="44"/>
  <c r="D44" i="52" s="1"/>
  <c r="E37" i="4"/>
  <c r="C58" i="48"/>
  <c r="C58" i="60"/>
  <c r="EW58" i="77"/>
  <c r="C54" i="60"/>
  <c r="EW54" i="77"/>
  <c r="C54" i="48"/>
  <c r="D59" i="4"/>
  <c r="C36" i="44"/>
  <c r="E51" i="4"/>
  <c r="D42" i="44"/>
  <c r="D42" i="48" s="1"/>
  <c r="EW59" i="77"/>
  <c r="C59" i="60"/>
  <c r="C59" i="48"/>
  <c r="C57"/>
  <c r="C57" i="60"/>
  <c r="EW57" i="77"/>
  <c r="EW55"/>
  <c r="C55" i="48"/>
  <c r="C55" i="60"/>
  <c r="C53"/>
  <c r="C53" i="48"/>
  <c r="EW53" i="77"/>
  <c r="C39" i="60"/>
  <c r="D30" i="46" s="1"/>
  <c r="C39" i="48"/>
  <c r="EW39" i="77"/>
  <c r="D59" i="44"/>
  <c r="E56" i="4"/>
  <c r="C42" i="60"/>
  <c r="D33" i="46" s="1"/>
  <c r="EW42" i="77"/>
  <c r="C42" i="48"/>
  <c r="C38" i="60"/>
  <c r="D29" i="46" s="1"/>
  <c r="EW38" i="77"/>
  <c r="D56" i="44"/>
  <c r="F56" s="1"/>
  <c r="E52" i="4"/>
  <c r="E19"/>
  <c r="D20" i="44"/>
  <c r="C21" i="60"/>
  <c r="EW21" i="77"/>
  <c r="C21" i="48"/>
  <c r="D19" i="44"/>
  <c r="D19" i="52" s="1"/>
  <c r="J19" i="60"/>
  <c r="E18" i="4"/>
  <c r="G19" i="48"/>
  <c r="H18" i="4"/>
  <c r="G19" i="44"/>
  <c r="EW23" i="77"/>
  <c r="C23" i="60"/>
  <c r="C23" i="48"/>
  <c r="C19" i="44"/>
  <c r="C19" i="60" s="1"/>
  <c r="D16" i="46" s="1"/>
  <c r="D18" i="4"/>
  <c r="I18" s="1"/>
  <c r="D23" i="44"/>
  <c r="EX23" i="77" s="1"/>
  <c r="E22" i="4"/>
  <c r="F18"/>
  <c r="E19" i="44"/>
  <c r="EY19" i="77" s="1"/>
  <c r="C9" i="44"/>
  <c r="D15" i="4"/>
  <c r="I15" s="1"/>
  <c r="D13" i="44"/>
  <c r="E11" i="4"/>
  <c r="G9" i="48"/>
  <c r="G9" i="44"/>
  <c r="G9" i="60" s="1"/>
  <c r="D9" s="1"/>
  <c r="H15" i="4"/>
  <c r="D14" i="44"/>
  <c r="D14" i="48" s="1"/>
  <c r="E12" i="4"/>
  <c r="E9" i="44"/>
  <c r="E9" i="60" s="1"/>
  <c r="F6" i="46" s="1"/>
  <c r="F15" i="4"/>
  <c r="D10" i="44"/>
  <c r="D10" i="48" s="1"/>
  <c r="J10" i="60"/>
  <c r="E8" i="4"/>
  <c r="E16" s="1"/>
  <c r="D9" i="44"/>
  <c r="J9" s="1"/>
  <c r="E15" i="4"/>
  <c r="J9" i="60"/>
  <c r="E10" i="4"/>
  <c r="D12" i="44"/>
  <c r="D12" i="52" s="1"/>
  <c r="F25" i="76"/>
  <c r="F26"/>
  <c r="G82" i="4"/>
  <c r="EX83" i="77"/>
  <c r="D83" i="48"/>
  <c r="D83" i="60"/>
  <c r="EW83" i="77"/>
  <c r="J83" i="44"/>
  <c r="C83" i="48"/>
  <c r="C83" i="60"/>
  <c r="F83" i="44"/>
  <c r="D64" i="52"/>
  <c r="I64" s="1"/>
  <c r="EX64" i="77"/>
  <c r="D64" i="48"/>
  <c r="D63" i="52"/>
  <c r="G63" s="1"/>
  <c r="EX63" i="77"/>
  <c r="D63" i="48"/>
  <c r="D63" i="60"/>
  <c r="G79" i="4"/>
  <c r="D70" i="52"/>
  <c r="G70" s="1"/>
  <c r="EX70" i="77"/>
  <c r="D70" i="48"/>
  <c r="D68" i="52"/>
  <c r="G68" s="1"/>
  <c r="D68" i="48"/>
  <c r="D76"/>
  <c r="EX76" i="77"/>
  <c r="D76" i="52"/>
  <c r="I76" s="1"/>
  <c r="D76" i="60"/>
  <c r="D80" i="52"/>
  <c r="EX80" i="77"/>
  <c r="D72" i="52"/>
  <c r="G72" s="1"/>
  <c r="D58" i="48"/>
  <c r="D60"/>
  <c r="D60" i="52"/>
  <c r="EX60" i="77"/>
  <c r="D37" i="52"/>
  <c r="G37" s="1"/>
  <c r="EX37" i="77"/>
  <c r="D37" i="48"/>
  <c r="E36" i="60"/>
  <c r="EY36" i="77"/>
  <c r="E36" i="48"/>
  <c r="D56" i="52"/>
  <c r="G56" s="1"/>
  <c r="EX56" i="77"/>
  <c r="D59" i="52"/>
  <c r="I59" s="1"/>
  <c r="EX59" i="77"/>
  <c r="D59" i="48"/>
  <c r="C36" i="60"/>
  <c r="C61" s="1"/>
  <c r="I61" s="1"/>
  <c r="EW36" i="77"/>
  <c r="C36" i="48"/>
  <c r="C61" i="44"/>
  <c r="EW61" i="77" s="1"/>
  <c r="J36" i="44"/>
  <c r="G59" i="4"/>
  <c r="EX54" i="77"/>
  <c r="D54" i="48"/>
  <c r="F54" s="1"/>
  <c r="D51" i="52"/>
  <c r="I51" s="1"/>
  <c r="EX51" i="77"/>
  <c r="D51" i="48"/>
  <c r="EX36" i="77"/>
  <c r="D36" i="52"/>
  <c r="G36" s="1"/>
  <c r="E19" i="48"/>
  <c r="D23" i="52"/>
  <c r="G23" s="1"/>
  <c r="D23" i="48"/>
  <c r="G19" i="60"/>
  <c r="G16" i="65"/>
  <c r="H16" i="46"/>
  <c r="G18" i="4"/>
  <c r="E23"/>
  <c r="C19" i="48"/>
  <c r="D20" i="46"/>
  <c r="D24" i="44"/>
  <c r="D18" i="46"/>
  <c r="EX20" i="77"/>
  <c r="D20" i="48"/>
  <c r="I20" i="52" s="1"/>
  <c r="D20"/>
  <c r="D12" i="48"/>
  <c r="D10" i="52"/>
  <c r="G10" s="1"/>
  <c r="EX10" i="77"/>
  <c r="G15" i="4"/>
  <c r="J15" s="1"/>
  <c r="C9" i="60"/>
  <c r="D6" i="46" s="1"/>
  <c r="C9" i="48"/>
  <c r="EW9" i="77"/>
  <c r="D9" i="52"/>
  <c r="G9" s="1"/>
  <c r="EX9" i="77"/>
  <c r="D9" i="48"/>
  <c r="EY9" i="77"/>
  <c r="EX14"/>
  <c r="D14" i="52"/>
  <c r="D13" i="48"/>
  <c r="I13" i="52" s="1"/>
  <c r="EX13" i="77"/>
  <c r="D13" i="52"/>
  <c r="G13" s="1"/>
  <c r="I83" i="44"/>
  <c r="K83" s="1"/>
  <c r="L83" s="1"/>
  <c r="EZ83" i="77"/>
  <c r="F83" i="48"/>
  <c r="I83" s="1"/>
  <c r="G76" i="52"/>
  <c r="C64" i="59"/>
  <c r="C64" i="69"/>
  <c r="F64" s="1"/>
  <c r="C77" i="59"/>
  <c r="F77" s="1"/>
  <c r="C77" i="69"/>
  <c r="F77" s="1"/>
  <c r="I63" i="52"/>
  <c r="G51"/>
  <c r="G60" i="4"/>
  <c r="C61" i="48"/>
  <c r="G60" i="52"/>
  <c r="G20"/>
  <c r="I9"/>
  <c r="G16" i="4"/>
  <c r="G14" i="52"/>
  <c r="D17" i="48"/>
  <c r="F64" i="59"/>
  <c r="D10" i="68"/>
  <c r="G83" i="52"/>
  <c r="EX79" i="77"/>
  <c r="E32" i="76"/>
  <c r="H32"/>
  <c r="F32"/>
  <c r="H84" i="59"/>
  <c r="E33" i="47"/>
  <c r="H8"/>
  <c r="H16" s="1"/>
  <c r="C21" i="65"/>
  <c r="C26"/>
  <c r="C35"/>
  <c r="E11"/>
  <c r="F11" s="1"/>
  <c r="E28"/>
  <c r="E35" s="1"/>
  <c r="D13"/>
  <c r="F13" s="1"/>
  <c r="I13" s="1"/>
  <c r="D11"/>
  <c r="D23"/>
  <c r="F23" s="1"/>
  <c r="I23" s="1"/>
  <c r="D7" i="70"/>
  <c r="D11" i="35"/>
  <c r="D16" i="65"/>
  <c r="F16" s="1"/>
  <c r="I16" s="1"/>
  <c r="D6" i="70"/>
  <c r="D12" s="1"/>
  <c r="D12" i="65"/>
  <c r="F12" s="1"/>
  <c r="I12" s="1"/>
  <c r="D10"/>
  <c r="F10" s="1"/>
  <c r="I10" s="1"/>
  <c r="C41"/>
  <c r="F41" s="1"/>
  <c r="I41" s="1"/>
  <c r="C43"/>
  <c r="F43" s="1"/>
  <c r="I43" s="1"/>
  <c r="D17"/>
  <c r="D9"/>
  <c r="C40"/>
  <c r="F40" s="1"/>
  <c r="I40" s="1"/>
  <c r="C42"/>
  <c r="F42" s="1"/>
  <c r="I42" s="1"/>
  <c r="D19"/>
  <c r="D24"/>
  <c r="D39"/>
  <c r="D28"/>
  <c r="D37"/>
  <c r="D44" s="1"/>
  <c r="D30"/>
  <c r="C37"/>
  <c r="D14"/>
  <c r="D19" i="70" s="1"/>
  <c r="D21" i="65"/>
  <c r="D20" i="70" s="1"/>
  <c r="C39" i="65"/>
  <c r="E19"/>
  <c r="E24"/>
  <c r="D23" i="35"/>
  <c r="E39" i="65"/>
  <c r="E17"/>
  <c r="E9"/>
  <c r="E30"/>
  <c r="E37"/>
  <c r="E44" s="1"/>
  <c r="E26"/>
  <c r="E14"/>
  <c r="G19" i="52" l="1"/>
  <c r="F9" i="60"/>
  <c r="E6" i="46"/>
  <c r="D5" i="34" s="1"/>
  <c r="G5" s="1"/>
  <c r="C10" i="69"/>
  <c r="F10" s="1"/>
  <c r="G12" i="52"/>
  <c r="I12"/>
  <c r="G44"/>
  <c r="I44"/>
  <c r="G74"/>
  <c r="K26" i="60"/>
  <c r="E23" i="46"/>
  <c r="J18" i="4"/>
  <c r="L57" i="77"/>
  <c r="BT57" s="1"/>
  <c r="I61"/>
  <c r="E9" i="48"/>
  <c r="D19"/>
  <c r="I19" i="52" s="1"/>
  <c r="F36" i="44"/>
  <c r="D56" i="48"/>
  <c r="EX72" i="77"/>
  <c r="C51" i="60"/>
  <c r="D22" i="52"/>
  <c r="EW27" i="77"/>
  <c r="I40" i="46"/>
  <c r="H67" i="60"/>
  <c r="I55" i="52"/>
  <c r="H64" i="59"/>
  <c r="G82"/>
  <c r="H82" s="1"/>
  <c r="I83" i="47"/>
  <c r="J83" s="1"/>
  <c r="I74"/>
  <c r="J74" s="1"/>
  <c r="J71"/>
  <c r="I57"/>
  <c r="J57" s="1"/>
  <c r="J52"/>
  <c r="I50"/>
  <c r="J50" s="1"/>
  <c r="H47"/>
  <c r="J28"/>
  <c r="R20" i="77"/>
  <c r="O24"/>
  <c r="R34"/>
  <c r="R35" s="1"/>
  <c r="AP29"/>
  <c r="BQ29"/>
  <c r="EQ29" s="1"/>
  <c r="DD34"/>
  <c r="DD35" s="1"/>
  <c r="L26"/>
  <c r="L34" s="1"/>
  <c r="L35" s="1"/>
  <c r="I34"/>
  <c r="BT60"/>
  <c r="X59"/>
  <c r="BT59" s="1"/>
  <c r="BQ59"/>
  <c r="EQ59" s="1"/>
  <c r="BN58"/>
  <c r="BS58"/>
  <c r="AV75"/>
  <c r="AV81" s="1"/>
  <c r="AV89" s="1"/>
  <c r="BQ75"/>
  <c r="EQ75" s="1"/>
  <c r="AS81"/>
  <c r="AS89" s="1"/>
  <c r="BH34"/>
  <c r="BH35" s="1"/>
  <c r="BN45"/>
  <c r="BT45" s="1"/>
  <c r="BR45"/>
  <c r="BT55"/>
  <c r="EX19"/>
  <c r="C51" i="48"/>
  <c r="D22"/>
  <c r="C27" i="60"/>
  <c r="D24" i="46" s="1"/>
  <c r="G66" i="60"/>
  <c r="D66" s="1"/>
  <c r="C31"/>
  <c r="C31" i="48"/>
  <c r="EW31" i="77"/>
  <c r="D16" i="52"/>
  <c r="G16" s="1"/>
  <c r="EX16" i="77"/>
  <c r="BZ88"/>
  <c r="H27" i="59"/>
  <c r="G35"/>
  <c r="H35" s="1"/>
  <c r="I85" i="47"/>
  <c r="J85" s="1"/>
  <c r="AY61" i="77"/>
  <c r="BA89"/>
  <c r="EU44"/>
  <c r="L24"/>
  <c r="L25" s="1"/>
  <c r="BB13"/>
  <c r="BQ13"/>
  <c r="BQ17" s="1"/>
  <c r="BB11"/>
  <c r="BQ11"/>
  <c r="BB9"/>
  <c r="BB17" s="1"/>
  <c r="BB18" s="1"/>
  <c r="AY17"/>
  <c r="L32"/>
  <c r="BQ32"/>
  <c r="EQ32" s="1"/>
  <c r="AP31"/>
  <c r="BQ31"/>
  <c r="BZ31"/>
  <c r="EN31" s="1"/>
  <c r="EK31"/>
  <c r="EQ31" s="1"/>
  <c r="BW34"/>
  <c r="BQ63"/>
  <c r="X48"/>
  <c r="X61" s="1"/>
  <c r="U61"/>
  <c r="BQ48"/>
  <c r="I23" i="52"/>
  <c r="C47" i="60"/>
  <c r="I31" i="46"/>
  <c r="I76" i="47"/>
  <c r="J76" s="1"/>
  <c r="J64"/>
  <c r="J59"/>
  <c r="EQ11" i="77"/>
  <c r="EU9"/>
  <c r="EU17" s="1"/>
  <c r="EO17"/>
  <c r="EU43"/>
  <c r="EO61"/>
  <c r="BH23"/>
  <c r="BT23" s="1"/>
  <c r="ET23" s="1"/>
  <c r="BQ23"/>
  <c r="EQ23" s="1"/>
  <c r="BE24"/>
  <c r="F20"/>
  <c r="F24" s="1"/>
  <c r="F25" s="1"/>
  <c r="C24"/>
  <c r="BQ20"/>
  <c r="EQ20" s="1"/>
  <c r="X16"/>
  <c r="BT16" s="1"/>
  <c r="BQ16"/>
  <c r="EQ16" s="1"/>
  <c r="X15"/>
  <c r="BT15" s="1"/>
  <c r="BQ15"/>
  <c r="BT14"/>
  <c r="BT12"/>
  <c r="ET12" s="1"/>
  <c r="BT10"/>
  <c r="ET10" s="1"/>
  <c r="X9"/>
  <c r="BQ9"/>
  <c r="U17"/>
  <c r="BZ33"/>
  <c r="EN33" s="1"/>
  <c r="EK33"/>
  <c r="EQ33" s="1"/>
  <c r="BH30"/>
  <c r="BE34"/>
  <c r="CF91"/>
  <c r="CT89"/>
  <c r="ED89"/>
  <c r="DF89"/>
  <c r="AU89"/>
  <c r="AV34"/>
  <c r="AV61"/>
  <c r="H27" i="69"/>
  <c r="G35"/>
  <c r="H35" s="1"/>
  <c r="I56" i="52"/>
  <c r="G6" i="65"/>
  <c r="D17" i="44"/>
  <c r="EX12" i="77"/>
  <c r="J19" i="44"/>
  <c r="D54" i="52"/>
  <c r="G54" s="1"/>
  <c r="EX42" i="77"/>
  <c r="D58" i="52"/>
  <c r="D80" i="60"/>
  <c r="F63" i="44"/>
  <c r="C50" i="48"/>
  <c r="EW41" i="77"/>
  <c r="EW47"/>
  <c r="I45" i="52"/>
  <c r="I42" i="46"/>
  <c r="H69" i="60"/>
  <c r="G19" i="76"/>
  <c r="J19" s="1"/>
  <c r="I25" i="50"/>
  <c r="I97" s="1"/>
  <c r="BT29" i="77"/>
  <c r="AA89"/>
  <c r="AH89"/>
  <c r="BS47"/>
  <c r="ES47" s="1"/>
  <c r="BP87"/>
  <c r="BV83"/>
  <c r="BV87" s="1"/>
  <c r="C50" i="60"/>
  <c r="C41" i="48"/>
  <c r="C37" i="60"/>
  <c r="D28" i="46" s="1"/>
  <c r="D35" s="1"/>
  <c r="EW49" i="77"/>
  <c r="C44" i="48"/>
  <c r="C60" i="60"/>
  <c r="EY66" i="77"/>
  <c r="I7" i="46"/>
  <c r="H10" i="60"/>
  <c r="EX32" i="77"/>
  <c r="D32" i="48"/>
  <c r="AJ89" i="77"/>
  <c r="F30" i="76"/>
  <c r="G28"/>
  <c r="G30" s="1"/>
  <c r="F15" i="54"/>
  <c r="EU23" i="77"/>
  <c r="BN69"/>
  <c r="BR69"/>
  <c r="CR81"/>
  <c r="BT68"/>
  <c r="ET68" s="1"/>
  <c r="F81"/>
  <c r="F82" s="1"/>
  <c r="AD81"/>
  <c r="CL63"/>
  <c r="EK63"/>
  <c r="DD85"/>
  <c r="DA87"/>
  <c r="DA89" s="1"/>
  <c r="DA97" s="1"/>
  <c r="R84"/>
  <c r="R87" s="1"/>
  <c r="R88" s="1"/>
  <c r="O87"/>
  <c r="BB83"/>
  <c r="BB87" s="1"/>
  <c r="AY87"/>
  <c r="CA61"/>
  <c r="CA81"/>
  <c r="F19" i="44"/>
  <c r="I80" i="52"/>
  <c r="I10"/>
  <c r="G59"/>
  <c r="G80"/>
  <c r="H6" i="46"/>
  <c r="EW19" i="77"/>
  <c r="E19" i="60"/>
  <c r="F16" i="46" s="1"/>
  <c r="D42" i="52"/>
  <c r="D47" i="48"/>
  <c r="D66"/>
  <c r="J63" i="44"/>
  <c r="I72" i="52"/>
  <c r="I68"/>
  <c r="D47"/>
  <c r="EX58" i="77"/>
  <c r="EX66"/>
  <c r="EW63"/>
  <c r="D60" i="4"/>
  <c r="EW37" i="77"/>
  <c r="C44" i="60"/>
  <c r="C60" i="48"/>
  <c r="D41" i="52"/>
  <c r="EX53" i="77"/>
  <c r="D53" i="48"/>
  <c r="I16" i="47"/>
  <c r="D48" i="52"/>
  <c r="EX48" i="77"/>
  <c r="I89" i="50"/>
  <c r="ET21" i="77"/>
  <c r="H25" i="69"/>
  <c r="DB89" i="77"/>
  <c r="BR51"/>
  <c r="ER51" s="1"/>
  <c r="EQ72"/>
  <c r="EB81"/>
  <c r="AP87"/>
  <c r="AK89"/>
  <c r="CA17"/>
  <c r="L93" i="79"/>
  <c r="L95" s="1"/>
  <c r="I95"/>
  <c r="L57"/>
  <c r="I69"/>
  <c r="I97" s="1"/>
  <c r="F9" i="44"/>
  <c r="C63" i="60"/>
  <c r="EY85" i="77"/>
  <c r="D73" i="48"/>
  <c r="EX73" i="77"/>
  <c r="EU21"/>
  <c r="EO24"/>
  <c r="BT74"/>
  <c r="X69"/>
  <c r="BQ69"/>
  <c r="EQ69" s="1"/>
  <c r="AP81"/>
  <c r="DD86"/>
  <c r="EN86" s="1"/>
  <c r="EK86"/>
  <c r="AP85"/>
  <c r="BQ85"/>
  <c r="EN85"/>
  <c r="L69" i="79"/>
  <c r="D19" i="60"/>
  <c r="G64" i="52"/>
  <c r="EX44" i="77"/>
  <c r="J56" i="44"/>
  <c r="D44" i="48"/>
  <c r="EX74" i="77"/>
  <c r="I52" i="4"/>
  <c r="J52" s="1"/>
  <c r="C43" i="60"/>
  <c r="D34" i="46" s="1"/>
  <c r="E85" i="48"/>
  <c r="E87" s="1"/>
  <c r="I26" i="44"/>
  <c r="K26" s="1"/>
  <c r="L26" s="1"/>
  <c r="D16" i="48"/>
  <c r="G12" i="76"/>
  <c r="L61" i="77"/>
  <c r="L62" s="1"/>
  <c r="D30" i="48"/>
  <c r="I30" i="52" s="1"/>
  <c r="D30"/>
  <c r="G30" s="1"/>
  <c r="G7" i="76"/>
  <c r="J7" s="1"/>
  <c r="I23" i="46"/>
  <c r="H26" i="60"/>
  <c r="E26" s="1"/>
  <c r="F23" i="46" s="1"/>
  <c r="BQ30" i="77"/>
  <c r="G83" i="54"/>
  <c r="E89" i="77"/>
  <c r="BM89"/>
  <c r="ES23"/>
  <c r="ES9"/>
  <c r="EM17"/>
  <c r="EM89" s="1"/>
  <c r="F42"/>
  <c r="BT42" s="1"/>
  <c r="BH39"/>
  <c r="BH61" s="1"/>
  <c r="BH62" s="1"/>
  <c r="BE61"/>
  <c r="DD61"/>
  <c r="DD62" s="1"/>
  <c r="AP61"/>
  <c r="R73"/>
  <c r="R81" s="1"/>
  <c r="R82" s="1"/>
  <c r="BQ73"/>
  <c r="D74" i="48"/>
  <c r="I74" i="52" s="1"/>
  <c r="I29"/>
  <c r="EX75" i="77"/>
  <c r="D75" i="52"/>
  <c r="I15" i="47"/>
  <c r="J15" s="1"/>
  <c r="EU65" i="77"/>
  <c r="EV36"/>
  <c r="EV61" s="1"/>
  <c r="EP61"/>
  <c r="EP89" s="1"/>
  <c r="F58"/>
  <c r="BT58" s="1"/>
  <c r="ET58" s="1"/>
  <c r="BQ58"/>
  <c r="X56"/>
  <c r="BT56" s="1"/>
  <c r="ET56" s="1"/>
  <c r="BQ56"/>
  <c r="BN55"/>
  <c r="BS55"/>
  <c r="F54"/>
  <c r="BT54" s="1"/>
  <c r="BQ54"/>
  <c r="EQ54" s="1"/>
  <c r="AJ61"/>
  <c r="CL61"/>
  <c r="BS74"/>
  <c r="ES74" s="1"/>
  <c r="BN74"/>
  <c r="E84" i="60"/>
  <c r="E84" i="48"/>
  <c r="EY84" i="77"/>
  <c r="E23" i="47"/>
  <c r="E92" s="1"/>
  <c r="I18"/>
  <c r="J18" s="1"/>
  <c r="J68"/>
  <c r="EQ26" i="77"/>
  <c r="EQ48"/>
  <c r="EQ36"/>
  <c r="ER28"/>
  <c r="EL34"/>
  <c r="ER39"/>
  <c r="ER72"/>
  <c r="EL81"/>
  <c r="ES55"/>
  <c r="ES64"/>
  <c r="EM81"/>
  <c r="BQ22"/>
  <c r="EQ22" s="1"/>
  <c r="CL34"/>
  <c r="EN29"/>
  <c r="F27"/>
  <c r="F34" s="1"/>
  <c r="F35" s="1"/>
  <c r="C34"/>
  <c r="EN58"/>
  <c r="BT41"/>
  <c r="EB61"/>
  <c r="L79"/>
  <c r="L81" s="1"/>
  <c r="L82" s="1"/>
  <c r="I81"/>
  <c r="I89" s="1"/>
  <c r="BB77"/>
  <c r="BB81" s="1"/>
  <c r="BB82" s="1"/>
  <c r="BQ77"/>
  <c r="EX49"/>
  <c r="G23" i="76"/>
  <c r="I59" i="54"/>
  <c r="H13" i="59"/>
  <c r="AM87" i="77"/>
  <c r="EQ58"/>
  <c r="ER14"/>
  <c r="ER27"/>
  <c r="ER50"/>
  <c r="ER38"/>
  <c r="ER71"/>
  <c r="ER83"/>
  <c r="ER87" s="1"/>
  <c r="EV10"/>
  <c r="EV58"/>
  <c r="EV46"/>
  <c r="ES31"/>
  <c r="ES42"/>
  <c r="EM61"/>
  <c r="BZ61"/>
  <c r="EQ9"/>
  <c r="EQ57"/>
  <c r="ER26"/>
  <c r="ER34" s="1"/>
  <c r="ER49"/>
  <c r="ER37"/>
  <c r="ER70"/>
  <c r="EV23"/>
  <c r="EV9"/>
  <c r="EV17" s="1"/>
  <c r="ES30"/>
  <c r="ES86"/>
  <c r="EN21"/>
  <c r="EX11"/>
  <c r="BH91"/>
  <c r="BT67"/>
  <c r="J47" i="47"/>
  <c r="BT37" i="77"/>
  <c r="H71" i="59"/>
  <c r="EM34" i="77"/>
  <c r="EQ56"/>
  <c r="EQ44"/>
  <c r="EQ77"/>
  <c r="ER60"/>
  <c r="ER48"/>
  <c r="ER36"/>
  <c r="ER61" s="1"/>
  <c r="ER69"/>
  <c r="ES52"/>
  <c r="BQ79"/>
  <c r="EQ79" s="1"/>
  <c r="G22" i="76"/>
  <c r="J22" s="1"/>
  <c r="F6" i="65"/>
  <c r="H70" i="59"/>
  <c r="H57"/>
  <c r="H45"/>
  <c r="EM24" i="77"/>
  <c r="U34"/>
  <c r="EQ76"/>
  <c r="EQ64"/>
  <c r="ER59"/>
  <c r="ER47"/>
  <c r="ER68"/>
  <c r="ES28"/>
  <c r="ES51"/>
  <c r="ES39"/>
  <c r="BQ57"/>
  <c r="BQ45"/>
  <c r="BQ61" s="1"/>
  <c r="T89"/>
  <c r="T97" s="1"/>
  <c r="J30" i="4"/>
  <c r="J66" i="47"/>
  <c r="CI89" i="77"/>
  <c r="CI94" s="1"/>
  <c r="F18" i="65"/>
  <c r="I18" s="1"/>
  <c r="H81" i="59"/>
  <c r="H69"/>
  <c r="H56"/>
  <c r="H44"/>
  <c r="EQ42" i="77"/>
  <c r="ER58"/>
  <c r="BS54"/>
  <c r="ES54" s="1"/>
  <c r="H55" i="59"/>
  <c r="H43"/>
  <c r="H10" i="47"/>
  <c r="I87" i="77"/>
  <c r="BE81"/>
  <c r="EO81"/>
  <c r="U81"/>
  <c r="ER45"/>
  <c r="EV19"/>
  <c r="EV24" s="1"/>
  <c r="EV30"/>
  <c r="EV53"/>
  <c r="EV41"/>
  <c r="EV74"/>
  <c r="EV86"/>
  <c r="ES26"/>
  <c r="ES34" s="1"/>
  <c r="ES49"/>
  <c r="ES37"/>
  <c r="ES70"/>
  <c r="BQ33"/>
  <c r="BQ55"/>
  <c r="EQ55" s="1"/>
  <c r="BQ64"/>
  <c r="BT11"/>
  <c r="ET11" s="1"/>
  <c r="EN49"/>
  <c r="ET49" s="1"/>
  <c r="BT70"/>
  <c r="G97" i="79"/>
  <c r="I80" i="47"/>
  <c r="BT66" i="77"/>
  <c r="ET66" s="1"/>
  <c r="F38" i="65"/>
  <c r="I38" s="1"/>
  <c r="H31" i="59"/>
  <c r="BE87" i="77"/>
  <c r="BE89" s="1"/>
  <c r="BW87"/>
  <c r="BW89" s="1"/>
  <c r="U87"/>
  <c r="EQ73"/>
  <c r="EK85"/>
  <c r="EQ85" s="1"/>
  <c r="ER33"/>
  <c r="ER77"/>
  <c r="EV16"/>
  <c r="EV29"/>
  <c r="EV52"/>
  <c r="EV40"/>
  <c r="EV73"/>
  <c r="EV85"/>
  <c r="ES60"/>
  <c r="ES48"/>
  <c r="ES36"/>
  <c r="ES61" s="1"/>
  <c r="ES69"/>
  <c r="BT19"/>
  <c r="ET19" s="1"/>
  <c r="H9" i="47"/>
  <c r="I64"/>
  <c r="EB25" i="77"/>
  <c r="EA89"/>
  <c r="EP81"/>
  <c r="EQ15"/>
  <c r="EQ28"/>
  <c r="EQ51"/>
  <c r="EQ39"/>
  <c r="EQ84"/>
  <c r="EU59"/>
  <c r="EU47"/>
  <c r="ER55"/>
  <c r="EV15"/>
  <c r="EV28"/>
  <c r="EV51"/>
  <c r="EV39"/>
  <c r="EV72"/>
  <c r="EV84"/>
  <c r="ES59"/>
  <c r="ES80"/>
  <c r="ES68"/>
  <c r="BQ74"/>
  <c r="EQ74" s="1"/>
  <c r="BQ86"/>
  <c r="BN72"/>
  <c r="BT72" s="1"/>
  <c r="G37" i="31"/>
  <c r="H30" i="59"/>
  <c r="H69" i="47"/>
  <c r="EL87" i="77"/>
  <c r="EQ27"/>
  <c r="EK50"/>
  <c r="EQ50" s="1"/>
  <c r="EQ38"/>
  <c r="EQ71"/>
  <c r="EK83"/>
  <c r="EU10"/>
  <c r="ER75"/>
  <c r="EV14"/>
  <c r="EV27"/>
  <c r="EV50"/>
  <c r="EV38"/>
  <c r="EV71"/>
  <c r="ES58"/>
  <c r="ES46"/>
  <c r="ES79"/>
  <c r="ES67"/>
  <c r="EN83"/>
  <c r="EN87" s="1"/>
  <c r="F9" i="65"/>
  <c r="D10" i="35"/>
  <c r="D16" s="1"/>
  <c r="J58" i="44"/>
  <c r="F26" i="48"/>
  <c r="I26" s="1"/>
  <c r="D53" i="52"/>
  <c r="H66" i="60"/>
  <c r="E66" s="1"/>
  <c r="F39" i="46" s="1"/>
  <c r="L97" i="79"/>
  <c r="P37" i="31"/>
  <c r="L42" i="50"/>
  <c r="ET54" i="77"/>
  <c r="EN32"/>
  <c r="BP89"/>
  <c r="BN91" s="1"/>
  <c r="I79" i="54"/>
  <c r="H18" i="47"/>
  <c r="H23" s="1"/>
  <c r="H15"/>
  <c r="H13"/>
  <c r="H11"/>
  <c r="I19"/>
  <c r="J19" s="1"/>
  <c r="I38"/>
  <c r="J38" s="1"/>
  <c r="I69" i="50"/>
  <c r="EB89" i="77"/>
  <c r="EN40"/>
  <c r="EN38"/>
  <c r="AF89"/>
  <c r="AF97" s="1"/>
  <c r="CB89"/>
  <c r="CA24"/>
  <c r="CS89"/>
  <c r="CR91" s="1"/>
  <c r="AV24"/>
  <c r="AN89"/>
  <c r="DC89"/>
  <c r="DC97" s="1"/>
  <c r="EN22"/>
  <c r="BN20"/>
  <c r="EN15"/>
  <c r="ET15" s="1"/>
  <c r="BN32"/>
  <c r="AD32"/>
  <c r="BT32" s="1"/>
  <c r="ET32" s="1"/>
  <c r="BN31"/>
  <c r="BN28"/>
  <c r="BT28" s="1"/>
  <c r="BN27"/>
  <c r="BN26"/>
  <c r="BN34" s="1"/>
  <c r="EN60"/>
  <c r="ET60" s="1"/>
  <c r="EN54"/>
  <c r="AD52"/>
  <c r="AD61" s="1"/>
  <c r="EN52"/>
  <c r="EN51"/>
  <c r="ET51" s="1"/>
  <c r="BN48"/>
  <c r="BT48" s="1"/>
  <c r="EN48"/>
  <c r="EN42"/>
  <c r="EN39"/>
  <c r="BN73"/>
  <c r="DQ89"/>
  <c r="EC89"/>
  <c r="EB91" s="1"/>
  <c r="AV17"/>
  <c r="K97" i="79"/>
  <c r="F26" i="60"/>
  <c r="CF93" i="77"/>
  <c r="ET29"/>
  <c r="H83" i="54"/>
  <c r="I83" s="1"/>
  <c r="I32"/>
  <c r="F32"/>
  <c r="F22"/>
  <c r="D24" i="35"/>
  <c r="F19" i="65"/>
  <c r="I19" s="1"/>
  <c r="K9" i="60"/>
  <c r="C10" i="59"/>
  <c r="F10" s="1"/>
  <c r="I14" i="52"/>
  <c r="C27" i="59"/>
  <c r="F27" s="1"/>
  <c r="I77" i="52"/>
  <c r="EW30" i="77"/>
  <c r="D49" i="52"/>
  <c r="G49" s="1"/>
  <c r="D57"/>
  <c r="EW29" i="77"/>
  <c r="F79" i="54"/>
  <c r="F59"/>
  <c r="F83" s="1"/>
  <c r="I37" i="47"/>
  <c r="J37" s="1"/>
  <c r="I67"/>
  <c r="J67" s="1"/>
  <c r="F97" i="50"/>
  <c r="G97"/>
  <c r="H97"/>
  <c r="L32"/>
  <c r="EF89" i="77"/>
  <c r="CR89"/>
  <c r="ES16"/>
  <c r="ES12"/>
  <c r="ES10"/>
  <c r="R24"/>
  <c r="R25" s="1"/>
  <c r="EN20"/>
  <c r="EN16"/>
  <c r="ET16" s="1"/>
  <c r="EN14"/>
  <c r="BT13"/>
  <c r="ET13" s="1"/>
  <c r="L17"/>
  <c r="EN30"/>
  <c r="H66" i="47"/>
  <c r="H64"/>
  <c r="H52"/>
  <c r="H42"/>
  <c r="H40"/>
  <c r="H36"/>
  <c r="H60" s="1"/>
  <c r="H21"/>
  <c r="I69"/>
  <c r="J69" s="1"/>
  <c r="I65"/>
  <c r="J65" s="1"/>
  <c r="I63"/>
  <c r="J63" s="1"/>
  <c r="J97" i="50"/>
  <c r="AI89" i="77"/>
  <c r="BY89"/>
  <c r="CE89"/>
  <c r="CO89"/>
  <c r="CU89"/>
  <c r="CW89"/>
  <c r="DN89"/>
  <c r="EB35"/>
  <c r="DY89"/>
  <c r="EO34"/>
  <c r="EI89"/>
  <c r="EH91" s="1"/>
  <c r="EH93" s="1"/>
  <c r="EL17"/>
  <c r="EN45"/>
  <c r="ET45" s="1"/>
  <c r="EN41"/>
  <c r="ET41" s="1"/>
  <c r="EN37"/>
  <c r="ET37" s="1"/>
  <c r="EN36"/>
  <c r="EN80"/>
  <c r="BT73"/>
  <c r="ET72"/>
  <c r="EN70"/>
  <c r="ET70" s="1"/>
  <c r="EN65"/>
  <c r="ET65" s="1"/>
  <c r="BT85"/>
  <c r="ET85" s="1"/>
  <c r="BT84"/>
  <c r="ET84" s="1"/>
  <c r="M89"/>
  <c r="CN89"/>
  <c r="CL91" s="1"/>
  <c r="H97" i="79"/>
  <c r="AD31" i="77"/>
  <c r="AD34" s="1"/>
  <c r="AD89" s="1"/>
  <c r="EN26"/>
  <c r="EN57"/>
  <c r="ET57" s="1"/>
  <c r="EN55"/>
  <c r="ET55" s="1"/>
  <c r="EN53"/>
  <c r="ET53" s="1"/>
  <c r="BN50"/>
  <c r="BT50" s="1"/>
  <c r="ET50" s="1"/>
  <c r="EN79"/>
  <c r="EN78"/>
  <c r="EN75"/>
  <c r="EN74"/>
  <c r="EN73"/>
  <c r="EN71"/>
  <c r="EN69"/>
  <c r="BH81"/>
  <c r="BH82" s="1"/>
  <c r="EN67"/>
  <c r="EN64"/>
  <c r="DR89"/>
  <c r="DP91" s="1"/>
  <c r="DP93" s="1"/>
  <c r="Y89"/>
  <c r="F97" i="79"/>
  <c r="J97"/>
  <c r="Y97" i="77"/>
  <c r="C22" i="59"/>
  <c r="F22" s="1"/>
  <c r="K21" i="60"/>
  <c r="C22" i="69"/>
  <c r="F22" s="1"/>
  <c r="E18" i="46"/>
  <c r="D17" i="34" s="1"/>
  <c r="F34" i="76"/>
  <c r="G32"/>
  <c r="J89" i="77"/>
  <c r="AM89"/>
  <c r="BF89"/>
  <c r="S89"/>
  <c r="AE89"/>
  <c r="AL89"/>
  <c r="AJ91" s="1"/>
  <c r="AR89"/>
  <c r="AR97" s="1"/>
  <c r="BD89"/>
  <c r="BB91" s="1"/>
  <c r="I36" i="52"/>
  <c r="I60"/>
  <c r="J54" i="44"/>
  <c r="EY86" i="77"/>
  <c r="C34" i="60"/>
  <c r="I34" s="1"/>
  <c r="C27" i="69"/>
  <c r="F27" s="1"/>
  <c r="E63" i="60"/>
  <c r="D27" i="48"/>
  <c r="I27" i="52" s="1"/>
  <c r="ER24" i="77"/>
  <c r="EQ19"/>
  <c r="AV93"/>
  <c r="AV98" s="1"/>
  <c r="H67" i="47"/>
  <c r="C89" i="77"/>
  <c r="D89"/>
  <c r="AB89"/>
  <c r="AC89"/>
  <c r="AG89"/>
  <c r="AT89"/>
  <c r="AY89"/>
  <c r="AZ89"/>
  <c r="O89"/>
  <c r="O97" s="1"/>
  <c r="Q89"/>
  <c r="Q97" s="1"/>
  <c r="U89"/>
  <c r="U97" s="1"/>
  <c r="V89"/>
  <c r="BK89"/>
  <c r="BK97" s="1"/>
  <c r="H89"/>
  <c r="H97" s="1"/>
  <c r="G89"/>
  <c r="F91" s="1"/>
  <c r="N89"/>
  <c r="Z89"/>
  <c r="Z97" s="1"/>
  <c r="AQ89"/>
  <c r="F39" i="65"/>
  <c r="F30"/>
  <c r="E16" i="46"/>
  <c r="G6"/>
  <c r="E83" i="60"/>
  <c r="F83" s="1"/>
  <c r="BN33" i="77"/>
  <c r="BT33" s="1"/>
  <c r="BN44"/>
  <c r="BT44" s="1"/>
  <c r="ET44" s="1"/>
  <c r="BN75"/>
  <c r="BT75" s="1"/>
  <c r="ET75" s="1"/>
  <c r="I11" i="65"/>
  <c r="F9" i="48"/>
  <c r="I9" s="1"/>
  <c r="I37" i="52"/>
  <c r="I70"/>
  <c r="I66"/>
  <c r="I30" i="65"/>
  <c r="I9"/>
  <c r="F19" i="60"/>
  <c r="K19"/>
  <c r="I54" i="52"/>
  <c r="F36" i="48"/>
  <c r="I36" s="1"/>
  <c r="H23" i="46"/>
  <c r="D15" i="48"/>
  <c r="H39" i="47"/>
  <c r="H37"/>
  <c r="F63" i="48"/>
  <c r="I63" s="1"/>
  <c r="BN79" i="77"/>
  <c r="BT79" s="1"/>
  <c r="BN77"/>
  <c r="BN76"/>
  <c r="BT76" s="1"/>
  <c r="ET76" s="1"/>
  <c r="I79" i="4"/>
  <c r="J79" s="1"/>
  <c r="I49" i="52"/>
  <c r="I27" i="47"/>
  <c r="J27" s="1"/>
  <c r="H28"/>
  <c r="C29" i="48"/>
  <c r="D78" i="52"/>
  <c r="G78" s="1"/>
  <c r="D31"/>
  <c r="I31" s="1"/>
  <c r="I41" i="47"/>
  <c r="J41" s="1"/>
  <c r="I39"/>
  <c r="BN40" i="77"/>
  <c r="BT40" s="1"/>
  <c r="ET40" s="1"/>
  <c r="BN39"/>
  <c r="BT39" s="1"/>
  <c r="ET39" s="1"/>
  <c r="BN38"/>
  <c r="BT38" s="1"/>
  <c r="ET38" s="1"/>
  <c r="BN86"/>
  <c r="BT86" s="1"/>
  <c r="BN61"/>
  <c r="BT36"/>
  <c r="G29" i="76"/>
  <c r="J29" s="1"/>
  <c r="I33" i="47"/>
  <c r="J39"/>
  <c r="I21"/>
  <c r="J21" s="1"/>
  <c r="I42"/>
  <c r="J42" s="1"/>
  <c r="I40"/>
  <c r="J40" s="1"/>
  <c r="BN30" i="77"/>
  <c r="BT30" s="1"/>
  <c r="ET30" s="1"/>
  <c r="F63" i="60"/>
  <c r="G25" i="59"/>
  <c r="H79" i="47"/>
  <c r="H73"/>
  <c r="H71"/>
  <c r="H62"/>
  <c r="F60"/>
  <c r="F92" s="1"/>
  <c r="H58"/>
  <c r="H54"/>
  <c r="H41"/>
  <c r="H32"/>
  <c r="H22"/>
  <c r="I14"/>
  <c r="J14" s="1"/>
  <c r="I12"/>
  <c r="J12" s="1"/>
  <c r="I9"/>
  <c r="J9" s="1"/>
  <c r="BN78" i="77"/>
  <c r="BT78" s="1"/>
  <c r="ET78" s="1"/>
  <c r="BN63"/>
  <c r="BN81" s="1"/>
  <c r="C16" i="69"/>
  <c r="F16" s="1"/>
  <c r="K15" i="60"/>
  <c r="C16" i="59"/>
  <c r="F16" s="1"/>
  <c r="E12" i="46"/>
  <c r="D11" i="34" s="1"/>
  <c r="BN71" i="77"/>
  <c r="BT71" s="1"/>
  <c r="D78" i="48"/>
  <c r="I78" i="52" s="1"/>
  <c r="EX31" i="77"/>
  <c r="I11" i="52"/>
  <c r="E58" i="48"/>
  <c r="F58" s="1"/>
  <c r="E56"/>
  <c r="D52"/>
  <c r="I8" i="46"/>
  <c r="EX30" i="77"/>
  <c r="H82" i="47"/>
  <c r="H86" s="1"/>
  <c r="H38"/>
  <c r="H27"/>
  <c r="H25"/>
  <c r="H33" s="1"/>
  <c r="H92" s="1"/>
  <c r="H20"/>
  <c r="I8"/>
  <c r="J8" s="1"/>
  <c r="I26"/>
  <c r="BU87" i="77"/>
  <c r="BN80"/>
  <c r="BT80" s="1"/>
  <c r="G86" i="69"/>
  <c r="E85" i="18"/>
  <c r="E87" s="1"/>
  <c r="F61"/>
  <c r="H62" i="59"/>
  <c r="D86"/>
  <c r="H84" i="47"/>
  <c r="H83"/>
  <c r="H46"/>
  <c r="H44"/>
  <c r="I10"/>
  <c r="J10" s="1"/>
  <c r="G31" i="52"/>
  <c r="I28"/>
  <c r="H62" i="69"/>
  <c r="F17" i="65"/>
  <c r="F21" s="1"/>
  <c r="E21"/>
  <c r="E46" s="1"/>
  <c r="F28"/>
  <c r="I28" s="1"/>
  <c r="D35"/>
  <c r="EZ58" i="77"/>
  <c r="C20" i="44"/>
  <c r="D19" i="4"/>
  <c r="C22" i="44"/>
  <c r="D21" i="4"/>
  <c r="F71"/>
  <c r="E67" i="44"/>
  <c r="C64"/>
  <c r="D78" i="4"/>
  <c r="I78" s="1"/>
  <c r="D75"/>
  <c r="I75" s="1"/>
  <c r="J75" s="1"/>
  <c r="C66" i="44"/>
  <c r="C68"/>
  <c r="D68" i="4"/>
  <c r="D73"/>
  <c r="C70" i="44"/>
  <c r="D64" i="4"/>
  <c r="C72" i="44"/>
  <c r="C74"/>
  <c r="D66" i="4"/>
  <c r="F37" i="65"/>
  <c r="F44" s="1"/>
  <c r="D27" i="35"/>
  <c r="D23" i="70"/>
  <c r="D26" i="65"/>
  <c r="F24"/>
  <c r="I24" s="1"/>
  <c r="EZ56" i="77"/>
  <c r="C76" i="44"/>
  <c r="D70" i="4"/>
  <c r="D74"/>
  <c r="C78" i="44"/>
  <c r="J78" i="4"/>
  <c r="D21" i="52"/>
  <c r="EX21" i="77"/>
  <c r="D21" i="48"/>
  <c r="D24" s="1"/>
  <c r="G36" i="60"/>
  <c r="D36" s="1"/>
  <c r="G11" i="76"/>
  <c r="G14"/>
  <c r="G17"/>
  <c r="G15"/>
  <c r="G13"/>
  <c r="H28"/>
  <c r="I25"/>
  <c r="EX71" i="77"/>
  <c r="D71" i="48"/>
  <c r="D71" i="52"/>
  <c r="D69" i="44"/>
  <c r="E67" i="4"/>
  <c r="E80" s="1"/>
  <c r="G16" i="76"/>
  <c r="G8"/>
  <c r="G24"/>
  <c r="J24" s="1"/>
  <c r="G27" i="4"/>
  <c r="G18" i="76"/>
  <c r="I26"/>
  <c r="I34" s="1"/>
  <c r="I39" i="65"/>
  <c r="C44"/>
  <c r="I44" s="1"/>
  <c r="D77" i="60"/>
  <c r="D32" i="52"/>
  <c r="EU89" i="77"/>
  <c r="D52" i="52"/>
  <c r="D73"/>
  <c r="E32" i="48"/>
  <c r="F32" s="1"/>
  <c r="I29" i="46"/>
  <c r="BH24" i="77"/>
  <c r="H13" i="44"/>
  <c r="H13" i="48"/>
  <c r="J26" i="47"/>
  <c r="G92"/>
  <c r="EK17" i="77"/>
  <c r="BV61"/>
  <c r="ES15"/>
  <c r="BS34"/>
  <c r="BS87"/>
  <c r="ER13"/>
  <c r="ER11"/>
  <c r="BQ81"/>
  <c r="BN22"/>
  <c r="EN28"/>
  <c r="ET28" s="1"/>
  <c r="EN27"/>
  <c r="R61"/>
  <c r="H77" i="47"/>
  <c r="H50"/>
  <c r="D23"/>
  <c r="D92" s="1"/>
  <c r="BV81" i="77"/>
  <c r="BV89" s="1"/>
  <c r="ES14"/>
  <c r="BU34"/>
  <c r="BU89" s="1"/>
  <c r="ER12"/>
  <c r="ER10"/>
  <c r="BR61"/>
  <c r="BR81"/>
  <c r="EN59"/>
  <c r="D46" i="18"/>
  <c r="C46" s="1"/>
  <c r="D41"/>
  <c r="C41" s="1"/>
  <c r="D56"/>
  <c r="C56" s="1"/>
  <c r="D51"/>
  <c r="C51" s="1"/>
  <c r="D18" i="69"/>
  <c r="E24" i="52"/>
  <c r="G24" s="1"/>
  <c r="E34"/>
  <c r="G34" s="1"/>
  <c r="E81"/>
  <c r="D71" i="18"/>
  <c r="C71" s="1"/>
  <c r="D67"/>
  <c r="C67" s="1"/>
  <c r="D58"/>
  <c r="C58" s="1"/>
  <c r="D54"/>
  <c r="C54" s="1"/>
  <c r="D43"/>
  <c r="C43" s="1"/>
  <c r="D37"/>
  <c r="C37" s="1"/>
  <c r="C46" i="65"/>
  <c r="D14" i="4"/>
  <c r="C16" i="44"/>
  <c r="H25" i="76"/>
  <c r="H26" s="1"/>
  <c r="D62" i="4"/>
  <c r="C65" i="44"/>
  <c r="D71" i="4"/>
  <c r="I71" s="1"/>
  <c r="J71" s="1"/>
  <c r="C67" i="44"/>
  <c r="C71"/>
  <c r="D63" i="4"/>
  <c r="C75" i="44"/>
  <c r="D69" i="4"/>
  <c r="C79" i="44"/>
  <c r="D76" i="4"/>
  <c r="D84" i="44"/>
  <c r="E83" i="4"/>
  <c r="C84" i="44"/>
  <c r="D83" i="4"/>
  <c r="D85"/>
  <c r="C86" i="44"/>
  <c r="E85" i="4"/>
  <c r="D86" i="44"/>
  <c r="J86" i="60"/>
  <c r="C79" i="59"/>
  <c r="F79" s="1"/>
  <c r="C79" i="69"/>
  <c r="F79" s="1"/>
  <c r="J12" i="76"/>
  <c r="D38" i="52"/>
  <c r="EX38" i="77"/>
  <c r="D38" i="48"/>
  <c r="I59" i="4"/>
  <c r="J59" s="1"/>
  <c r="J84"/>
  <c r="E25" i="76"/>
  <c r="D8" i="4"/>
  <c r="C10" i="44"/>
  <c r="D10" i="4"/>
  <c r="C12" i="44"/>
  <c r="D12" i="4"/>
  <c r="C14" i="44"/>
  <c r="D25" i="76"/>
  <c r="D9" i="4"/>
  <c r="C11" i="44"/>
  <c r="D11" i="4"/>
  <c r="C13" i="44"/>
  <c r="D13" i="4"/>
  <c r="C15" i="44"/>
  <c r="D67" i="4"/>
  <c r="C69" i="44"/>
  <c r="C73"/>
  <c r="D65" i="4"/>
  <c r="D72"/>
  <c r="C77" i="44"/>
  <c r="J23" i="76"/>
  <c r="D39" i="52"/>
  <c r="D39" i="48"/>
  <c r="D39" i="60"/>
  <c r="EX39" i="77"/>
  <c r="G31" i="4"/>
  <c r="F26" i="65"/>
  <c r="E86" i="4"/>
  <c r="G10" i="44"/>
  <c r="G10" i="48"/>
  <c r="H8" i="4"/>
  <c r="ER9" i="77"/>
  <c r="ER17" s="1"/>
  <c r="BR17"/>
  <c r="BR89" s="1"/>
  <c r="H77" i="44"/>
  <c r="H77" i="48"/>
  <c r="H74"/>
  <c r="H74" i="44"/>
  <c r="H70" i="48"/>
  <c r="H70" i="44"/>
  <c r="H65" i="48"/>
  <c r="H65" i="44"/>
  <c r="H60"/>
  <c r="H60" i="48"/>
  <c r="H56"/>
  <c r="H56" i="44"/>
  <c r="H52" i="48"/>
  <c r="H52" i="44"/>
  <c r="H45"/>
  <c r="H45" i="48"/>
  <c r="H41" i="44"/>
  <c r="H41" i="48"/>
  <c r="H37" i="44"/>
  <c r="H37" i="48"/>
  <c r="F26" i="4"/>
  <c r="E30" i="44"/>
  <c r="E30" i="60" s="1"/>
  <c r="E31" i="44"/>
  <c r="F31" i="4"/>
  <c r="I31" s="1"/>
  <c r="F53"/>
  <c r="I53" s="1"/>
  <c r="J53" s="1"/>
  <c r="E57" i="44"/>
  <c r="E57" i="60" s="1"/>
  <c r="D15" i="52"/>
  <c r="H74" i="4"/>
  <c r="D79" i="52"/>
  <c r="ES13" i="77"/>
  <c r="ES17" s="1"/>
  <c r="BS17"/>
  <c r="H14" i="48"/>
  <c r="H14" i="44"/>
  <c r="H79"/>
  <c r="H79" i="48"/>
  <c r="H72" i="44"/>
  <c r="H72" i="48"/>
  <c r="H68"/>
  <c r="H68" i="44"/>
  <c r="H22" i="48"/>
  <c r="H22" i="44"/>
  <c r="H58" i="48"/>
  <c r="H58" i="44"/>
  <c r="H54"/>
  <c r="H54" i="48"/>
  <c r="H50"/>
  <c r="H50" i="44"/>
  <c r="H47"/>
  <c r="H47" i="48"/>
  <c r="H43"/>
  <c r="H43" i="44"/>
  <c r="H39" i="48"/>
  <c r="H39" i="44"/>
  <c r="H31" i="48"/>
  <c r="H31" i="44"/>
  <c r="H85" i="48"/>
  <c r="H87" s="1"/>
  <c r="H85" i="44"/>
  <c r="E59"/>
  <c r="F56" i="4"/>
  <c r="I56" s="1"/>
  <c r="J56" s="1"/>
  <c r="F50"/>
  <c r="E55" i="44"/>
  <c r="E55" i="60" s="1"/>
  <c r="H26" i="47"/>
  <c r="H16" i="60"/>
  <c r="AV92" i="77" l="1"/>
  <c r="AV97"/>
  <c r="ER89"/>
  <c r="F35" i="65"/>
  <c r="I35" s="1"/>
  <c r="I17"/>
  <c r="ET71" i="77"/>
  <c r="ET86"/>
  <c r="ET33"/>
  <c r="ET69"/>
  <c r="BT20"/>
  <c r="EQ45"/>
  <c r="EK34"/>
  <c r="X81"/>
  <c r="BT69"/>
  <c r="DD87"/>
  <c r="AP34"/>
  <c r="F19" i="48"/>
  <c r="I19" s="1"/>
  <c r="EQ63" i="77"/>
  <c r="EQ81" s="1"/>
  <c r="EK81"/>
  <c r="EK89" s="1"/>
  <c r="BT77"/>
  <c r="ET77" s="1"/>
  <c r="EV83"/>
  <c r="EV87" s="1"/>
  <c r="EV89" s="1"/>
  <c r="G75" i="52"/>
  <c r="I75"/>
  <c r="C20" i="69"/>
  <c r="F20" s="1"/>
  <c r="C20" i="59"/>
  <c r="F20" s="1"/>
  <c r="G48" i="52"/>
  <c r="I48"/>
  <c r="G47"/>
  <c r="I47"/>
  <c r="CL81" i="77"/>
  <c r="CL89" s="1"/>
  <c r="CL93" s="1"/>
  <c r="EN63"/>
  <c r="ET63" s="1"/>
  <c r="ET81" s="1"/>
  <c r="BZ34"/>
  <c r="BZ35" s="1"/>
  <c r="I36" i="44"/>
  <c r="K36" s="1"/>
  <c r="L36" s="1"/>
  <c r="EZ36" i="77"/>
  <c r="EQ24"/>
  <c r="ET74"/>
  <c r="E39" i="46"/>
  <c r="D38" i="34" s="1"/>
  <c r="C67" i="59"/>
  <c r="F67" s="1"/>
  <c r="C67" i="69"/>
  <c r="F67" s="1"/>
  <c r="ES89" i="77"/>
  <c r="BT63"/>
  <c r="BT81" s="1"/>
  <c r="AJ93"/>
  <c r="BT83"/>
  <c r="I19" i="44"/>
  <c r="K19" s="1"/>
  <c r="L19" s="1"/>
  <c r="EZ19" i="77"/>
  <c r="EZ63"/>
  <c r="I63" i="44"/>
  <c r="K63" s="1"/>
  <c r="L63" s="1"/>
  <c r="F85" i="48"/>
  <c r="E97" i="47"/>
  <c r="BS89" i="77"/>
  <c r="AD91"/>
  <c r="EL89"/>
  <c r="EB94"/>
  <c r="AP89"/>
  <c r="AP88"/>
  <c r="C81" i="59"/>
  <c r="F81" s="1"/>
  <c r="C81" i="69"/>
  <c r="F81" s="1"/>
  <c r="X17" i="77"/>
  <c r="BT9"/>
  <c r="ET9" s="1"/>
  <c r="ET17" s="1"/>
  <c r="I26" i="65"/>
  <c r="ET80" i="77"/>
  <c r="BT27"/>
  <c r="CA89"/>
  <c r="BZ91" s="1"/>
  <c r="I6" i="65"/>
  <c r="F14"/>
  <c r="I14" s="1"/>
  <c r="BQ87" i="77"/>
  <c r="G41" i="52"/>
  <c r="I41"/>
  <c r="BZ62" i="77"/>
  <c r="G58" i="52"/>
  <c r="I58"/>
  <c r="EQ13" i="77"/>
  <c r="EQ17" s="1"/>
  <c r="AP91"/>
  <c r="F56" i="48"/>
  <c r="EO89" i="77"/>
  <c r="I16" i="52"/>
  <c r="DF97" i="77"/>
  <c r="DD91"/>
  <c r="BQ34"/>
  <c r="EQ30"/>
  <c r="EQ34" s="1"/>
  <c r="EQ86"/>
  <c r="G42" i="52"/>
  <c r="I42"/>
  <c r="BB89" i="77"/>
  <c r="BB93" s="1"/>
  <c r="BB88"/>
  <c r="G23" i="46"/>
  <c r="J23" s="1"/>
  <c r="D22" i="34"/>
  <c r="BQ24" i="77"/>
  <c r="ET42"/>
  <c r="F61"/>
  <c r="EK61"/>
  <c r="DB97"/>
  <c r="DB94"/>
  <c r="ET67"/>
  <c r="EQ83"/>
  <c r="EK87"/>
  <c r="EQ87"/>
  <c r="EQ61"/>
  <c r="EZ9"/>
  <c r="I9" i="44"/>
  <c r="K9" s="1"/>
  <c r="L9" s="1"/>
  <c r="BT17" i="77"/>
  <c r="I22" i="52"/>
  <c r="G22"/>
  <c r="BT52" i="77"/>
  <c r="G53" i="52"/>
  <c r="I53"/>
  <c r="ET79" i="77"/>
  <c r="L91"/>
  <c r="CR93"/>
  <c r="L97" i="50"/>
  <c r="ET48" i="77"/>
  <c r="ET52"/>
  <c r="F62"/>
  <c r="F89"/>
  <c r="F93" s="1"/>
  <c r="BT26"/>
  <c r="BT34" s="1"/>
  <c r="I57" i="52"/>
  <c r="G57"/>
  <c r="AD93" i="77"/>
  <c r="ET73"/>
  <c r="BT31"/>
  <c r="ET31" s="1"/>
  <c r="L18"/>
  <c r="L89"/>
  <c r="L93" s="1"/>
  <c r="ET14"/>
  <c r="EN17"/>
  <c r="EN24"/>
  <c r="ET20"/>
  <c r="ET64"/>
  <c r="V97"/>
  <c r="V95"/>
  <c r="R91"/>
  <c r="S97"/>
  <c r="X91"/>
  <c r="G16" i="46"/>
  <c r="J16" s="1"/>
  <c r="D15" i="34"/>
  <c r="I37" i="65"/>
  <c r="H25" i="59"/>
  <c r="G86"/>
  <c r="ET36" i="77"/>
  <c r="BT61"/>
  <c r="I21" i="65"/>
  <c r="H86" i="59"/>
  <c r="D92"/>
  <c r="H83" i="4"/>
  <c r="G84" i="48"/>
  <c r="G84" i="44"/>
  <c r="J84" i="60"/>
  <c r="G40" i="48"/>
  <c r="G40" i="44"/>
  <c r="H36" i="4"/>
  <c r="D75" i="18"/>
  <c r="C75" s="1"/>
  <c r="G81" i="52"/>
  <c r="E85"/>
  <c r="E91" s="1"/>
  <c r="F54" i="4"/>
  <c r="I54" s="1"/>
  <c r="J54" s="1"/>
  <c r="E39" i="44"/>
  <c r="E41"/>
  <c r="F58" i="4"/>
  <c r="I58" s="1"/>
  <c r="J58" s="1"/>
  <c r="F47"/>
  <c r="E43" i="44"/>
  <c r="E45"/>
  <c r="F38" i="4"/>
  <c r="I38" s="1"/>
  <c r="J38" s="1"/>
  <c r="H18" i="69"/>
  <c r="D86"/>
  <c r="E10" i="44"/>
  <c r="F8" i="4"/>
  <c r="I8" s="1"/>
  <c r="J8" s="1"/>
  <c r="F12"/>
  <c r="E14" i="44"/>
  <c r="E20"/>
  <c r="F19" i="4"/>
  <c r="E23" i="44"/>
  <c r="F22" i="4"/>
  <c r="I22" s="1"/>
  <c r="J22" s="1"/>
  <c r="F39"/>
  <c r="I39" s="1"/>
  <c r="J39" s="1"/>
  <c r="E46" i="44"/>
  <c r="F44" i="4"/>
  <c r="I44" s="1"/>
  <c r="J44" s="1"/>
  <c r="E50" i="44"/>
  <c r="F57" i="4"/>
  <c r="I57" s="1"/>
  <c r="J57" s="1"/>
  <c r="E60" i="44"/>
  <c r="F63" i="4"/>
  <c r="E71" i="44"/>
  <c r="F69" i="4"/>
  <c r="E75" i="44"/>
  <c r="E79"/>
  <c r="F79" s="1"/>
  <c r="F76" i="4"/>
  <c r="I76" s="1"/>
  <c r="J76" s="1"/>
  <c r="H33" i="48"/>
  <c r="H33" i="44"/>
  <c r="D64" i="18"/>
  <c r="C64" s="1"/>
  <c r="D69"/>
  <c r="C69" s="1"/>
  <c r="D73"/>
  <c r="C73" s="1"/>
  <c r="F9" i="4"/>
  <c r="I9" s="1"/>
  <c r="J9" s="1"/>
  <c r="E11" i="44"/>
  <c r="E15"/>
  <c r="F13" i="4"/>
  <c r="F41"/>
  <c r="I41" s="1"/>
  <c r="J41" s="1"/>
  <c r="E47" i="44"/>
  <c r="E51"/>
  <c r="F45" i="4"/>
  <c r="I45" s="1"/>
  <c r="J45" s="1"/>
  <c r="E68" i="44"/>
  <c r="J68" s="1"/>
  <c r="F68" i="4"/>
  <c r="E72" i="44"/>
  <c r="F64" i="4"/>
  <c r="I64" s="1"/>
  <c r="J64" s="1"/>
  <c r="E76" i="44"/>
  <c r="F76" s="1"/>
  <c r="F70" i="4"/>
  <c r="E80" i="44"/>
  <c r="F77" i="4"/>
  <c r="I77" s="1"/>
  <c r="J77" s="1"/>
  <c r="E27" i="44"/>
  <c r="F25" i="4"/>
  <c r="I25" s="1"/>
  <c r="J25" s="1"/>
  <c r="H48" i="48"/>
  <c r="H48" i="44"/>
  <c r="G46" i="48"/>
  <c r="H39" i="4"/>
  <c r="G46" i="44"/>
  <c r="J46" i="60"/>
  <c r="R62" i="77"/>
  <c r="R89"/>
  <c r="G60" i="48"/>
  <c r="H57" i="4"/>
  <c r="G60" i="44"/>
  <c r="J60" i="60"/>
  <c r="BH25" i="77"/>
  <c r="BH89"/>
  <c r="BH93" s="1"/>
  <c r="DJ96" s="1"/>
  <c r="I52" i="52"/>
  <c r="G52"/>
  <c r="G32"/>
  <c r="I32"/>
  <c r="J18" i="76"/>
  <c r="J16"/>
  <c r="H30"/>
  <c r="J30" s="1"/>
  <c r="J28"/>
  <c r="J13"/>
  <c r="J17"/>
  <c r="K36" i="60"/>
  <c r="C37" i="59"/>
  <c r="F37" s="1"/>
  <c r="F36" i="60"/>
  <c r="C37" i="69"/>
  <c r="F37" s="1"/>
  <c r="C78" i="60"/>
  <c r="EW78" i="77"/>
  <c r="C78" i="48"/>
  <c r="D25" i="35"/>
  <c r="D21" i="70"/>
  <c r="D24" s="1"/>
  <c r="C74" i="48"/>
  <c r="EW74" i="77"/>
  <c r="C74" i="60"/>
  <c r="C68"/>
  <c r="EW68" i="77"/>
  <c r="C68" i="48"/>
  <c r="F68" i="44"/>
  <c r="EW64" i="77"/>
  <c r="F64" i="44"/>
  <c r="C64" i="48"/>
  <c r="F64" s="1"/>
  <c r="C64" i="60"/>
  <c r="J64" i="44"/>
  <c r="F20"/>
  <c r="EW20" i="77"/>
  <c r="C24" i="44"/>
  <c r="C20" i="48"/>
  <c r="J20" i="44"/>
  <c r="C20" i="60"/>
  <c r="D26" i="35"/>
  <c r="D22" i="70"/>
  <c r="BS93" i="77"/>
  <c r="I13" i="4"/>
  <c r="J13" s="1"/>
  <c r="I69"/>
  <c r="J69" s="1"/>
  <c r="I63"/>
  <c r="J63" s="1"/>
  <c r="ET91" i="77"/>
  <c r="I70" i="4"/>
  <c r="J70" s="1"/>
  <c r="D46" i="65"/>
  <c r="G86" i="48"/>
  <c r="H85" i="4"/>
  <c r="G86" i="44"/>
  <c r="E33"/>
  <c r="F29" i="4"/>
  <c r="E38" i="44"/>
  <c r="F46" i="4"/>
  <c r="I46" s="1"/>
  <c r="J46" s="1"/>
  <c r="F36"/>
  <c r="E40" i="44"/>
  <c r="E42"/>
  <c r="F51" i="4"/>
  <c r="I51" s="1"/>
  <c r="J51" s="1"/>
  <c r="F37"/>
  <c r="I37" s="1"/>
  <c r="J37" s="1"/>
  <c r="E44" i="44"/>
  <c r="D31" i="18"/>
  <c r="C31" s="1"/>
  <c r="F10" i="4"/>
  <c r="I10" s="1"/>
  <c r="J10" s="1"/>
  <c r="E12" i="44"/>
  <c r="E16"/>
  <c r="F14" i="4"/>
  <c r="I14" s="1"/>
  <c r="J14" s="1"/>
  <c r="F21"/>
  <c r="I21" s="1"/>
  <c r="J21" s="1"/>
  <c r="E22" i="44"/>
  <c r="F22" s="1"/>
  <c r="F40" i="4"/>
  <c r="I40" s="1"/>
  <c r="J40" s="1"/>
  <c r="E37" i="44"/>
  <c r="E49"/>
  <c r="F43" i="4"/>
  <c r="I43" s="1"/>
  <c r="J43" s="1"/>
  <c r="F48"/>
  <c r="I48" s="1"/>
  <c r="J48" s="1"/>
  <c r="E53" i="44"/>
  <c r="E70"/>
  <c r="F70" s="1"/>
  <c r="F73" i="4"/>
  <c r="I73" s="1"/>
  <c r="J73" s="1"/>
  <c r="F66"/>
  <c r="E74" i="44"/>
  <c r="E78"/>
  <c r="F74" i="4"/>
  <c r="I74" s="1"/>
  <c r="J74" s="1"/>
  <c r="H58"/>
  <c r="G41" i="44"/>
  <c r="G41" i="48"/>
  <c r="J41" i="60"/>
  <c r="F11" i="4"/>
  <c r="I11" s="1"/>
  <c r="J11" s="1"/>
  <c r="E13" i="44"/>
  <c r="E21"/>
  <c r="F20" i="4"/>
  <c r="I20" s="1"/>
  <c r="J20" s="1"/>
  <c r="F42"/>
  <c r="I42" s="1"/>
  <c r="J42" s="1"/>
  <c r="E48" i="44"/>
  <c r="E52"/>
  <c r="F35" i="4"/>
  <c r="I35" s="1"/>
  <c r="J35" s="1"/>
  <c r="F67"/>
  <c r="I67" s="1"/>
  <c r="J67" s="1"/>
  <c r="E69" i="44"/>
  <c r="F65" i="4"/>
  <c r="I65" s="1"/>
  <c r="J65" s="1"/>
  <c r="E73" i="44"/>
  <c r="F72" i="4"/>
  <c r="I72" s="1"/>
  <c r="J72" s="1"/>
  <c r="E77" i="44"/>
  <c r="E29"/>
  <c r="F28" i="4"/>
  <c r="I28" s="1"/>
  <c r="J28" s="1"/>
  <c r="BP97" i="77"/>
  <c r="J48" i="60"/>
  <c r="G48" i="48"/>
  <c r="H42" i="4"/>
  <c r="G48" i="44"/>
  <c r="H35" i="4"/>
  <c r="G52" i="48"/>
  <c r="J52" i="60"/>
  <c r="G52" i="44"/>
  <c r="D23" i="18"/>
  <c r="C23" s="1"/>
  <c r="D28"/>
  <c r="C28" s="1"/>
  <c r="H38" i="4"/>
  <c r="G45" i="48"/>
  <c r="G45" i="44"/>
  <c r="J45" i="60"/>
  <c r="H43" i="4"/>
  <c r="J49" i="60"/>
  <c r="G49" i="48"/>
  <c r="G49" i="44"/>
  <c r="ET59" i="77"/>
  <c r="EN61"/>
  <c r="ET27"/>
  <c r="EN34"/>
  <c r="BT22"/>
  <c r="BN24"/>
  <c r="BN89" s="1"/>
  <c r="BN93" s="1"/>
  <c r="H13" i="60"/>
  <c r="I10" i="46"/>
  <c r="E47" i="4"/>
  <c r="I47" s="1"/>
  <c r="J47" s="1"/>
  <c r="J43" i="60"/>
  <c r="D43" i="44"/>
  <c r="G73" i="52"/>
  <c r="I73"/>
  <c r="C78" i="59"/>
  <c r="F78" s="1"/>
  <c r="C78" i="69"/>
  <c r="F78" s="1"/>
  <c r="J8" i="76"/>
  <c r="D69" i="52"/>
  <c r="EX69" i="77"/>
  <c r="D69" i="48"/>
  <c r="D81" s="1"/>
  <c r="D81" i="44"/>
  <c r="I71" i="52"/>
  <c r="G71"/>
  <c r="J15" i="76"/>
  <c r="J14"/>
  <c r="J11"/>
  <c r="I21" i="52"/>
  <c r="G21"/>
  <c r="D24"/>
  <c r="I24" s="1"/>
  <c r="C76" i="48"/>
  <c r="C76" i="60"/>
  <c r="EW76" i="77"/>
  <c r="G19" i="4"/>
  <c r="G23" s="1"/>
  <c r="C72" i="48"/>
  <c r="F72" i="44"/>
  <c r="C72" i="60"/>
  <c r="EW72" i="77"/>
  <c r="EW70"/>
  <c r="C70" i="60"/>
  <c r="C70" i="48"/>
  <c r="C66" i="60"/>
  <c r="F66" i="44"/>
  <c r="EW66" i="77"/>
  <c r="C66" i="48"/>
  <c r="F66" s="1"/>
  <c r="I66" s="1"/>
  <c r="J66" i="44"/>
  <c r="E67" i="60"/>
  <c r="EY67" i="77"/>
  <c r="E67" i="48"/>
  <c r="E81" i="44"/>
  <c r="EW22" i="77"/>
  <c r="C22" i="60"/>
  <c r="C22" i="48"/>
  <c r="I19" i="4"/>
  <c r="J19" s="1"/>
  <c r="D23"/>
  <c r="I12"/>
  <c r="J12" s="1"/>
  <c r="I23" i="47"/>
  <c r="I66" i="4"/>
  <c r="J66" s="1"/>
  <c r="I68"/>
  <c r="J68" s="1"/>
  <c r="D13" i="18"/>
  <c r="C13" s="1"/>
  <c r="D16"/>
  <c r="C16" s="1"/>
  <c r="D22"/>
  <c r="C22" s="1"/>
  <c r="D40"/>
  <c r="D44"/>
  <c r="C44" s="1"/>
  <c r="D50"/>
  <c r="C50" s="1"/>
  <c r="G55" i="48"/>
  <c r="G55" i="44"/>
  <c r="H50" i="4"/>
  <c r="J55" i="60"/>
  <c r="D59" i="18"/>
  <c r="C59" s="1"/>
  <c r="D65"/>
  <c r="C65" s="1"/>
  <c r="D70"/>
  <c r="C70" s="1"/>
  <c r="D74"/>
  <c r="C74" s="1"/>
  <c r="D33"/>
  <c r="C33" s="1"/>
  <c r="D30"/>
  <c r="C30" s="1"/>
  <c r="D27"/>
  <c r="I50" i="4"/>
  <c r="J50" s="1"/>
  <c r="EY59" i="77"/>
  <c r="E59" i="60"/>
  <c r="E59" i="48"/>
  <c r="F59" s="1"/>
  <c r="F59" i="44"/>
  <c r="J59"/>
  <c r="H85" i="60"/>
  <c r="H87" i="44"/>
  <c r="H31" i="60"/>
  <c r="E31" s="1"/>
  <c r="I30" i="46"/>
  <c r="H39" i="60"/>
  <c r="E39" s="1"/>
  <c r="F39" s="1"/>
  <c r="I34" i="46"/>
  <c r="H43" i="60"/>
  <c r="E43" s="1"/>
  <c r="H50"/>
  <c r="H58"/>
  <c r="E58" s="1"/>
  <c r="H22"/>
  <c r="I19" i="46"/>
  <c r="I41"/>
  <c r="H68" i="60"/>
  <c r="H14"/>
  <c r="E14" s="1"/>
  <c r="I11" i="46"/>
  <c r="H64" i="48"/>
  <c r="H64" i="44"/>
  <c r="G79" i="52"/>
  <c r="D81"/>
  <c r="I81" s="1"/>
  <c r="I79"/>
  <c r="I15"/>
  <c r="G15"/>
  <c r="D17"/>
  <c r="EY57" i="77"/>
  <c r="E57" i="48"/>
  <c r="F57" s="1"/>
  <c r="J57" i="44"/>
  <c r="F57"/>
  <c r="E31" i="48"/>
  <c r="F31" s="1"/>
  <c r="EY31" i="77"/>
  <c r="J31" i="44"/>
  <c r="F31"/>
  <c r="H37" i="60"/>
  <c r="I28" i="46"/>
  <c r="H61" i="44"/>
  <c r="H41" i="60"/>
  <c r="E41" s="1"/>
  <c r="I32" i="46"/>
  <c r="H45" i="60"/>
  <c r="E45" s="1"/>
  <c r="H60"/>
  <c r="H77"/>
  <c r="E77" s="1"/>
  <c r="H12" i="48"/>
  <c r="H17" s="1"/>
  <c r="H12" i="44"/>
  <c r="ER92" i="77"/>
  <c r="F73" i="44"/>
  <c r="C73" i="60"/>
  <c r="C73" i="48"/>
  <c r="J73" i="44"/>
  <c r="EW73" i="77"/>
  <c r="G62" i="4"/>
  <c r="C14" i="48"/>
  <c r="J14" i="44"/>
  <c r="EW14" i="77"/>
  <c r="C14" i="60"/>
  <c r="F14" i="44"/>
  <c r="C12" i="48"/>
  <c r="J12" i="44"/>
  <c r="C12" i="60"/>
  <c r="EW12" i="77"/>
  <c r="F12" i="44"/>
  <c r="EW10" i="77"/>
  <c r="C10" i="60"/>
  <c r="C17" i="44"/>
  <c r="C10" i="48"/>
  <c r="F10" i="44"/>
  <c r="J10"/>
  <c r="G38" i="52"/>
  <c r="I38"/>
  <c r="I83" i="4"/>
  <c r="D86"/>
  <c r="EX84" i="77"/>
  <c r="D84" i="48"/>
  <c r="D87" i="44"/>
  <c r="F67"/>
  <c r="EW67" i="77"/>
  <c r="C67" i="60"/>
  <c r="J67" i="44"/>
  <c r="C67" i="48"/>
  <c r="F67" s="1"/>
  <c r="F65" i="44"/>
  <c r="EW65" i="77"/>
  <c r="J65" i="44"/>
  <c r="C65" i="60"/>
  <c r="C65" i="48"/>
  <c r="C81" i="44"/>
  <c r="I62" i="4"/>
  <c r="D80"/>
  <c r="D57" i="18"/>
  <c r="C57" s="1"/>
  <c r="I26" i="4"/>
  <c r="J26" s="1"/>
  <c r="H61" i="48"/>
  <c r="I85" i="4"/>
  <c r="J85" s="1"/>
  <c r="D12" i="18"/>
  <c r="C12" s="1"/>
  <c r="D14"/>
  <c r="C14" s="1"/>
  <c r="D20"/>
  <c r="D42"/>
  <c r="C42" s="1"/>
  <c r="D47"/>
  <c r="C47" s="1"/>
  <c r="D53"/>
  <c r="C53" s="1"/>
  <c r="H53" i="4"/>
  <c r="G57" i="48"/>
  <c r="G57" i="44"/>
  <c r="J57" i="60"/>
  <c r="D68" i="18"/>
  <c r="C68" s="1"/>
  <c r="D72"/>
  <c r="C72" s="1"/>
  <c r="D79"/>
  <c r="H84" i="4"/>
  <c r="H86" s="1"/>
  <c r="G85" i="48"/>
  <c r="G85" i="44"/>
  <c r="J85" i="60"/>
  <c r="D32" i="18"/>
  <c r="C32" s="1"/>
  <c r="D29"/>
  <c r="C29" s="1"/>
  <c r="E55" i="48"/>
  <c r="EY55" i="77"/>
  <c r="E61" i="44"/>
  <c r="F55"/>
  <c r="J55"/>
  <c r="E28"/>
  <c r="F27" i="4"/>
  <c r="I27" s="1"/>
  <c r="J27" s="1"/>
  <c r="H47" i="60"/>
  <c r="H54"/>
  <c r="E54" s="1"/>
  <c r="H72"/>
  <c r="H79"/>
  <c r="E30" i="48"/>
  <c r="F30" s="1"/>
  <c r="EY30" i="77"/>
  <c r="J30" i="44"/>
  <c r="F30"/>
  <c r="H28"/>
  <c r="H28" i="48"/>
  <c r="H34" s="1"/>
  <c r="H52" i="60"/>
  <c r="H56"/>
  <c r="E56" s="1"/>
  <c r="H20" i="44"/>
  <c r="H20" i="48"/>
  <c r="H24" s="1"/>
  <c r="I38" i="46"/>
  <c r="H65" i="60"/>
  <c r="E65" s="1"/>
  <c r="I43" i="46"/>
  <c r="H70" i="60"/>
  <c r="E70" s="1"/>
  <c r="H74"/>
  <c r="E74" s="1"/>
  <c r="G10"/>
  <c r="H7" i="46"/>
  <c r="G7" i="65"/>
  <c r="J31" i="4"/>
  <c r="G33"/>
  <c r="K39" i="60"/>
  <c r="C40" i="69"/>
  <c r="F40" s="1"/>
  <c r="E30" i="46"/>
  <c r="C40" i="59"/>
  <c r="F40" s="1"/>
  <c r="G39" i="52"/>
  <c r="I39"/>
  <c r="G83" i="4"/>
  <c r="C77" i="60"/>
  <c r="F77" i="44"/>
  <c r="EW77" i="77"/>
  <c r="J77" i="44"/>
  <c r="C77" i="48"/>
  <c r="EW69" i="77"/>
  <c r="C69" i="48"/>
  <c r="C69" i="60"/>
  <c r="J69" i="44"/>
  <c r="F69"/>
  <c r="J15"/>
  <c r="F15"/>
  <c r="C15" i="60"/>
  <c r="C15" i="48"/>
  <c r="EW15" i="77"/>
  <c r="J13" i="44"/>
  <c r="C13" i="48"/>
  <c r="C13" i="60"/>
  <c r="EW13" i="77"/>
  <c r="F13" i="44"/>
  <c r="C11" i="60"/>
  <c r="F11" i="44"/>
  <c r="J11"/>
  <c r="C11" i="48"/>
  <c r="EW11" i="77"/>
  <c r="G25" i="76"/>
  <c r="D26"/>
  <c r="D34" s="1"/>
  <c r="D16" i="4"/>
  <c r="E26" i="76"/>
  <c r="E34" s="1"/>
  <c r="EX86" i="77"/>
  <c r="D86" i="48"/>
  <c r="J86" i="44"/>
  <c r="EW86" i="77"/>
  <c r="C86" i="48"/>
  <c r="F86" i="44"/>
  <c r="C86" i="60"/>
  <c r="C101" i="44"/>
  <c r="F84"/>
  <c r="C84" i="48"/>
  <c r="C84" i="60"/>
  <c r="J84" i="44"/>
  <c r="EW84" i="77"/>
  <c r="C87" i="44"/>
  <c r="C79" i="60"/>
  <c r="EW79" i="77"/>
  <c r="C79" i="48"/>
  <c r="J79" i="44"/>
  <c r="J75"/>
  <c r="C75" i="48"/>
  <c r="C75" i="60"/>
  <c r="EW75" i="77"/>
  <c r="F75" i="44"/>
  <c r="F71"/>
  <c r="EW71" i="77"/>
  <c r="J71" i="44"/>
  <c r="C71" i="48"/>
  <c r="C71" i="60"/>
  <c r="J16" i="44"/>
  <c r="F16"/>
  <c r="C16" i="60"/>
  <c r="C16" i="48"/>
  <c r="EW16" i="77"/>
  <c r="D55" i="18"/>
  <c r="C55" s="1"/>
  <c r="ES98" i="77"/>
  <c r="D11" i="18"/>
  <c r="BR93" i="77"/>
  <c r="ER98" s="1"/>
  <c r="H34" i="76"/>
  <c r="EQ89" i="77" l="1"/>
  <c r="EQ92" s="1"/>
  <c r="E60" i="60"/>
  <c r="J76" i="44"/>
  <c r="E13" i="60"/>
  <c r="BZ92" i="77"/>
  <c r="E68" i="60"/>
  <c r="J22" i="44"/>
  <c r="AP93" i="77"/>
  <c r="AP97" s="1"/>
  <c r="E79" i="60"/>
  <c r="EN81" i="77"/>
  <c r="EN89"/>
  <c r="E72" i="60"/>
  <c r="E22"/>
  <c r="DD88" i="77"/>
  <c r="DD89"/>
  <c r="DD93" s="1"/>
  <c r="DD97" s="1"/>
  <c r="E52" i="60"/>
  <c r="F52" s="1"/>
  <c r="E47"/>
  <c r="E50"/>
  <c r="ET61" i="77"/>
  <c r="X89"/>
  <c r="X97" s="1"/>
  <c r="BZ89"/>
  <c r="F60" i="4"/>
  <c r="F46" i="65"/>
  <c r="I46" s="1"/>
  <c r="BQ89" i="77"/>
  <c r="ET83"/>
  <c r="ET87" s="1"/>
  <c r="BT87"/>
  <c r="ET26"/>
  <c r="ET34" s="1"/>
  <c r="F86" i="48"/>
  <c r="I86" s="1"/>
  <c r="G56"/>
  <c r="I56" s="1"/>
  <c r="G56" i="44"/>
  <c r="H52" i="4"/>
  <c r="J56" i="60"/>
  <c r="D19" i="46"/>
  <c r="F40"/>
  <c r="D39"/>
  <c r="G39" s="1"/>
  <c r="J39" s="1"/>
  <c r="F66" i="60"/>
  <c r="EZ70" i="77"/>
  <c r="D43" i="46"/>
  <c r="EZ72" i="77"/>
  <c r="EZ76"/>
  <c r="I76" i="44"/>
  <c r="K76" s="1"/>
  <c r="L76" s="1"/>
  <c r="F10" i="46"/>
  <c r="ET22" i="77"/>
  <c r="ET24" s="1"/>
  <c r="BT24"/>
  <c r="G45" i="60"/>
  <c r="D45" s="1"/>
  <c r="G28" i="48"/>
  <c r="J28" i="60"/>
  <c r="G28" i="44"/>
  <c r="H27" i="4"/>
  <c r="H22"/>
  <c r="G23" i="44"/>
  <c r="G23" i="48"/>
  <c r="J23" i="60"/>
  <c r="EY77" i="77"/>
  <c r="E77" i="48"/>
  <c r="EY73" i="77"/>
  <c r="E73" i="60"/>
  <c r="E73" i="48"/>
  <c r="F73" s="1"/>
  <c r="E69"/>
  <c r="E69" i="60"/>
  <c r="EY69" i="77"/>
  <c r="J48" i="44"/>
  <c r="E48" i="48"/>
  <c r="F48" s="1"/>
  <c r="I48" s="1"/>
  <c r="EY48" i="77"/>
  <c r="F48" i="44"/>
  <c r="EY13" i="77"/>
  <c r="E13" i="48"/>
  <c r="H32" i="46"/>
  <c r="G41" i="60"/>
  <c r="D41" s="1"/>
  <c r="G32" i="65"/>
  <c r="EY74" i="77"/>
  <c r="E74" i="48"/>
  <c r="EY53" i="77"/>
  <c r="J53" i="44"/>
  <c r="E53" i="48"/>
  <c r="F53" s="1"/>
  <c r="E53" i="60"/>
  <c r="F53" i="44"/>
  <c r="EY16" i="77"/>
  <c r="E16" i="48"/>
  <c r="J31" i="60"/>
  <c r="G31" i="44"/>
  <c r="G31" i="48"/>
  <c r="I31" s="1"/>
  <c r="H31" i="4"/>
  <c r="EY42" i="77"/>
  <c r="E42" i="60"/>
  <c r="F42" i="44"/>
  <c r="E42" i="48"/>
  <c r="F42" s="1"/>
  <c r="J42" i="44"/>
  <c r="EY38" i="77"/>
  <c r="E38" i="60"/>
  <c r="F38" i="44"/>
  <c r="E38" i="48"/>
  <c r="F38" s="1"/>
  <c r="J38" i="44"/>
  <c r="EY33" i="77"/>
  <c r="E33" i="48"/>
  <c r="H40" i="4"/>
  <c r="G37" i="44"/>
  <c r="G37" i="48"/>
  <c r="J37" i="60"/>
  <c r="G58" i="48"/>
  <c r="I58" s="1"/>
  <c r="G58" i="44"/>
  <c r="H55" i="4"/>
  <c r="J58" i="60"/>
  <c r="G43" i="48"/>
  <c r="G43" i="44"/>
  <c r="H47" i="4"/>
  <c r="EZ68" i="77"/>
  <c r="D41" i="46"/>
  <c r="R93" i="77"/>
  <c r="R97"/>
  <c r="H48" i="60"/>
  <c r="E48" s="1"/>
  <c r="EY47" i="77"/>
  <c r="J47" i="44"/>
  <c r="E47" i="48"/>
  <c r="F47" s="1"/>
  <c r="F47" i="44"/>
  <c r="E11" i="60"/>
  <c r="E11" i="48"/>
  <c r="EY11" i="77"/>
  <c r="H33" i="60"/>
  <c r="E33" s="1"/>
  <c r="E75"/>
  <c r="EY75" i="77"/>
  <c r="E75" i="48"/>
  <c r="F75" s="1"/>
  <c r="I75" s="1"/>
  <c r="EY71" i="77"/>
  <c r="E71" i="48"/>
  <c r="F71" s="1"/>
  <c r="E71" i="60"/>
  <c r="E60" i="48"/>
  <c r="F60" s="1"/>
  <c r="I60" s="1"/>
  <c r="EY60" i="77"/>
  <c r="J60" i="44"/>
  <c r="F60"/>
  <c r="E50" i="48"/>
  <c r="F50" s="1"/>
  <c r="J50" i="44"/>
  <c r="EY50" i="77"/>
  <c r="F50" i="44"/>
  <c r="E46" i="60"/>
  <c r="EY46" i="77"/>
  <c r="E46" i="48"/>
  <c r="F46" s="1"/>
  <c r="I46" s="1"/>
  <c r="F46" i="44"/>
  <c r="J46"/>
  <c r="E20" i="48"/>
  <c r="E24" i="44"/>
  <c r="EY20" i="77"/>
  <c r="H86" i="69"/>
  <c r="D92"/>
  <c r="EY43" i="77"/>
  <c r="E43" i="48"/>
  <c r="J39" i="44"/>
  <c r="EY39" i="77"/>
  <c r="E39" i="48"/>
  <c r="F39" s="1"/>
  <c r="I39" s="1"/>
  <c r="F39" i="44"/>
  <c r="H69" i="4"/>
  <c r="G75" i="44"/>
  <c r="G75" i="48"/>
  <c r="J75" i="60"/>
  <c r="G84"/>
  <c r="D84" s="1"/>
  <c r="F77" i="48"/>
  <c r="I77" s="1"/>
  <c r="J74" i="44"/>
  <c r="F23" i="4"/>
  <c r="G67" i="44"/>
  <c r="H71" i="4"/>
  <c r="G67" i="48"/>
  <c r="J67" i="60"/>
  <c r="H45" i="4"/>
  <c r="G51" i="44"/>
  <c r="G51" i="48"/>
  <c r="J51" i="60"/>
  <c r="EZ22" i="77"/>
  <c r="EY81"/>
  <c r="EZ66"/>
  <c r="I66" i="44"/>
  <c r="K66" s="1"/>
  <c r="L66" s="1"/>
  <c r="EX81" i="77"/>
  <c r="I69" i="52"/>
  <c r="G69"/>
  <c r="D43" i="48"/>
  <c r="EX43" i="77"/>
  <c r="D43" i="52"/>
  <c r="F43" i="44"/>
  <c r="J43"/>
  <c r="G49" i="60"/>
  <c r="D49" s="1"/>
  <c r="G52"/>
  <c r="D52" s="1"/>
  <c r="G48"/>
  <c r="D48" s="1"/>
  <c r="EY29" i="77"/>
  <c r="E29" i="60"/>
  <c r="E29" i="48"/>
  <c r="F29" s="1"/>
  <c r="F29" i="44"/>
  <c r="J29"/>
  <c r="F52"/>
  <c r="EY52" i="77"/>
  <c r="E52" i="48"/>
  <c r="F52" s="1"/>
  <c r="I52" s="1"/>
  <c r="J52" i="44"/>
  <c r="E21" i="48"/>
  <c r="F21" s="1"/>
  <c r="I21" s="1"/>
  <c r="E21" i="60"/>
  <c r="J21" i="44"/>
  <c r="EY21" i="77"/>
  <c r="F21" i="44"/>
  <c r="E78" i="48"/>
  <c r="F78" s="1"/>
  <c r="I78" s="1"/>
  <c r="E78" i="60"/>
  <c r="EY78" i="77"/>
  <c r="EY70"/>
  <c r="E70" i="48"/>
  <c r="F70" s="1"/>
  <c r="J70" i="44"/>
  <c r="EY49" i="77"/>
  <c r="E49" i="48"/>
  <c r="F49" s="1"/>
  <c r="I49" s="1"/>
  <c r="E49" i="60"/>
  <c r="F49" i="44"/>
  <c r="J49"/>
  <c r="EY37" i="77"/>
  <c r="E37" i="48"/>
  <c r="F37" s="1"/>
  <c r="I37" s="1"/>
  <c r="J37" i="44"/>
  <c r="F37"/>
  <c r="E22" i="48"/>
  <c r="EY22" i="77"/>
  <c r="E12" i="48"/>
  <c r="F12" s="1"/>
  <c r="EY12" i="77"/>
  <c r="E44" i="48"/>
  <c r="F44" s="1"/>
  <c r="E44" i="60"/>
  <c r="EY44" i="77"/>
  <c r="F44" i="44"/>
  <c r="J44"/>
  <c r="E40" i="48"/>
  <c r="E40" i="60"/>
  <c r="EY40" i="77"/>
  <c r="G86" i="60"/>
  <c r="D86" s="1"/>
  <c r="G38" i="44"/>
  <c r="H46" i="4"/>
  <c r="G38" i="48"/>
  <c r="I38" s="1"/>
  <c r="J38" i="60"/>
  <c r="G71" i="44"/>
  <c r="G71" i="48"/>
  <c r="H63" i="4"/>
  <c r="J71" i="60"/>
  <c r="G54" i="48"/>
  <c r="I54" s="1"/>
  <c r="G54" i="44"/>
  <c r="H49" i="4"/>
  <c r="J54" i="60"/>
  <c r="D17" i="46"/>
  <c r="D21" s="1"/>
  <c r="C24" i="60"/>
  <c r="I24" s="1"/>
  <c r="D9" i="68"/>
  <c r="F20" i="48"/>
  <c r="C24"/>
  <c r="EZ20" i="77"/>
  <c r="D37" i="46"/>
  <c r="EZ64" i="77"/>
  <c r="G60" i="60"/>
  <c r="D60" s="1"/>
  <c r="F60" s="1"/>
  <c r="G46"/>
  <c r="D46" s="1"/>
  <c r="E27"/>
  <c r="EY27" i="77"/>
  <c r="E27" i="48"/>
  <c r="F27" s="1"/>
  <c r="J27" i="44"/>
  <c r="F27"/>
  <c r="EY80" i="77"/>
  <c r="E80" i="48"/>
  <c r="F80" s="1"/>
  <c r="I80" s="1"/>
  <c r="J80" i="44"/>
  <c r="E80" i="60"/>
  <c r="F80" i="44"/>
  <c r="E76" i="60"/>
  <c r="E76" i="48"/>
  <c r="EY76" i="77"/>
  <c r="E72" i="48"/>
  <c r="EY72" i="77"/>
  <c r="J72" i="44"/>
  <c r="E68" i="48"/>
  <c r="E81" s="1"/>
  <c r="EY68" i="77"/>
  <c r="EY51"/>
  <c r="E51" i="60"/>
  <c r="F51" i="44"/>
  <c r="E51" i="48"/>
  <c r="F51" s="1"/>
  <c r="I51" s="1"/>
  <c r="J51" i="44"/>
  <c r="E15" i="60"/>
  <c r="EY15" i="77"/>
  <c r="E15" i="48"/>
  <c r="H65" i="4"/>
  <c r="G73" i="48"/>
  <c r="G73" i="44"/>
  <c r="I73" s="1"/>
  <c r="K73" s="1"/>
  <c r="L73" s="1"/>
  <c r="J73" i="60"/>
  <c r="G69" i="48"/>
  <c r="H67" i="4"/>
  <c r="G69" i="44"/>
  <c r="I69" s="1"/>
  <c r="K69" s="1"/>
  <c r="L69" s="1"/>
  <c r="J69" i="60"/>
  <c r="G64" i="44"/>
  <c r="I64" s="1"/>
  <c r="H78" i="4"/>
  <c r="G64" i="48"/>
  <c r="J64" i="60"/>
  <c r="EY79" i="77"/>
  <c r="E79" i="48"/>
  <c r="EY23" i="77"/>
  <c r="E23" i="48"/>
  <c r="F23" s="1"/>
  <c r="I23" s="1"/>
  <c r="J23" i="44"/>
  <c r="E23" i="60"/>
  <c r="F23" i="44"/>
  <c r="E14" i="48"/>
  <c r="F14" s="1"/>
  <c r="EY14" i="77"/>
  <c r="E10" i="48"/>
  <c r="E17" s="1"/>
  <c r="E10" i="60"/>
  <c r="EY10" i="77"/>
  <c r="E17" i="44"/>
  <c r="EY45" i="77"/>
  <c r="J45" i="44"/>
  <c r="F45"/>
  <c r="E45" i="48"/>
  <c r="F45" s="1"/>
  <c r="I45" s="1"/>
  <c r="E41"/>
  <c r="F41" s="1"/>
  <c r="I41" s="1"/>
  <c r="J41" i="44"/>
  <c r="EY41" i="77"/>
  <c r="F41" i="44"/>
  <c r="H31" i="46"/>
  <c r="G40" i="60"/>
  <c r="G31" i="65"/>
  <c r="F13" i="48"/>
  <c r="F15"/>
  <c r="I15" s="1"/>
  <c r="F69"/>
  <c r="F16"/>
  <c r="F79"/>
  <c r="F11"/>
  <c r="I67"/>
  <c r="I23" i="4"/>
  <c r="J23" s="1"/>
  <c r="F22" i="48"/>
  <c r="F72"/>
  <c r="F76"/>
  <c r="I76" s="1"/>
  <c r="K45" i="60"/>
  <c r="E16"/>
  <c r="F74" i="44"/>
  <c r="F74" i="48"/>
  <c r="D28" i="35"/>
  <c r="F78" i="44"/>
  <c r="J78"/>
  <c r="F80" i="4"/>
  <c r="I80" s="1"/>
  <c r="F16"/>
  <c r="I16" s="1"/>
  <c r="J16" s="1"/>
  <c r="ER100" i="77"/>
  <c r="ER102" s="1"/>
  <c r="ER104" s="1"/>
  <c r="D83" i="18"/>
  <c r="C11"/>
  <c r="C17" s="1"/>
  <c r="D17"/>
  <c r="ES100" i="77"/>
  <c r="ES102" s="1"/>
  <c r="ES104" s="1"/>
  <c r="EZ16"/>
  <c r="EZ71"/>
  <c r="I71" i="44"/>
  <c r="K71" s="1"/>
  <c r="L71" s="1"/>
  <c r="EZ79" i="77"/>
  <c r="F84" i="60"/>
  <c r="C87"/>
  <c r="EZ84" i="77"/>
  <c r="F87" i="44"/>
  <c r="I84"/>
  <c r="F86" i="60"/>
  <c r="EZ15" i="77"/>
  <c r="I15" i="44"/>
  <c r="K15" s="1"/>
  <c r="L15" s="1"/>
  <c r="EZ69" i="77"/>
  <c r="I77" i="44"/>
  <c r="K77" s="1"/>
  <c r="L77" s="1"/>
  <c r="EZ77" i="77"/>
  <c r="F101" i="44"/>
  <c r="D10" i="60"/>
  <c r="F38" i="46"/>
  <c r="H34" i="44"/>
  <c r="H28" i="60"/>
  <c r="I25" i="46"/>
  <c r="I26" s="1"/>
  <c r="E101" i="44"/>
  <c r="E28" i="48"/>
  <c r="EY28" i="77"/>
  <c r="E34" i="44"/>
  <c r="J28"/>
  <c r="F28"/>
  <c r="EZ55" i="77"/>
  <c r="I55" i="44"/>
  <c r="K55" s="1"/>
  <c r="L55" s="1"/>
  <c r="E61" i="48"/>
  <c r="F55"/>
  <c r="I55" s="1"/>
  <c r="G29" i="44"/>
  <c r="J29" i="60"/>
  <c r="H28" i="4"/>
  <c r="G29" i="48"/>
  <c r="I29" s="1"/>
  <c r="H32" i="4"/>
  <c r="G32" i="44"/>
  <c r="G32" i="48"/>
  <c r="I32" s="1"/>
  <c r="J32" i="60"/>
  <c r="G85"/>
  <c r="G87" i="44"/>
  <c r="I85"/>
  <c r="K85" s="1"/>
  <c r="L85" s="1"/>
  <c r="G87" i="48"/>
  <c r="I85"/>
  <c r="C79" i="18"/>
  <c r="D81"/>
  <c r="G53" i="48"/>
  <c r="I53" s="1"/>
  <c r="G53" i="44"/>
  <c r="H48" i="4"/>
  <c r="J53" i="60"/>
  <c r="G42" i="44"/>
  <c r="G42" i="48"/>
  <c r="H51" i="4"/>
  <c r="J60" i="47"/>
  <c r="J42" i="60"/>
  <c r="C20" i="18"/>
  <c r="C24" s="1"/>
  <c r="D24"/>
  <c r="EW81" i="77"/>
  <c r="J81" i="44"/>
  <c r="C81" i="60"/>
  <c r="I81" s="1"/>
  <c r="D38" i="46"/>
  <c r="EZ65" i="77"/>
  <c r="F81" i="44"/>
  <c r="D40" i="46"/>
  <c r="EZ67" i="77"/>
  <c r="I67" i="44"/>
  <c r="K67" s="1"/>
  <c r="L67" s="1"/>
  <c r="F10" i="48"/>
  <c r="C17"/>
  <c r="EZ14" i="77"/>
  <c r="J62" i="4"/>
  <c r="G80"/>
  <c r="EZ73" i="77"/>
  <c r="H12" i="60"/>
  <c r="I9" i="46"/>
  <c r="I14" s="1"/>
  <c r="H17" i="44"/>
  <c r="E37" i="60"/>
  <c r="H61"/>
  <c r="EZ57" i="77"/>
  <c r="I57" i="44"/>
  <c r="K57" s="1"/>
  <c r="L57" s="1"/>
  <c r="F11" i="46"/>
  <c r="F41"/>
  <c r="F19"/>
  <c r="F30"/>
  <c r="G30" s="1"/>
  <c r="J30" s="1"/>
  <c r="EZ59" i="77"/>
  <c r="C27" i="18"/>
  <c r="C34" s="1"/>
  <c r="D34"/>
  <c r="J30" i="60"/>
  <c r="H26" i="4"/>
  <c r="G30" i="44"/>
  <c r="I30" s="1"/>
  <c r="K30" s="1"/>
  <c r="L30" s="1"/>
  <c r="G30" i="48"/>
  <c r="I30" s="1"/>
  <c r="H56" i="4"/>
  <c r="G59" i="48"/>
  <c r="G59" i="44"/>
  <c r="I59" s="1"/>
  <c r="K59" s="1"/>
  <c r="L59" s="1"/>
  <c r="J59" i="60"/>
  <c r="G50" i="48"/>
  <c r="I50" s="1"/>
  <c r="G50" i="44"/>
  <c r="H44" i="4"/>
  <c r="J50" i="60"/>
  <c r="G44" i="48"/>
  <c r="G44" i="44"/>
  <c r="H37" i="4"/>
  <c r="J44" i="60"/>
  <c r="D40" i="44"/>
  <c r="E36" i="4"/>
  <c r="J40" i="60"/>
  <c r="G22" i="44"/>
  <c r="J22" i="60"/>
  <c r="G22" i="48"/>
  <c r="I22" s="1"/>
  <c r="H21" i="4"/>
  <c r="F33"/>
  <c r="D87" i="48"/>
  <c r="D88" i="4"/>
  <c r="J17" i="44"/>
  <c r="I57" i="48"/>
  <c r="C81" i="18"/>
  <c r="H101" i="44"/>
  <c r="H89"/>
  <c r="D13" i="46"/>
  <c r="EZ75" i="77"/>
  <c r="I75" i="44"/>
  <c r="K75" s="1"/>
  <c r="L75" s="1"/>
  <c r="EW87" i="77"/>
  <c r="C93" i="44"/>
  <c r="J87"/>
  <c r="F84" i="48"/>
  <c r="C87"/>
  <c r="EZ86" i="77"/>
  <c r="I86" i="44"/>
  <c r="K86" s="1"/>
  <c r="L86" s="1"/>
  <c r="G26" i="76"/>
  <c r="J25"/>
  <c r="EZ11" i="77"/>
  <c r="D8" i="46"/>
  <c r="EZ13" i="77"/>
  <c r="D10" i="46"/>
  <c r="D12"/>
  <c r="F15" i="60"/>
  <c r="D42" i="46"/>
  <c r="F77" i="60"/>
  <c r="J83" i="4"/>
  <c r="G86"/>
  <c r="D29" i="34"/>
  <c r="F43" i="46"/>
  <c r="I17"/>
  <c r="I21" s="1"/>
  <c r="H20" i="60"/>
  <c r="H24" i="44"/>
  <c r="EZ30" i="77"/>
  <c r="EY61"/>
  <c r="E93" i="44"/>
  <c r="J86" i="47"/>
  <c r="G79" i="44"/>
  <c r="H76" i="4"/>
  <c r="G79" i="48"/>
  <c r="J79" i="60"/>
  <c r="G72" i="48"/>
  <c r="I72" s="1"/>
  <c r="H64" i="4"/>
  <c r="G72" i="44"/>
  <c r="J72" i="60"/>
  <c r="G68" i="48"/>
  <c r="G68" i="44"/>
  <c r="H68" i="4"/>
  <c r="J68" i="60"/>
  <c r="G57"/>
  <c r="D57" s="1"/>
  <c r="H41" i="4"/>
  <c r="G47" i="44"/>
  <c r="G47" i="48"/>
  <c r="I47" s="1"/>
  <c r="J47" i="60"/>
  <c r="G20" i="44"/>
  <c r="H19" i="4"/>
  <c r="H23" s="1"/>
  <c r="G20" i="48"/>
  <c r="J20" i="60"/>
  <c r="H12" i="4"/>
  <c r="G14" i="48"/>
  <c r="G14" i="44"/>
  <c r="J14" i="60"/>
  <c r="G12" i="48"/>
  <c r="H10" i="4"/>
  <c r="G12" i="44"/>
  <c r="J12" i="60"/>
  <c r="F65" i="48"/>
  <c r="C81"/>
  <c r="D83" i="52"/>
  <c r="EX87" i="77"/>
  <c r="I10" i="44"/>
  <c r="K10" s="1"/>
  <c r="L10" s="1"/>
  <c r="F17"/>
  <c r="EZ10" i="77"/>
  <c r="F10" i="60"/>
  <c r="C17"/>
  <c r="I17" s="1"/>
  <c r="D7" i="46"/>
  <c r="EZ12" i="77"/>
  <c r="D9" i="46"/>
  <c r="D11"/>
  <c r="F45" i="60"/>
  <c r="F32" i="46"/>
  <c r="F41" i="60"/>
  <c r="I31" i="44"/>
  <c r="K31" s="1"/>
  <c r="L31" s="1"/>
  <c r="EZ31" i="77"/>
  <c r="I37" i="46"/>
  <c r="I44" s="1"/>
  <c r="H81" i="44"/>
  <c r="H93" s="1"/>
  <c r="H64" i="60"/>
  <c r="H81" i="48"/>
  <c r="H93" s="1"/>
  <c r="I64"/>
  <c r="F34" i="46"/>
  <c r="H87" i="60"/>
  <c r="E85"/>
  <c r="H25" i="4"/>
  <c r="H33" s="1"/>
  <c r="G27" i="44"/>
  <c r="G27" i="48"/>
  <c r="J27" i="60"/>
  <c r="J33"/>
  <c r="E29" i="4"/>
  <c r="D33" i="44"/>
  <c r="J34" i="60"/>
  <c r="H66" i="4"/>
  <c r="G74" i="48"/>
  <c r="G74" i="44"/>
  <c r="J74" i="60"/>
  <c r="H73" i="4"/>
  <c r="G70" i="48"/>
  <c r="G70" i="44"/>
  <c r="J70" i="60"/>
  <c r="H62" i="4"/>
  <c r="H80" s="1"/>
  <c r="G65" i="48"/>
  <c r="G81" s="1"/>
  <c r="J65" i="60"/>
  <c r="G65" i="44"/>
  <c r="G55" i="60"/>
  <c r="D55" s="1"/>
  <c r="C40" i="18"/>
  <c r="C61" s="1"/>
  <c r="D61"/>
  <c r="G16" i="48"/>
  <c r="I16" s="1"/>
  <c r="J16" i="60"/>
  <c r="H14" i="4"/>
  <c r="G16" i="44"/>
  <c r="I16" s="1"/>
  <c r="K16" s="1"/>
  <c r="L16" s="1"/>
  <c r="G13" i="48"/>
  <c r="I13" s="1"/>
  <c r="H11" i="4"/>
  <c r="G13" i="44"/>
  <c r="J13" i="60"/>
  <c r="H9" i="4"/>
  <c r="J11" i="60"/>
  <c r="G11" i="44"/>
  <c r="G11" i="48"/>
  <c r="J87" i="60"/>
  <c r="I35" i="46"/>
  <c r="I59" i="48"/>
  <c r="F88" i="4"/>
  <c r="BT89" i="77" l="1"/>
  <c r="I11" i="48"/>
  <c r="X93" i="77"/>
  <c r="I44" i="48"/>
  <c r="I74"/>
  <c r="F43"/>
  <c r="I43" s="1"/>
  <c r="I70"/>
  <c r="I79"/>
  <c r="ET89" i="77"/>
  <c r="ET93" s="1"/>
  <c r="G88" i="4"/>
  <c r="BQ93" i="77"/>
  <c r="BT92"/>
  <c r="I69" i="48"/>
  <c r="EZ74" i="77"/>
  <c r="EZ41"/>
  <c r="I41" i="44"/>
  <c r="K41" s="1"/>
  <c r="L41" s="1"/>
  <c r="EZ45" i="77"/>
  <c r="I45" i="44"/>
  <c r="K45" s="1"/>
  <c r="L45" s="1"/>
  <c r="I23"/>
  <c r="K23" s="1"/>
  <c r="L23" s="1"/>
  <c r="EZ23" i="77"/>
  <c r="H37" i="46"/>
  <c r="G64" i="60"/>
  <c r="D64" s="1"/>
  <c r="G37" i="65"/>
  <c r="G42"/>
  <c r="H42" i="46"/>
  <c r="G69" i="60"/>
  <c r="D69" s="1"/>
  <c r="G73"/>
  <c r="D73" s="1"/>
  <c r="F12" i="46"/>
  <c r="G12" s="1"/>
  <c r="J12" s="1"/>
  <c r="I51" i="44"/>
  <c r="K51" s="1"/>
  <c r="L51" s="1"/>
  <c r="EZ51" i="77"/>
  <c r="I80" i="44"/>
  <c r="K80" s="1"/>
  <c r="L80" s="1"/>
  <c r="EZ80" i="77"/>
  <c r="F80" i="60"/>
  <c r="EZ27" i="77"/>
  <c r="F24" i="46"/>
  <c r="C47" i="69"/>
  <c r="F47" s="1"/>
  <c r="C47" i="59"/>
  <c r="F47" s="1"/>
  <c r="F46" i="60"/>
  <c r="G71"/>
  <c r="D71" s="1"/>
  <c r="G29" i="65"/>
  <c r="G38" i="60"/>
  <c r="D38" s="1"/>
  <c r="H29" i="46"/>
  <c r="F31"/>
  <c r="EZ44" i="77"/>
  <c r="I21" i="44"/>
  <c r="K21" s="1"/>
  <c r="L21" s="1"/>
  <c r="EZ21" i="77"/>
  <c r="F18" i="46"/>
  <c r="F21" i="60"/>
  <c r="EZ29" i="77"/>
  <c r="F48" i="60"/>
  <c r="C49" i="59"/>
  <c r="F49" s="1"/>
  <c r="C49" i="69"/>
  <c r="F49" s="1"/>
  <c r="C53" i="59"/>
  <c r="F53" s="1"/>
  <c r="C53" i="69"/>
  <c r="F53" s="1"/>
  <c r="EZ43" i="77"/>
  <c r="I43" i="44"/>
  <c r="K43" s="1"/>
  <c r="L43" s="1"/>
  <c r="G67" i="60"/>
  <c r="D67" s="1"/>
  <c r="H40" i="46"/>
  <c r="G40" i="65"/>
  <c r="G75" i="60"/>
  <c r="D75" s="1"/>
  <c r="EZ39" i="77"/>
  <c r="I39" i="44"/>
  <c r="K39" s="1"/>
  <c r="L39" s="1"/>
  <c r="I46"/>
  <c r="K46" s="1"/>
  <c r="L46" s="1"/>
  <c r="EZ46" i="77"/>
  <c r="EZ50"/>
  <c r="F8" i="46"/>
  <c r="EZ47" i="77"/>
  <c r="EZ38"/>
  <c r="I38" i="44"/>
  <c r="K38" s="1"/>
  <c r="L38" s="1"/>
  <c r="EZ42" i="77"/>
  <c r="EZ53"/>
  <c r="K41" i="60"/>
  <c r="C42" i="59"/>
  <c r="F42" s="1"/>
  <c r="E32" i="46"/>
  <c r="D31" i="34" s="1"/>
  <c r="C42" i="69"/>
  <c r="F42" s="1"/>
  <c r="EZ48" i="77"/>
  <c r="I48" i="44"/>
  <c r="K48" s="1"/>
  <c r="L48" s="1"/>
  <c r="G23" i="60"/>
  <c r="D23" s="1"/>
  <c r="H20" i="46"/>
  <c r="G20" i="65"/>
  <c r="C46" i="59"/>
  <c r="F46" s="1"/>
  <c r="C46" i="69"/>
  <c r="F46" s="1"/>
  <c r="I14" i="48"/>
  <c r="J80" i="4"/>
  <c r="F76" i="60"/>
  <c r="K46"/>
  <c r="F68" i="48"/>
  <c r="I68" s="1"/>
  <c r="I81" s="1"/>
  <c r="E24"/>
  <c r="J24" i="44"/>
  <c r="K23" i="60"/>
  <c r="EZ78" i="77"/>
  <c r="I78" i="44"/>
  <c r="K78" s="1"/>
  <c r="L78" s="1"/>
  <c r="F13" i="46"/>
  <c r="F7"/>
  <c r="F20"/>
  <c r="C61" i="69"/>
  <c r="F61" s="1"/>
  <c r="C61" i="59"/>
  <c r="F61" s="1"/>
  <c r="G54" i="60"/>
  <c r="D54" s="1"/>
  <c r="I54" i="44"/>
  <c r="K54" s="1"/>
  <c r="L54" s="1"/>
  <c r="EZ37" i="77"/>
  <c r="I37" i="44"/>
  <c r="K37" s="1"/>
  <c r="L37" s="1"/>
  <c r="EZ49" i="77"/>
  <c r="I49" i="44"/>
  <c r="K49" s="1"/>
  <c r="L49" s="1"/>
  <c r="EZ52" i="77"/>
  <c r="I52" i="44"/>
  <c r="K52" s="1"/>
  <c r="L52" s="1"/>
  <c r="C50" i="69"/>
  <c r="F50" s="1"/>
  <c r="C50" i="59"/>
  <c r="F50" s="1"/>
  <c r="F49" i="60"/>
  <c r="I43" i="52"/>
  <c r="G43"/>
  <c r="G51" i="60"/>
  <c r="D51" s="1"/>
  <c r="EZ60" i="77"/>
  <c r="I60" i="44"/>
  <c r="K60" s="1"/>
  <c r="L60" s="1"/>
  <c r="G43" i="60"/>
  <c r="D43" s="1"/>
  <c r="H34" i="46"/>
  <c r="G34" i="65"/>
  <c r="G58" i="60"/>
  <c r="D58" s="1"/>
  <c r="I58" i="44"/>
  <c r="K58" s="1"/>
  <c r="L58" s="1"/>
  <c r="G28" i="65"/>
  <c r="H28" i="46"/>
  <c r="G37" i="60"/>
  <c r="D37" s="1"/>
  <c r="F29" i="46"/>
  <c r="F33"/>
  <c r="G31" i="60"/>
  <c r="D31" s="1"/>
  <c r="F42" i="46"/>
  <c r="G28" i="60"/>
  <c r="D28" s="1"/>
  <c r="H25" i="46"/>
  <c r="G25" i="65"/>
  <c r="G56" i="60"/>
  <c r="D56" s="1"/>
  <c r="I56" i="44"/>
  <c r="K56" s="1"/>
  <c r="L56" s="1"/>
  <c r="H16" i="4"/>
  <c r="I12" i="48"/>
  <c r="F24" i="44"/>
  <c r="F24" i="48"/>
  <c r="K38" i="60"/>
  <c r="I73" i="48"/>
  <c r="I71"/>
  <c r="F78" i="60"/>
  <c r="K37"/>
  <c r="H98" i="44"/>
  <c r="H102"/>
  <c r="I39" i="76"/>
  <c r="G101" i="44"/>
  <c r="I101" s="1"/>
  <c r="J17" i="60"/>
  <c r="J16" i="47"/>
  <c r="G8" i="65"/>
  <c r="G11" i="60"/>
  <c r="H8" i="46"/>
  <c r="G17" i="44"/>
  <c r="G13" i="60"/>
  <c r="D13" s="1"/>
  <c r="G10" i="65"/>
  <c r="H10" i="46"/>
  <c r="E33" i="4"/>
  <c r="I33" s="1"/>
  <c r="J33" s="1"/>
  <c r="I29"/>
  <c r="J29" s="1"/>
  <c r="J33" i="47"/>
  <c r="L33" s="1"/>
  <c r="G34" i="48"/>
  <c r="I27"/>
  <c r="K64" i="44"/>
  <c r="L64" s="1"/>
  <c r="I65" i="48"/>
  <c r="F81"/>
  <c r="H9" i="46"/>
  <c r="G9" i="65"/>
  <c r="G12" i="60"/>
  <c r="D12" s="1"/>
  <c r="G11" i="65"/>
  <c r="H11" i="46"/>
  <c r="G14" i="60"/>
  <c r="D14" s="1"/>
  <c r="K14" s="1"/>
  <c r="G47"/>
  <c r="D47" s="1"/>
  <c r="I47" i="44"/>
  <c r="K47" s="1"/>
  <c r="L47" s="1"/>
  <c r="G41" i="65"/>
  <c r="H41" i="46"/>
  <c r="G68" i="60"/>
  <c r="D68" s="1"/>
  <c r="I68" i="44"/>
  <c r="K68" s="1"/>
  <c r="L68" s="1"/>
  <c r="E102"/>
  <c r="F39" i="76"/>
  <c r="E98" i="44"/>
  <c r="H24" i="60"/>
  <c r="E20"/>
  <c r="G34" i="76"/>
  <c r="J26"/>
  <c r="J34" s="1"/>
  <c r="I84" i="48"/>
  <c r="I87" s="1"/>
  <c r="F87"/>
  <c r="J61" i="60"/>
  <c r="I36" i="4"/>
  <c r="J36" s="1"/>
  <c r="E60"/>
  <c r="G44" i="60"/>
  <c r="D44" s="1"/>
  <c r="I44" i="44"/>
  <c r="K44" s="1"/>
  <c r="L44" s="1"/>
  <c r="G50" i="60"/>
  <c r="D50" s="1"/>
  <c r="I50" i="44"/>
  <c r="K50" s="1"/>
  <c r="L50" s="1"/>
  <c r="I10" i="48"/>
  <c r="I17" s="1"/>
  <c r="F17"/>
  <c r="EZ81" i="77"/>
  <c r="D44" i="46"/>
  <c r="H33"/>
  <c r="G42" i="60"/>
  <c r="G33" i="65"/>
  <c r="G61" i="44"/>
  <c r="I42"/>
  <c r="K42" s="1"/>
  <c r="L42" s="1"/>
  <c r="G29" i="60"/>
  <c r="D29" s="1"/>
  <c r="I29" i="44"/>
  <c r="K29" s="1"/>
  <c r="L29" s="1"/>
  <c r="I28"/>
  <c r="K28" s="1"/>
  <c r="L28" s="1"/>
  <c r="EZ28" i="77"/>
  <c r="I87" i="60"/>
  <c r="C92"/>
  <c r="I46" i="46"/>
  <c r="I13" i="44"/>
  <c r="K13" s="1"/>
  <c r="L13" s="1"/>
  <c r="K44" i="60"/>
  <c r="E104" i="44"/>
  <c r="E105" s="1"/>
  <c r="I87"/>
  <c r="K87" s="1"/>
  <c r="P40" i="31"/>
  <c r="E39"/>
  <c r="G16" i="60"/>
  <c r="D16" s="1"/>
  <c r="K16" s="1"/>
  <c r="H13" i="46"/>
  <c r="G13" i="65"/>
  <c r="C56" i="69"/>
  <c r="F56" s="1"/>
  <c r="C56" i="59"/>
  <c r="F56" s="1"/>
  <c r="F55" i="60"/>
  <c r="H38" i="46"/>
  <c r="H44" s="1"/>
  <c r="G81" i="44"/>
  <c r="G38" i="65"/>
  <c r="G65" i="60"/>
  <c r="J80" i="47"/>
  <c r="J81" i="60"/>
  <c r="G43" i="65"/>
  <c r="G70" i="60"/>
  <c r="D70" s="1"/>
  <c r="H43" i="46"/>
  <c r="I70" i="44"/>
  <c r="K70" s="1"/>
  <c r="L70" s="1"/>
  <c r="G74" i="60"/>
  <c r="D74" s="1"/>
  <c r="I74" i="44"/>
  <c r="K74" s="1"/>
  <c r="L74" s="1"/>
  <c r="D33" i="52"/>
  <c r="D33" i="48"/>
  <c r="D33" i="60"/>
  <c r="EX33" i="77"/>
  <c r="J33" i="44"/>
  <c r="F33"/>
  <c r="D34"/>
  <c r="H24" i="46"/>
  <c r="H26" s="1"/>
  <c r="G27" i="60"/>
  <c r="G24" i="65"/>
  <c r="G26" s="1"/>
  <c r="G34" i="44"/>
  <c r="I27"/>
  <c r="E87" i="60"/>
  <c r="H99" i="48"/>
  <c r="H100"/>
  <c r="H98"/>
  <c r="H81" i="60"/>
  <c r="E64"/>
  <c r="D14" i="46"/>
  <c r="I83" i="52"/>
  <c r="J23" i="47"/>
  <c r="J24" i="60"/>
  <c r="G24" i="48"/>
  <c r="I20"/>
  <c r="I24" s="1"/>
  <c r="H17" i="46"/>
  <c r="G20" i="60"/>
  <c r="G17" i="65"/>
  <c r="G24" i="44"/>
  <c r="I20"/>
  <c r="C58" i="69"/>
  <c r="F58" s="1"/>
  <c r="C58" i="59"/>
  <c r="F58" s="1"/>
  <c r="F57" i="60"/>
  <c r="G72"/>
  <c r="D72" s="1"/>
  <c r="I72" i="44"/>
  <c r="K72" s="1"/>
  <c r="L72" s="1"/>
  <c r="G79" i="60"/>
  <c r="D79" s="1"/>
  <c r="G93" i="4"/>
  <c r="C98" i="44"/>
  <c r="C102"/>
  <c r="C104" s="1"/>
  <c r="C105" s="1"/>
  <c r="G19" i="65"/>
  <c r="G22" i="60"/>
  <c r="D22" s="1"/>
  <c r="I22" i="44"/>
  <c r="K22" s="1"/>
  <c r="L22" s="1"/>
  <c r="H19" i="46"/>
  <c r="D40" i="60"/>
  <c r="K40" s="1"/>
  <c r="D40" i="52"/>
  <c r="D40" i="48"/>
  <c r="EX40" i="77"/>
  <c r="J40" i="44"/>
  <c r="F40"/>
  <c r="D61"/>
  <c r="G59" i="60"/>
  <c r="D59" s="1"/>
  <c r="G30"/>
  <c r="D30" s="1"/>
  <c r="K30" s="1"/>
  <c r="F28" i="46"/>
  <c r="F37" i="60"/>
  <c r="E61"/>
  <c r="K61" s="1"/>
  <c r="H17"/>
  <c r="E12"/>
  <c r="G61" i="48"/>
  <c r="I42"/>
  <c r="G53" i="60"/>
  <c r="D53" s="1"/>
  <c r="I53" i="44"/>
  <c r="K53" s="1"/>
  <c r="L53" s="1"/>
  <c r="G87" i="60"/>
  <c r="D85"/>
  <c r="I32" i="44"/>
  <c r="K32" s="1"/>
  <c r="L32" s="1"/>
  <c r="G32" i="60"/>
  <c r="D32" s="1"/>
  <c r="K32" s="1"/>
  <c r="E34" i="48"/>
  <c r="E93" s="1"/>
  <c r="F28"/>
  <c r="E28" i="60"/>
  <c r="H34"/>
  <c r="K10"/>
  <c r="C11" i="59"/>
  <c r="C11" i="69"/>
  <c r="E7" i="46"/>
  <c r="EZ87" i="77"/>
  <c r="C83" i="18"/>
  <c r="D85"/>
  <c r="G17" i="48"/>
  <c r="K13" i="60"/>
  <c r="K33"/>
  <c r="I12" i="44"/>
  <c r="K12" s="1"/>
  <c r="L12" s="1"/>
  <c r="K12" i="60"/>
  <c r="I11" i="44"/>
  <c r="K11" s="1"/>
  <c r="L11" s="1"/>
  <c r="C93" i="48"/>
  <c r="H104" i="44"/>
  <c r="H105" s="1"/>
  <c r="H60" i="4"/>
  <c r="I14" i="44"/>
  <c r="K14" s="1"/>
  <c r="L14" s="1"/>
  <c r="I65"/>
  <c r="K65" s="1"/>
  <c r="L65" s="1"/>
  <c r="K29" i="60"/>
  <c r="K84" i="44"/>
  <c r="L84" s="1"/>
  <c r="I79"/>
  <c r="K79" s="1"/>
  <c r="L79" s="1"/>
  <c r="EQ98" i="77" l="1"/>
  <c r="EQ100" s="1"/>
  <c r="EQ102" s="1"/>
  <c r="EQ104" s="1"/>
  <c r="BT93"/>
  <c r="ET98" s="1"/>
  <c r="ET100" s="1"/>
  <c r="ET102" s="1"/>
  <c r="ET104" s="1"/>
  <c r="H88" i="4"/>
  <c r="G32" i="46"/>
  <c r="J32" s="1"/>
  <c r="H35"/>
  <c r="BT95" i="77"/>
  <c r="G35" i="65"/>
  <c r="C29" i="69"/>
  <c r="F29" s="1"/>
  <c r="E25" i="46"/>
  <c r="D24" i="34" s="1"/>
  <c r="C29" i="59"/>
  <c r="F29" s="1"/>
  <c r="C38" i="69"/>
  <c r="F38" s="1"/>
  <c r="C38" i="59"/>
  <c r="F38" s="1"/>
  <c r="E28" i="46"/>
  <c r="D27" i="34" s="1"/>
  <c r="C59" i="59"/>
  <c r="F59" s="1"/>
  <c r="C59" i="69"/>
  <c r="F59" s="1"/>
  <c r="F58" i="60"/>
  <c r="C44" i="59"/>
  <c r="F44" s="1"/>
  <c r="C44" i="69"/>
  <c r="F44" s="1"/>
  <c r="E34" i="46"/>
  <c r="F43" i="60"/>
  <c r="K43"/>
  <c r="C76" i="59"/>
  <c r="F76" s="1"/>
  <c r="C76" i="69"/>
  <c r="F76" s="1"/>
  <c r="F75" i="60"/>
  <c r="C68" i="69"/>
  <c r="F68" s="1"/>
  <c r="C68" i="59"/>
  <c r="F68" s="1"/>
  <c r="E40" i="46"/>
  <c r="F67" i="60"/>
  <c r="G18" i="46"/>
  <c r="J18" s="1"/>
  <c r="E29"/>
  <c r="C39" i="69"/>
  <c r="F39" s="1"/>
  <c r="F38" i="60"/>
  <c r="C39" i="59"/>
  <c r="F39" s="1"/>
  <c r="C72"/>
  <c r="F72" s="1"/>
  <c r="C72" i="69"/>
  <c r="F72" s="1"/>
  <c r="F71" i="60"/>
  <c r="C74" i="69"/>
  <c r="F74" s="1"/>
  <c r="C74" i="59"/>
  <c r="F74" s="1"/>
  <c r="F73" i="60"/>
  <c r="C65" i="69"/>
  <c r="F65" s="1"/>
  <c r="C65" i="59"/>
  <c r="F65" s="1"/>
  <c r="E37" i="46"/>
  <c r="D36" i="34" s="1"/>
  <c r="G93" i="48"/>
  <c r="G98" s="1"/>
  <c r="H92" i="60"/>
  <c r="H97" s="1"/>
  <c r="G93" i="44"/>
  <c r="G102" s="1"/>
  <c r="C57" i="69"/>
  <c r="F57" s="1"/>
  <c r="C57" i="59"/>
  <c r="F57" s="1"/>
  <c r="F56" i="60"/>
  <c r="K31"/>
  <c r="C32" i="69"/>
  <c r="F32" s="1"/>
  <c r="F31" i="60"/>
  <c r="C32" i="59"/>
  <c r="F32" s="1"/>
  <c r="F51" i="60"/>
  <c r="C52" i="59"/>
  <c r="F52" s="1"/>
  <c r="C52" i="69"/>
  <c r="F52" s="1"/>
  <c r="C55" i="59"/>
  <c r="F55" s="1"/>
  <c r="C55" i="69"/>
  <c r="F55" s="1"/>
  <c r="F54" i="60"/>
  <c r="C24" i="69"/>
  <c r="F24" s="1"/>
  <c r="C24" i="59"/>
  <c r="F24" s="1"/>
  <c r="F23" i="60"/>
  <c r="E20" i="46"/>
  <c r="C70" i="69"/>
  <c r="F70" s="1"/>
  <c r="E42" i="46"/>
  <c r="C70" i="59"/>
  <c r="F70" s="1"/>
  <c r="F69" i="60"/>
  <c r="K28"/>
  <c r="E100" i="48"/>
  <c r="E99"/>
  <c r="G100"/>
  <c r="I40" i="76"/>
  <c r="G98" i="44"/>
  <c r="C99" i="48"/>
  <c r="C100"/>
  <c r="L87" i="44"/>
  <c r="D6" i="34"/>
  <c r="F11" i="59"/>
  <c r="F25" i="46"/>
  <c r="F28" i="60"/>
  <c r="E34"/>
  <c r="I28" i="48"/>
  <c r="F8" i="68"/>
  <c r="F9" i="46"/>
  <c r="F14" s="1"/>
  <c r="E17" i="60"/>
  <c r="F35" i="46"/>
  <c r="C60" i="69"/>
  <c r="F60" s="1"/>
  <c r="C60" i="59"/>
  <c r="F60" s="1"/>
  <c r="F59" i="60"/>
  <c r="EX61" i="77"/>
  <c r="J61" i="44"/>
  <c r="D93"/>
  <c r="I40" i="52"/>
  <c r="G40"/>
  <c r="D61"/>
  <c r="K20" i="44"/>
  <c r="L20" s="1"/>
  <c r="I24"/>
  <c r="K24" s="1"/>
  <c r="L24" s="1"/>
  <c r="D20" i="60"/>
  <c r="G24"/>
  <c r="F12" i="68"/>
  <c r="K27" i="44"/>
  <c r="L27" s="1"/>
  <c r="J34"/>
  <c r="F33" i="48"/>
  <c r="I33" s="1"/>
  <c r="D34"/>
  <c r="D42" i="60"/>
  <c r="G61"/>
  <c r="I60" i="4"/>
  <c r="J60" s="1"/>
  <c r="E88"/>
  <c r="D101" i="44"/>
  <c r="G36" i="76"/>
  <c r="F68" i="60"/>
  <c r="C69" i="59"/>
  <c r="F69" s="1"/>
  <c r="C69" i="69"/>
  <c r="F69" s="1"/>
  <c r="E41" i="46"/>
  <c r="D8" i="68"/>
  <c r="I17" i="44"/>
  <c r="K17" s="1"/>
  <c r="L17" s="1"/>
  <c r="G44" i="65"/>
  <c r="H14" i="46"/>
  <c r="G14" i="65"/>
  <c r="D89" i="18"/>
  <c r="C85"/>
  <c r="D87"/>
  <c r="F11" i="69"/>
  <c r="C33"/>
  <c r="F33" s="1"/>
  <c r="F32" i="60"/>
  <c r="C33" i="59"/>
  <c r="F33" s="1"/>
  <c r="F85" i="60"/>
  <c r="F87" s="1"/>
  <c r="D87"/>
  <c r="F53"/>
  <c r="C54" i="59"/>
  <c r="F54" s="1"/>
  <c r="C54" i="69"/>
  <c r="F54" s="1"/>
  <c r="F10" i="68"/>
  <c r="C31" i="69"/>
  <c r="F31" s="1"/>
  <c r="F30" i="60"/>
  <c r="C31" i="59"/>
  <c r="F31" s="1"/>
  <c r="EZ40" i="77"/>
  <c r="F61" i="44"/>
  <c r="I40"/>
  <c r="I61" s="1"/>
  <c r="F40" i="48"/>
  <c r="D61"/>
  <c r="D93" s="1"/>
  <c r="C41" i="69"/>
  <c r="F40" i="60"/>
  <c r="C41" i="59"/>
  <c r="E31" i="46"/>
  <c r="D61" i="60"/>
  <c r="E19" i="46"/>
  <c r="C23" i="59"/>
  <c r="F23" s="1"/>
  <c r="C23" i="69"/>
  <c r="F23" s="1"/>
  <c r="F22" i="60"/>
  <c r="C80" i="69"/>
  <c r="F80" s="1"/>
  <c r="C80" i="59"/>
  <c r="F80" s="1"/>
  <c r="F79" i="60"/>
  <c r="F72"/>
  <c r="C73" i="69"/>
  <c r="F73" s="1"/>
  <c r="C73" i="59"/>
  <c r="F73" s="1"/>
  <c r="F37" i="46"/>
  <c r="F64" i="60"/>
  <c r="E81"/>
  <c r="K81" s="1"/>
  <c r="K87"/>
  <c r="G34"/>
  <c r="D27"/>
  <c r="I33" i="44"/>
  <c r="I34" s="1"/>
  <c r="EZ33" i="77"/>
  <c r="F33" i="60"/>
  <c r="C34" i="59"/>
  <c r="F34" s="1"/>
  <c r="C34" i="69"/>
  <c r="F34" s="1"/>
  <c r="D34" i="52"/>
  <c r="G33"/>
  <c r="I33"/>
  <c r="F74" i="60"/>
  <c r="C75" i="59"/>
  <c r="F75" s="1"/>
  <c r="C75" i="69"/>
  <c r="F75" s="1"/>
  <c r="C71" i="59"/>
  <c r="F71" s="1"/>
  <c r="C71" i="69"/>
  <c r="F71" s="1"/>
  <c r="E43" i="46"/>
  <c r="F70" i="60"/>
  <c r="D65"/>
  <c r="G81"/>
  <c r="C17" i="69"/>
  <c r="F17" s="1"/>
  <c r="E13" i="46"/>
  <c r="C17" i="59"/>
  <c r="F17" s="1"/>
  <c r="F16" i="60"/>
  <c r="D12" i="68"/>
  <c r="C97" i="60"/>
  <c r="C99"/>
  <c r="D39" i="76"/>
  <c r="D40"/>
  <c r="C30" i="69"/>
  <c r="F30" s="1"/>
  <c r="C30" i="59"/>
  <c r="F30" s="1"/>
  <c r="F29" i="60"/>
  <c r="D11" i="68"/>
  <c r="D46" i="46"/>
  <c r="C51" i="59"/>
  <c r="F51" s="1"/>
  <c r="C51" i="69"/>
  <c r="F51" s="1"/>
  <c r="F50" i="60"/>
  <c r="C45" i="59"/>
  <c r="F45" s="1"/>
  <c r="C45" i="69"/>
  <c r="F45" s="1"/>
  <c r="F44" i="60"/>
  <c r="E24"/>
  <c r="F17" i="46"/>
  <c r="F21" s="1"/>
  <c r="F47" i="60"/>
  <c r="C48" i="69"/>
  <c r="F48" s="1"/>
  <c r="C48" i="59"/>
  <c r="F48" s="1"/>
  <c r="C15" i="69"/>
  <c r="F15" s="1"/>
  <c r="C15" i="59"/>
  <c r="F15" s="1"/>
  <c r="E11" i="46"/>
  <c r="F14" i="60"/>
  <c r="E9" i="46"/>
  <c r="C13" i="69"/>
  <c r="F13" s="1"/>
  <c r="C13" i="59"/>
  <c r="F13" s="1"/>
  <c r="F12" i="60"/>
  <c r="E10" i="46"/>
  <c r="C14" i="69"/>
  <c r="F14" s="1"/>
  <c r="C14" i="59"/>
  <c r="F14" s="1"/>
  <c r="F13" i="60"/>
  <c r="D11"/>
  <c r="G17"/>
  <c r="G21" i="65"/>
  <c r="H21" i="46"/>
  <c r="G7"/>
  <c r="K22" i="60"/>
  <c r="F34" i="44"/>
  <c r="I81"/>
  <c r="K81" s="1"/>
  <c r="L81" s="1"/>
  <c r="I34" i="48"/>
  <c r="G104" i="44"/>
  <c r="H46" i="46" l="1"/>
  <c r="G28"/>
  <c r="H39" i="76"/>
  <c r="I34" i="52"/>
  <c r="G105" i="44"/>
  <c r="E92" i="60"/>
  <c r="G99" i="48"/>
  <c r="K33" i="44"/>
  <c r="L33" s="1"/>
  <c r="D41" i="34"/>
  <c r="G42" i="46"/>
  <c r="J42" s="1"/>
  <c r="D19" i="34"/>
  <c r="G20" i="46"/>
  <c r="J20" s="1"/>
  <c r="G29"/>
  <c r="J29" s="1"/>
  <c r="D28" i="34"/>
  <c r="G92" i="60"/>
  <c r="G97" s="1"/>
  <c r="D39" i="34"/>
  <c r="G40" i="46"/>
  <c r="J40" s="1"/>
  <c r="D33" i="34"/>
  <c r="G34" i="46"/>
  <c r="J34" s="1"/>
  <c r="I93" i="44"/>
  <c r="I102" s="1"/>
  <c r="E97" i="60"/>
  <c r="E99"/>
  <c r="F40" i="76"/>
  <c r="F43" s="1"/>
  <c r="G99" i="60"/>
  <c r="K34" i="44"/>
  <c r="L34" s="1"/>
  <c r="C12" i="69"/>
  <c r="C12" i="59"/>
  <c r="E8" i="46"/>
  <c r="F11" i="60"/>
  <c r="F17" s="1"/>
  <c r="L17" s="1"/>
  <c r="D17"/>
  <c r="K11"/>
  <c r="D8" i="34"/>
  <c r="G9" i="46"/>
  <c r="J9" s="1"/>
  <c r="E24"/>
  <c r="F27" i="60"/>
  <c r="F34" s="1"/>
  <c r="L34" s="1"/>
  <c r="C28" i="69"/>
  <c r="C28" i="59"/>
  <c r="D34" i="60"/>
  <c r="K27"/>
  <c r="G37" i="46"/>
  <c r="J37" s="1"/>
  <c r="F44"/>
  <c r="D18" i="34"/>
  <c r="G19" i="46"/>
  <c r="J19" s="1"/>
  <c r="E13" i="35"/>
  <c r="F13" s="1"/>
  <c r="E9" i="70"/>
  <c r="F9" s="1"/>
  <c r="D30" i="34"/>
  <c r="G31" i="46"/>
  <c r="J31" s="1"/>
  <c r="D100" i="48"/>
  <c r="D99"/>
  <c r="K61" i="44"/>
  <c r="L61" s="1"/>
  <c r="EZ61" i="77"/>
  <c r="F93" i="44"/>
  <c r="L87" i="60"/>
  <c r="D6" i="68"/>
  <c r="E95" i="4"/>
  <c r="I88"/>
  <c r="J88" s="1"/>
  <c r="C21" i="69"/>
  <c r="C21" i="59"/>
  <c r="E17" i="46"/>
  <c r="F20" i="60"/>
  <c r="F24" s="1"/>
  <c r="L24" s="1"/>
  <c r="D24"/>
  <c r="K20"/>
  <c r="D102" i="44"/>
  <c r="D104" s="1"/>
  <c r="D105" s="1"/>
  <c r="D98"/>
  <c r="E39" i="76"/>
  <c r="F9" i="68"/>
  <c r="K40" i="44"/>
  <c r="L40" s="1"/>
  <c r="J93"/>
  <c r="J28" i="46"/>
  <c r="F34" i="48"/>
  <c r="F98"/>
  <c r="D9" i="34"/>
  <c r="G10" i="46"/>
  <c r="J10" s="1"/>
  <c r="D10" i="34"/>
  <c r="G11" i="46"/>
  <c r="J11" s="1"/>
  <c r="D12" i="34"/>
  <c r="G13" i="46"/>
  <c r="J13" s="1"/>
  <c r="C66" i="59"/>
  <c r="C66" i="69"/>
  <c r="E38" i="46"/>
  <c r="D81" i="60"/>
  <c r="F65"/>
  <c r="G43" i="46"/>
  <c r="D42" i="34"/>
  <c r="J43" i="46"/>
  <c r="F41" i="59"/>
  <c r="F41" i="69"/>
  <c r="I40" i="48"/>
  <c r="I61" s="1"/>
  <c r="I93" s="1"/>
  <c r="F61"/>
  <c r="E15" i="35"/>
  <c r="F15" s="1"/>
  <c r="C84" i="69"/>
  <c r="E11" i="70"/>
  <c r="F11" s="1"/>
  <c r="C84" i="59"/>
  <c r="D40" i="34"/>
  <c r="G41" i="46"/>
  <c r="J41" s="1"/>
  <c r="E108" i="44"/>
  <c r="E33" i="46"/>
  <c r="C43" i="69"/>
  <c r="F43" s="1"/>
  <c r="C43" i="59"/>
  <c r="F43" s="1"/>
  <c r="F42" i="60"/>
  <c r="F61" s="1"/>
  <c r="L61" s="1"/>
  <c r="K42"/>
  <c r="I61" i="52"/>
  <c r="D85"/>
  <c r="D91" s="1"/>
  <c r="G25" i="46"/>
  <c r="J25" s="1"/>
  <c r="F26"/>
  <c r="J7"/>
  <c r="F81" i="60"/>
  <c r="L81" s="1"/>
  <c r="G46" i="65"/>
  <c r="K93" i="44"/>
  <c r="J95" s="1"/>
  <c r="D92" i="60" l="1"/>
  <c r="I100" i="48"/>
  <c r="H40" i="76"/>
  <c r="G39"/>
  <c r="F93" i="48"/>
  <c r="F99" s="1"/>
  <c r="E12" i="68"/>
  <c r="G12" s="1"/>
  <c r="F84" i="59"/>
  <c r="F84" i="69"/>
  <c r="F100" i="48"/>
  <c r="F11" i="68"/>
  <c r="F6" s="1"/>
  <c r="E14" i="35"/>
  <c r="F14" s="1"/>
  <c r="E10" i="70"/>
  <c r="F10" s="1"/>
  <c r="D37" i="34"/>
  <c r="D43" s="1"/>
  <c r="E44" i="46"/>
  <c r="G38"/>
  <c r="J38" s="1"/>
  <c r="F66" i="59"/>
  <c r="C82"/>
  <c r="F21" i="69"/>
  <c r="C25"/>
  <c r="F25" s="1"/>
  <c r="G96" i="44"/>
  <c r="F98"/>
  <c r="F102"/>
  <c r="F104" s="1"/>
  <c r="F105" s="1"/>
  <c r="E8" i="70"/>
  <c r="F8" s="1"/>
  <c r="E12" i="35"/>
  <c r="F12" s="1"/>
  <c r="K34" i="60"/>
  <c r="F28" i="69"/>
  <c r="C35"/>
  <c r="F35" s="1"/>
  <c r="F12" i="59"/>
  <c r="C18"/>
  <c r="C62" i="69"/>
  <c r="C62" i="59"/>
  <c r="F46" i="46"/>
  <c r="G44"/>
  <c r="I98" i="44"/>
  <c r="D32" i="34"/>
  <c r="D34" s="1"/>
  <c r="G33" i="46"/>
  <c r="G35" s="1"/>
  <c r="D99" i="60"/>
  <c r="D97"/>
  <c r="E40" i="76"/>
  <c r="E43" s="1"/>
  <c r="F66" i="69"/>
  <c r="F82" s="1"/>
  <c r="C82"/>
  <c r="E7" i="70"/>
  <c r="F7" s="1"/>
  <c r="E11" i="35"/>
  <c r="F11" s="1"/>
  <c r="K24" i="60"/>
  <c r="D16" i="34"/>
  <c r="D20" s="1"/>
  <c r="G17" i="46"/>
  <c r="G21" s="1"/>
  <c r="E21"/>
  <c r="C25" i="59"/>
  <c r="F25" s="1"/>
  <c r="F21"/>
  <c r="F28"/>
  <c r="C35"/>
  <c r="F35" s="1"/>
  <c r="E26" i="46"/>
  <c r="D23" i="34"/>
  <c r="D25" s="1"/>
  <c r="G24" i="46"/>
  <c r="G26" s="1"/>
  <c r="E10" i="35"/>
  <c r="E6" i="70"/>
  <c r="K17" i="60"/>
  <c r="D7" i="34"/>
  <c r="D13" s="1"/>
  <c r="G8" i="46"/>
  <c r="G14" s="1"/>
  <c r="E14"/>
  <c r="F12" i="69"/>
  <c r="F18" s="1"/>
  <c r="C18"/>
  <c r="F62"/>
  <c r="F92" i="60"/>
  <c r="E35" i="46"/>
  <c r="C86" i="69" l="1"/>
  <c r="C92" s="1"/>
  <c r="C86" i="59"/>
  <c r="C92" s="1"/>
  <c r="F86" i="69"/>
  <c r="F99" i="60"/>
  <c r="F97"/>
  <c r="G40" i="76"/>
  <c r="F6" i="70"/>
  <c r="E12"/>
  <c r="F12" s="1"/>
  <c r="E24" i="35"/>
  <c r="J21" i="46"/>
  <c r="E20" i="70"/>
  <c r="E11" i="68"/>
  <c r="G11" s="1"/>
  <c r="E10"/>
  <c r="G10" s="1"/>
  <c r="J24" i="46"/>
  <c r="D45" i="34"/>
  <c r="E22" i="70"/>
  <c r="J35" i="46"/>
  <c r="E26" i="35"/>
  <c r="E19" i="70"/>
  <c r="E23" i="35"/>
  <c r="J14" i="46"/>
  <c r="E16" i="35"/>
  <c r="F16" s="1"/>
  <c r="F10"/>
  <c r="E21" i="70"/>
  <c r="J26" i="46"/>
  <c r="E25" i="35"/>
  <c r="E8" i="68"/>
  <c r="E9"/>
  <c r="G9" s="1"/>
  <c r="E27" i="35"/>
  <c r="E23" i="70"/>
  <c r="E46" i="46"/>
  <c r="J44"/>
  <c r="J8"/>
  <c r="J17"/>
  <c r="J33"/>
  <c r="G46"/>
  <c r="F86" i="59" l="1"/>
  <c r="J46" i="46"/>
  <c r="F23" i="70"/>
  <c r="E6" i="68"/>
  <c r="H7" s="1"/>
  <c r="G8"/>
  <c r="G6" s="1"/>
  <c r="F25" i="35"/>
  <c r="F21" i="70"/>
  <c r="F23" i="35"/>
  <c r="E28"/>
  <c r="H24" s="1"/>
  <c r="F26"/>
  <c r="F22" i="70"/>
  <c r="F20"/>
  <c r="F24" i="35"/>
  <c r="F27"/>
  <c r="E24" i="70"/>
  <c r="F19"/>
  <c r="D48" i="34"/>
  <c r="H27" i="35" l="1"/>
  <c r="E26" i="70"/>
  <c r="F24"/>
  <c r="E30" i="35"/>
  <c r="F28"/>
  <c r="H20" i="70"/>
  <c r="H22"/>
  <c r="H23" i="35"/>
  <c r="H25"/>
  <c r="H19" i="70"/>
  <c r="H26" i="35"/>
  <c r="H21" i="70"/>
  <c r="H23"/>
  <c r="H24" l="1"/>
  <c r="H28" i="35"/>
</calcChain>
</file>

<file path=xl/comments1.xml><?xml version="1.0" encoding="utf-8"?>
<comments xmlns="http://schemas.openxmlformats.org/spreadsheetml/2006/main">
  <authors>
    <author>URA</author>
  </authors>
  <commentList>
    <comment ref="I9" authorId="0">
      <text>
        <r>
          <rPr>
            <sz val="8"/>
            <color indexed="81"/>
            <rFont val="Tahoma"/>
            <family val="2"/>
          </rPr>
          <t>Хоҳишмандам баъди анчоми ҳисобот номи ташкилоти худро нависед.</t>
        </r>
      </text>
    </comment>
  </commentList>
</comments>
</file>

<file path=xl/comments2.xml><?xml version="1.0" encoding="utf-8"?>
<comments xmlns="http://schemas.openxmlformats.org/spreadsheetml/2006/main">
  <authors>
    <author>URA</author>
  </authors>
  <commentList>
    <comment ref="I9" authorId="0">
      <text>
        <r>
          <rPr>
            <sz val="8"/>
            <color indexed="81"/>
            <rFont val="Tahoma"/>
            <family val="2"/>
            <charset val="204"/>
          </rPr>
          <t>Хоҳишмандам баъди анчоми ҳисобот номи ташкилоти худро нависед.</t>
        </r>
      </text>
    </comment>
  </commentList>
</comments>
</file>

<file path=xl/sharedStrings.xml><?xml version="1.0" encoding="utf-8"?>
<sst xmlns="http://schemas.openxmlformats.org/spreadsheetml/2006/main" count="1964" uniqueCount="509">
  <si>
    <t>(сомонӣ)</t>
  </si>
  <si>
    <t>Бақияи қарз</t>
  </si>
  <si>
    <t>Номгӯи вилоят</t>
  </si>
  <si>
    <t>ва шаҳру ноҳияҳо</t>
  </si>
  <si>
    <t>н. Бохтар</t>
  </si>
  <si>
    <t>ш. Хуҷанд</t>
  </si>
  <si>
    <t>н. Айнӣ</t>
  </si>
  <si>
    <t>ш. Душанбе</t>
  </si>
  <si>
    <t xml:space="preserve">ш. Исфара </t>
  </si>
  <si>
    <t xml:space="preserve">ш.Қайроқум </t>
  </si>
  <si>
    <t>ш. Конибодом</t>
  </si>
  <si>
    <t>н. Мастчоҳ</t>
  </si>
  <si>
    <t>ш. Панҷакент</t>
  </si>
  <si>
    <t>н. Спитамен</t>
  </si>
  <si>
    <t>н.Ҷ.Расулов</t>
  </si>
  <si>
    <t>ш.Чкаловск</t>
  </si>
  <si>
    <t>н. Шаҳристон</t>
  </si>
  <si>
    <t xml:space="preserve">н. Ашт </t>
  </si>
  <si>
    <t>н. Ғафуров</t>
  </si>
  <si>
    <t>н. Ғончӣ</t>
  </si>
  <si>
    <t xml:space="preserve">н. Зафаробод </t>
  </si>
  <si>
    <t xml:space="preserve">ш. Истравшан </t>
  </si>
  <si>
    <t>н. Сино</t>
  </si>
  <si>
    <t xml:space="preserve">н.Сомонӣ </t>
  </si>
  <si>
    <t>н.Фирдавсӣ</t>
  </si>
  <si>
    <t xml:space="preserve">н. Шоҳмансур </t>
  </si>
  <si>
    <t>Ҳамагӣ дар ш.Душанбе</t>
  </si>
  <si>
    <t>н. А Ҷомӣ</t>
  </si>
  <si>
    <t>н. Балҷувон</t>
  </si>
  <si>
    <t>н. Вахш</t>
  </si>
  <si>
    <t>н. Восеъ</t>
  </si>
  <si>
    <t>н. Данғара</t>
  </si>
  <si>
    <t>н. Ёвон</t>
  </si>
  <si>
    <t>н. Қабодиён</t>
  </si>
  <si>
    <t>н. Колхозобод</t>
  </si>
  <si>
    <t>н. Қумсангир</t>
  </si>
  <si>
    <t>н. Муминобод</t>
  </si>
  <si>
    <t xml:space="preserve">н. Норак </t>
  </si>
  <si>
    <t>н. Носири Хисрав</t>
  </si>
  <si>
    <t>н. Панҷ</t>
  </si>
  <si>
    <t>н. Сарбанд</t>
  </si>
  <si>
    <t>н. Темурмалик</t>
  </si>
  <si>
    <t>н. Фархор</t>
  </si>
  <si>
    <t>н. Ҳамадонӣ</t>
  </si>
  <si>
    <t>н. Ховалинг</t>
  </si>
  <si>
    <t>н. Хуросон</t>
  </si>
  <si>
    <t>н. Ҷиликул</t>
  </si>
  <si>
    <t>н. Шаҳртус</t>
  </si>
  <si>
    <t>н. Шурообод</t>
  </si>
  <si>
    <t xml:space="preserve">н. Қурғон-теппа </t>
  </si>
  <si>
    <t>Ҳамагӣ дар в. Хатлон</t>
  </si>
  <si>
    <t xml:space="preserve">н. Нуробод </t>
  </si>
  <si>
    <t>н. Рашт</t>
  </si>
  <si>
    <t>н. Тавилдара</t>
  </si>
  <si>
    <t>н. Тоҷикобод</t>
  </si>
  <si>
    <t>Ҳамагӣ дар ноҳияҳои водии Рашт</t>
  </si>
  <si>
    <t>н. Варзоб</t>
  </si>
  <si>
    <t>н. Ваҳдат</t>
  </si>
  <si>
    <t>н. Рӯдакӣ</t>
  </si>
  <si>
    <t>н. Файзобод</t>
  </si>
  <si>
    <t>н.Ҳисор</t>
  </si>
  <si>
    <t>н. Шаҳринав</t>
  </si>
  <si>
    <t>Ҳамагӣ дар ноҳияҳои тобеъи марказ</t>
  </si>
  <si>
    <t xml:space="preserve">н. Ванҷ </t>
  </si>
  <si>
    <t xml:space="preserve">н. Дарвоз </t>
  </si>
  <si>
    <t>н. Ишкошим</t>
  </si>
  <si>
    <t xml:space="preserve">н.Мурғоб </t>
  </si>
  <si>
    <t>н. Рошқалъа</t>
  </si>
  <si>
    <t>н.Рушон</t>
  </si>
  <si>
    <t>н. Шуғнон</t>
  </si>
  <si>
    <t>ш.Хоруғ</t>
  </si>
  <si>
    <t>Ҳамагӣ дар ВМКБ</t>
  </si>
  <si>
    <t>Вилояти Хатлон</t>
  </si>
  <si>
    <t>Ҳамагӣ дар вилояти Суғд</t>
  </si>
  <si>
    <t>Вилояти Суғд</t>
  </si>
  <si>
    <t>Ноҳияҳои водии Рашт</t>
  </si>
  <si>
    <t>Вилояти Мухтори Кӯҳистони Бадахшон</t>
  </si>
  <si>
    <t>Ҳамагӣ дар ҷумҳурӣ:</t>
  </si>
  <si>
    <t>ш.Турсунзода</t>
  </si>
  <si>
    <t>ш. Роғун</t>
  </si>
  <si>
    <t>№</t>
  </si>
  <si>
    <t>н. Кӯҳистони Мастчоҳ</t>
  </si>
  <si>
    <t>№ п/п</t>
  </si>
  <si>
    <t>ҶСК "Агроинвест-бонк"</t>
  </si>
  <si>
    <t>ҶСК "Ориёнбонк"</t>
  </si>
  <si>
    <t>БДА ҶТ "Амонат-бонк"</t>
  </si>
  <si>
    <t>ҶСК "Тоҷиксодиротбонк"</t>
  </si>
  <si>
    <t>БСТ ТИСТ "Тоҷпром-бонк"</t>
  </si>
  <si>
    <t>ҶСК "Эсхата"</t>
  </si>
  <si>
    <t>ТМҒ"КредитИнвест"</t>
  </si>
  <si>
    <t>ҶСП "ҶҚ Кафолат"</t>
  </si>
  <si>
    <t xml:space="preserve">ҶСПК"Ренессанс Капитал" </t>
  </si>
  <si>
    <t>ҶҚДММ "Финансирование торговли"</t>
  </si>
  <si>
    <t>ҶСПҚ "КАПИТАЛ +"</t>
  </si>
  <si>
    <r>
      <t>Эзоҳ: Фарқияти қурб</t>
    </r>
    <r>
      <rPr>
        <sz val="10"/>
        <rFont val="Palatino Linotype"/>
        <family val="1"/>
        <charset val="204"/>
      </rPr>
      <t>ӣ</t>
    </r>
  </si>
  <si>
    <t>н. Ҷиргатол</t>
  </si>
  <si>
    <t>ш.Кӯлоб</t>
  </si>
  <si>
    <t>ҶҚДММ "Финанс торговли"</t>
  </si>
  <si>
    <t>ҶСПК "ТРАСТ"</t>
  </si>
  <si>
    <t>ҶСП " ГАНҶИНА"</t>
  </si>
  <si>
    <t>ҶСП "ГАНҶИНА"</t>
  </si>
  <si>
    <t>ҶСП "Бонки Рушди Тоҷикистон"</t>
  </si>
  <si>
    <t>ҶСП "Аввалин бонки молиявии хурд"</t>
  </si>
  <si>
    <t>Ҳамагӣ дар ноҳияҳо  (бонкҳо)</t>
  </si>
  <si>
    <t>(ҳазор сомонӣ)</t>
  </si>
  <si>
    <t xml:space="preserve">№ </t>
  </si>
  <si>
    <t>Номгӯи ноҳияҳо</t>
  </si>
  <si>
    <t>Вилояти Мухтори Кўҳистони Бадахшон</t>
  </si>
  <si>
    <t>н. Ҳисор</t>
  </si>
  <si>
    <t>н. Турсунзода</t>
  </si>
  <si>
    <t>н.Кулоб</t>
  </si>
  <si>
    <t>н.Шаҳристон</t>
  </si>
  <si>
    <t>н.Айнӣ</t>
  </si>
  <si>
    <t>н. Исфара</t>
  </si>
  <si>
    <t>н. Истаравшан</t>
  </si>
  <si>
    <t>н. Конибодом</t>
  </si>
  <si>
    <t>Ҳамагӣ дар в.Суғд</t>
  </si>
  <si>
    <t>Ҳамагӣ дар ҷумҳурӣ</t>
  </si>
  <si>
    <t>Ҳамагӣ</t>
  </si>
  <si>
    <t>аз он ҷумла</t>
  </si>
  <si>
    <t>бонкҳо</t>
  </si>
  <si>
    <t>ҶСК "Агроинвестбонк"</t>
  </si>
  <si>
    <t>БДА ҶТ "Амонатбонк"</t>
  </si>
  <si>
    <t>ҶСП "БСТ ТИСТ Тоҷпромбонк"</t>
  </si>
  <si>
    <t>ҶСК "Бонки Эсхата"</t>
  </si>
  <si>
    <t>ҶСК "Соҳибкорбонк"</t>
  </si>
  <si>
    <t>Ҳамагӣ бонкҳо:</t>
  </si>
  <si>
    <t>ҶСП "Бонки рушди Тоҷикистон"</t>
  </si>
  <si>
    <t>Маълумот оид ба қарзҳои додашуда аз ҷониби бонкҳо, ташкилотҳои</t>
  </si>
  <si>
    <t>н.Кӯҳистони Мастчоҳ</t>
  </si>
  <si>
    <t>Б о н к ҳ о</t>
  </si>
  <si>
    <t xml:space="preserve">Ташкилотҳои молиявии ғайрибонкӣ </t>
  </si>
  <si>
    <t>Ташкилотҳои  қарзии хурд</t>
  </si>
  <si>
    <t>Ҳамагӣ:</t>
  </si>
  <si>
    <t>ҶСП ҶҚ "Васлат"</t>
  </si>
  <si>
    <t>Ҳамагӣ дар ноҳияҳои тобеи марказ</t>
  </si>
  <si>
    <t xml:space="preserve">аз он ҷумла </t>
  </si>
  <si>
    <t>қарзҳои хурд</t>
  </si>
  <si>
    <t>ш. Хоруғ</t>
  </si>
  <si>
    <t>н. Ванҷ</t>
  </si>
  <si>
    <t>н. Роғун</t>
  </si>
  <si>
    <t>ш.Қурғон-теппа</t>
  </si>
  <si>
    <t>н.Темурмалик</t>
  </si>
  <si>
    <t>н. Норак</t>
  </si>
  <si>
    <t>н. А. Ҷомӣ</t>
  </si>
  <si>
    <t>н.Исфара</t>
  </si>
  <si>
    <t>н.Истаравшан</t>
  </si>
  <si>
    <t>н.Панҷакент</t>
  </si>
  <si>
    <t xml:space="preserve">Ҳамагӣ дар ҷумҳурӣ: </t>
  </si>
  <si>
    <r>
      <t>Эзоҳ:</t>
    </r>
    <r>
      <rPr>
        <i/>
        <sz val="18"/>
        <rFont val="Palatino Linotype"/>
        <family val="1"/>
        <charset val="204"/>
      </rPr>
      <t xml:space="preserve"> Маблағи ҳамагии вилоятҳо танҳо маблағҳои ноҳияҳои дар ин ҷадвал қайдгардида мебошад. </t>
    </r>
  </si>
  <si>
    <t>н. Табошар</t>
  </si>
  <si>
    <t>Номгӯи бонкҳо ва  дигар ташкилотҳои қарзӣ</t>
  </si>
  <si>
    <t>Бонкҳо</t>
  </si>
  <si>
    <t>ҶСП "Аввалин бонки молиявии хурд "</t>
  </si>
  <si>
    <t>Ҷамъиятҳои  қарздиҳӣ</t>
  </si>
  <si>
    <t>ҶСПҚ "ТРАСТ"</t>
  </si>
  <si>
    <t>ҶСПҚ "Ренессанс - Капитал"</t>
  </si>
  <si>
    <t>ҶҚММ "Финансирование торговли"</t>
  </si>
  <si>
    <t xml:space="preserve">Ҳамагӣ Ташкилотҳои молиявии ғайрибонкӣ </t>
  </si>
  <si>
    <t xml:space="preserve">Қ  а  р  з  ҳ  о </t>
  </si>
  <si>
    <t>( сомонӣ)</t>
  </si>
  <si>
    <t>н.Сино</t>
  </si>
  <si>
    <t>н.Сомонӣ</t>
  </si>
  <si>
    <t>н.Шоҳмансур</t>
  </si>
  <si>
    <t>ш.Хуҷанд</t>
  </si>
  <si>
    <t>ш.Панҷакент</t>
  </si>
  <si>
    <t>н.Ашт</t>
  </si>
  <si>
    <t>н.Ғафуров</t>
  </si>
  <si>
    <t>н.Ғончӣ</t>
  </si>
  <si>
    <t>н.Зафаробод</t>
  </si>
  <si>
    <t>ш.Қайроқум</t>
  </si>
  <si>
    <t>н.Спитамен</t>
  </si>
  <si>
    <t>н.Данғара</t>
  </si>
  <si>
    <t>н.Ховалинг</t>
  </si>
  <si>
    <t>н.Балҷувон</t>
  </si>
  <si>
    <t>ш.Норак</t>
  </si>
  <si>
    <t>н.Бохтар</t>
  </si>
  <si>
    <t>н.Вахш</t>
  </si>
  <si>
    <t>н.Восеъ</t>
  </si>
  <si>
    <t>н.Ёвон</t>
  </si>
  <si>
    <t>н.Қабодиён</t>
  </si>
  <si>
    <t>н.Колхозобод</t>
  </si>
  <si>
    <t>н.Қумсангир</t>
  </si>
  <si>
    <t>н.А Ҷомӣ</t>
  </si>
  <si>
    <t>н.Носири Хусрав</t>
  </si>
  <si>
    <t>н.Панҷ</t>
  </si>
  <si>
    <t>н.Сарбанд</t>
  </si>
  <si>
    <t>н.Фархор</t>
  </si>
  <si>
    <t>н.Ҳамадонӣ</t>
  </si>
  <si>
    <t>н.Хуросон</t>
  </si>
  <si>
    <t>н.Нуробод</t>
  </si>
  <si>
    <t>н.Рашт</t>
  </si>
  <si>
    <t>н.Тавилдара</t>
  </si>
  <si>
    <t>н.Тоҷикобод</t>
  </si>
  <si>
    <t>н.Файзобод</t>
  </si>
  <si>
    <t>н.Варзоб</t>
  </si>
  <si>
    <t>ш.Роғун</t>
  </si>
  <si>
    <t>н.Ваҳдат</t>
  </si>
  <si>
    <t>н.Шаҳринав</t>
  </si>
  <si>
    <t>ш.Хоруг</t>
  </si>
  <si>
    <t>н.Ванҷ</t>
  </si>
  <si>
    <t>н.Дарвоз</t>
  </si>
  <si>
    <t>н.Ишкошим</t>
  </si>
  <si>
    <t>н.Мурғоб</t>
  </si>
  <si>
    <t>н.Рошқалъа</t>
  </si>
  <si>
    <t>н.Ҷиргатол</t>
  </si>
  <si>
    <t>н.Конибодом</t>
  </si>
  <si>
    <t>н.Мастчоҳ</t>
  </si>
  <si>
    <t>н.Норак</t>
  </si>
  <si>
    <t>н.Кӯлоб</t>
  </si>
  <si>
    <t>н.Ҷиликул</t>
  </si>
  <si>
    <t>н.Шаҳритус</t>
  </si>
  <si>
    <t>н.Рӯдакӣ</t>
  </si>
  <si>
    <t>н.Турсунзода</t>
  </si>
  <si>
    <t>н.Шуғнон</t>
  </si>
  <si>
    <t xml:space="preserve"> ТМҒ «КредитИнвест»</t>
  </si>
  <si>
    <t>н. Шаҳритус</t>
  </si>
  <si>
    <t>Ҳамагӣ: ҷамъиятҳои  қарздиҳӣ</t>
  </si>
  <si>
    <t>(ҳаз.сомонӣ)</t>
  </si>
  <si>
    <t>Номгӯи бонкҳо, ҷамъиятҳои қарздиҳӣ ва ташкилотҳои қарздиҳии хурд</t>
  </si>
  <si>
    <t>Моҳҳо</t>
  </si>
  <si>
    <t xml:space="preserve">Январ </t>
  </si>
  <si>
    <t xml:space="preserve">Феврал     </t>
  </si>
  <si>
    <t>Март</t>
  </si>
  <si>
    <t>Апрел</t>
  </si>
  <si>
    <t>Май</t>
  </si>
  <si>
    <t>Июн</t>
  </si>
  <si>
    <t>Июл</t>
  </si>
  <si>
    <t>Август</t>
  </si>
  <si>
    <t>Сентябр</t>
  </si>
  <si>
    <t>Октябр</t>
  </si>
  <si>
    <t>Ноябр</t>
  </si>
  <si>
    <t>Декабр</t>
  </si>
  <si>
    <t xml:space="preserve">                                            Ташкилотҳои  қарзии хурд</t>
  </si>
  <si>
    <r>
      <t xml:space="preserve">                    Маълумот оид ба  қарзҳои ҷудошуда  аз тарафи низоми</t>
    </r>
    <r>
      <rPr>
        <b/>
        <sz val="14"/>
        <rFont val="Palatino Linotype"/>
        <family val="1"/>
        <charset val="204"/>
      </rPr>
      <t xml:space="preserve"> бонкӣ</t>
    </r>
  </si>
  <si>
    <t xml:space="preserve"> (ҳаз.сомонӣ)</t>
  </si>
  <si>
    <t xml:space="preserve">Вилояти Мухтори Кӯҳистони Бадахшон </t>
  </si>
  <si>
    <t>Бонки миллии Тоҷикистон</t>
  </si>
  <si>
    <t>Номгӯи минтақаҳо</t>
  </si>
  <si>
    <t xml:space="preserve"> Вилояти Мухтори Кўҳистони Бадахшон</t>
  </si>
  <si>
    <t>Шаҳри Душанбе</t>
  </si>
  <si>
    <t xml:space="preserve">Ҳамагӣ дар минтақаҳои кӯҳистон: </t>
  </si>
  <si>
    <t>ш.Табошар</t>
  </si>
  <si>
    <t xml:space="preserve">№     </t>
  </si>
  <si>
    <t>ш. Табошар</t>
  </si>
  <si>
    <t>Номгӯи вилоят ва шаҳру ноҳияҳо</t>
  </si>
  <si>
    <t>ҶСП "Фононбонк"</t>
  </si>
  <si>
    <t>Аз ҳисоби дигар сарчашмаҳои маблағгузории пахтакорӣ</t>
  </si>
  <si>
    <t xml:space="preserve">  Ҳамагӣ аз ҳисоби дигар  сарчашмаҳои маблағгузории пахтакорӣ</t>
  </si>
  <si>
    <t xml:space="preserve">       Ҳамагӣ дар ноҳияҳои кӯҳистон: </t>
  </si>
  <si>
    <t xml:space="preserve">         Карз ба ташкилотҳои молиявии ғайрибонкӣ</t>
  </si>
  <si>
    <t xml:space="preserve">                                                           </t>
  </si>
  <si>
    <r>
      <t xml:space="preserve">ТМХ         </t>
    </r>
    <r>
      <rPr>
        <b/>
        <sz val="9"/>
        <rFont val="Palatino Linotype"/>
        <family val="1"/>
        <charset val="204"/>
      </rPr>
      <t xml:space="preserve"> </t>
    </r>
  </si>
  <si>
    <t>Қарзҳои аз нав барасмият даровардагӣ</t>
  </si>
  <si>
    <t xml:space="preserve">          Маблағи қарзҳои ҷудогардидаи ТМҒ "Кредитинвест"  аз руӣ маҳалли</t>
  </si>
  <si>
    <t xml:space="preserve">Эзоҳ: </t>
  </si>
  <si>
    <t xml:space="preserve">          ҷойгиршавии маблағгузорон дарҷ гардидааст.   </t>
  </si>
  <si>
    <t>Эзоҳ: 1. Фарқияти қурб</t>
  </si>
  <si>
    <t xml:space="preserve">          2. Маблағи қарзҳои ҷудогардидаи ТМҒ "Кредитинвест"  аз руӣ маҳалли</t>
  </si>
  <si>
    <t xml:space="preserve">             ҷойгиршавии маблағгузорон дарҷ гардидааст.   </t>
  </si>
  <si>
    <t>Эзоҳ: 2. Маблағи қарзҳои ҷудогардидаи ТМҒ "Кредитинвест"  аз руӣ маҳалли</t>
  </si>
  <si>
    <t>Эзоҳ: Маблағи қарзҳои ҷудогардидаи ТМҒ "Кредитинвест"  аз руӣ маҳалли</t>
  </si>
  <si>
    <t>Фарқияти қурб</t>
  </si>
  <si>
    <t xml:space="preserve">Фарқияти           қурб </t>
  </si>
  <si>
    <t>Ноҳияҳои тобеи марказ</t>
  </si>
  <si>
    <t>Ноҳияҳои  ва водии Рашт</t>
  </si>
  <si>
    <t xml:space="preserve">Ноҳияҳои тобеи марказ </t>
  </si>
  <si>
    <t>Ҳамагӣ дар ноҳияҳои  водии Рашт</t>
  </si>
  <si>
    <t xml:space="preserve">Ҳамагӣ дар ноҳияҳои тобеи марказ </t>
  </si>
  <si>
    <t>Ноҳияҳои  водии Рашт</t>
  </si>
  <si>
    <t>Ноҳияҳои тобеъи марказ</t>
  </si>
  <si>
    <t>Ҳамагӣ дар вилояти Хатлон</t>
  </si>
  <si>
    <t>фарқияти              қурб</t>
  </si>
  <si>
    <t>Ҳамагӣ                          (ҳаз. сомонӣ)</t>
  </si>
  <si>
    <t>аз он ҷумла қарзҳои хурд (ҳаз.сомонӣ)</t>
  </si>
  <si>
    <t>Маълумот</t>
  </si>
  <si>
    <t xml:space="preserve">оиди қарзҳои хурди додашуда аз ҷониби бонкҳои ҷумҳурӣ, ҷамъиятҳои қарздиҳӣ, ташкилотҳои молиявии ғайрибонкӣ, </t>
  </si>
  <si>
    <t xml:space="preserve"> ташкилотҳои  амонатии кредитии хурд, ташкилотҳои қарзии хурд ва фондҳои қарзии хурд</t>
  </si>
  <si>
    <t>ТМГ  «КредитИнвест»</t>
  </si>
  <si>
    <t xml:space="preserve">Ҳаҷми умумии қарзҳои </t>
  </si>
  <si>
    <t>Ҳаҷми умумии қарзҳои</t>
  </si>
  <si>
    <t>Миқдори қарзҳои</t>
  </si>
  <si>
    <t>додашуда аз аввали сол</t>
  </si>
  <si>
    <t>пардохташуда аз аввали сол</t>
  </si>
  <si>
    <t>Бақияи қарзҳои хурд</t>
  </si>
  <si>
    <t>аз рӯи тавозун</t>
  </si>
  <si>
    <t>0_6_66</t>
  </si>
  <si>
    <t>0_6_59</t>
  </si>
  <si>
    <t>0_6_60</t>
  </si>
  <si>
    <t>0_6_61</t>
  </si>
  <si>
    <t>0_6_62</t>
  </si>
  <si>
    <t>0_6_63</t>
  </si>
  <si>
    <t>0_6_64</t>
  </si>
  <si>
    <t>0_6_65</t>
  </si>
  <si>
    <t>Ҳамагӣ  дар  ВМКБ</t>
  </si>
  <si>
    <t>1_4_46</t>
  </si>
  <si>
    <t>1_4_47</t>
  </si>
  <si>
    <t>1_4_48</t>
  </si>
  <si>
    <t>1_4_49</t>
  </si>
  <si>
    <t>1_4_50</t>
  </si>
  <si>
    <t>Ҳамагӣ  дар  ноҳияҳои   водии  Рашт</t>
  </si>
  <si>
    <t>Ноҳияҳои  тобеи  марказ</t>
  </si>
  <si>
    <t>1_5_56</t>
  </si>
  <si>
    <t>1_5_51</t>
  </si>
  <si>
    <t>1_5_53</t>
  </si>
  <si>
    <t>1_5_54</t>
  </si>
  <si>
    <t>1_5_52</t>
  </si>
  <si>
    <t>1_5_57</t>
  </si>
  <si>
    <t>1_5_58</t>
  </si>
  <si>
    <t>1_5_55</t>
  </si>
  <si>
    <t xml:space="preserve">Ҳамагӣ  дар  ноҳияҳои тобеи марказ </t>
  </si>
  <si>
    <t>4_3_44</t>
  </si>
  <si>
    <t>4_3_25</t>
  </si>
  <si>
    <t>4_3_31</t>
  </si>
  <si>
    <t>4_3_39</t>
  </si>
  <si>
    <t>4_3_21</t>
  </si>
  <si>
    <t>4_3_43</t>
  </si>
  <si>
    <t>4_3_36</t>
  </si>
  <si>
    <t>4_3_32</t>
  </si>
  <si>
    <t>4_3_22</t>
  </si>
  <si>
    <t>4_3_23</t>
  </si>
  <si>
    <t>4_3_24</t>
  </si>
  <si>
    <t>4_3_26</t>
  </si>
  <si>
    <t>4_3_27</t>
  </si>
  <si>
    <t>4_3_28</t>
  </si>
  <si>
    <t>4_3_29</t>
  </si>
  <si>
    <t>4_3_30</t>
  </si>
  <si>
    <t>4_3_20</t>
  </si>
  <si>
    <t>4_3_33</t>
  </si>
  <si>
    <t>4_3_34</t>
  </si>
  <si>
    <t>4_3_35</t>
  </si>
  <si>
    <t>4_3_37</t>
  </si>
  <si>
    <t>4_3_38</t>
  </si>
  <si>
    <t>4_3_40</t>
  </si>
  <si>
    <t>4_3_41</t>
  </si>
  <si>
    <t>4_3_42</t>
  </si>
  <si>
    <t xml:space="preserve">        Ҳамагӣ дар в. Хатлон</t>
  </si>
  <si>
    <t>5_2_19</t>
  </si>
  <si>
    <t>5_2_18</t>
  </si>
  <si>
    <t>5_2_2</t>
  </si>
  <si>
    <t>5_2_15</t>
  </si>
  <si>
    <t>5_2_11</t>
  </si>
  <si>
    <t>5_2_8</t>
  </si>
  <si>
    <t>5_2_7</t>
  </si>
  <si>
    <t>5_2_13</t>
  </si>
  <si>
    <t>5_2_3</t>
  </si>
  <si>
    <t>5_2_4</t>
  </si>
  <si>
    <t>5_2_5</t>
  </si>
  <si>
    <t>5_2_6</t>
  </si>
  <si>
    <t>5_2_9</t>
  </si>
  <si>
    <t>5_2_10</t>
  </si>
  <si>
    <t>5_2_12</t>
  </si>
  <si>
    <t>5_2_14</t>
  </si>
  <si>
    <t>5_2_16</t>
  </si>
  <si>
    <t>5_2_17</t>
  </si>
  <si>
    <t>1_1_1_1</t>
  </si>
  <si>
    <t>1_1_1_2</t>
  </si>
  <si>
    <t>1_1_1_3</t>
  </si>
  <si>
    <t>1_1_1_4</t>
  </si>
  <si>
    <t>Ҳамагӣ дар ш. Душанбе</t>
  </si>
  <si>
    <t>бе маблағгузории соҳаи  пахтакорӣ</t>
  </si>
  <si>
    <t xml:space="preserve">
 Маълумот оид ба қарзҳои хурди додашуда ба ноҳияҳои ҷумҳурӣ  бо назардошти нақшаи соли 2008</t>
  </si>
  <si>
    <t>Қарзҳои хурд (ҳазор сомонӣ)</t>
  </si>
  <si>
    <t>Нақша дар соли 2008</t>
  </si>
  <si>
    <t xml:space="preserve">Миқдори қарзҳои хурд </t>
  </si>
  <si>
    <t xml:space="preserve">Тағйирёбӣ </t>
  </si>
  <si>
    <t xml:space="preserve"> январ-ноябри  соли 2006</t>
  </si>
  <si>
    <t xml:space="preserve"> январ-ноябри  соли 2007</t>
  </si>
  <si>
    <t>н. Кулоб</t>
  </si>
  <si>
    <t xml:space="preserve">                 </t>
  </si>
  <si>
    <t>Тавозун</t>
  </si>
  <si>
    <t>Проверка по банкам</t>
  </si>
  <si>
    <t>район</t>
  </si>
  <si>
    <t>фарқияти      қурб+</t>
  </si>
  <si>
    <t>фарқияти      қурб -</t>
  </si>
  <si>
    <t>Фарқияти           қурб ++</t>
  </si>
  <si>
    <t>Фарқияти           қурб +</t>
  </si>
  <si>
    <t>Фарқияти           қурб -</t>
  </si>
  <si>
    <t>фарқияти    қурб+</t>
  </si>
  <si>
    <t>Фарқияти қурб надорад</t>
  </si>
  <si>
    <t>Общ свод по район</t>
  </si>
  <si>
    <t>общ свод по район(пог+выд)</t>
  </si>
  <si>
    <t xml:space="preserve">Маълумоти фаврӣ оид ба қарзҳои додашуда ба шаҳру ноҳияҳои ҷумҳурӣ  бе маблағгузории соҳаи пахтакорӣ                             </t>
  </si>
  <si>
    <t>(бе маблағгузории соҳаи пахтакорӣ)</t>
  </si>
  <si>
    <r>
      <t xml:space="preserve">Қарзҳо </t>
    </r>
    <r>
      <rPr>
        <sz val="14"/>
        <rFont val="Palatino Linotype"/>
        <family val="1"/>
        <charset val="204"/>
      </rPr>
      <t>( ҳазор сомонӣ)</t>
    </r>
  </si>
  <si>
    <r>
      <t xml:space="preserve">Тағйирёбӣ          </t>
    </r>
    <r>
      <rPr>
        <sz val="14"/>
        <rFont val="Palatino Linotype"/>
        <family val="1"/>
        <charset val="204"/>
      </rPr>
      <t>(маротиба)</t>
    </r>
  </si>
  <si>
    <r>
      <t>Қарзҳо</t>
    </r>
    <r>
      <rPr>
        <sz val="14"/>
        <rFont val="Palatino Linotype"/>
        <family val="1"/>
        <charset val="204"/>
      </rPr>
      <t xml:space="preserve"> ( ҳазор сомонӣ)</t>
    </r>
  </si>
  <si>
    <r>
      <t xml:space="preserve">Тағйирёбӣ         </t>
    </r>
    <r>
      <rPr>
        <sz val="14"/>
        <rFont val="Palatino Linotype"/>
        <family val="1"/>
        <charset val="204"/>
      </rPr>
      <t xml:space="preserve"> (маротиба)</t>
    </r>
  </si>
  <si>
    <t>Қарзҳо</t>
  </si>
  <si>
    <t>аз он ҷумла қарзҳои хурд</t>
  </si>
  <si>
    <t>Ҷамъияти қарздиҳии масъулияташ маҳдуди "Деҳқон"</t>
  </si>
  <si>
    <t xml:space="preserve">Маълумоти оид ба қарзҳои додашуда ба шаҳру ноҳияҳои ҷумҳурӣ        бе маблағгузории соҳаи пахтакорӣ                             </t>
  </si>
  <si>
    <t xml:space="preserve"> 
 Маълумот оид ба қарзҳои  додашуда ва пардохти  онҳо дар минтақаҳои  ҷумҳурӣ барои соли 2007</t>
  </si>
  <si>
    <t xml:space="preserve">Номгӯи минтақаҳо </t>
  </si>
  <si>
    <t>Ҳамагӣ дар ҷумҳурӣ,</t>
  </si>
  <si>
    <t xml:space="preserve">Вилояти  Мухтори Кӯҳистони Бадахшон </t>
  </si>
  <si>
    <t>Душанбе</t>
  </si>
  <si>
    <t>Общий (пог+выд)</t>
  </si>
  <si>
    <t>(ҳазор  сомонӣ)</t>
  </si>
  <si>
    <r>
      <t xml:space="preserve">Тағйирёбӣ          </t>
    </r>
    <r>
      <rPr>
        <sz val="12"/>
        <rFont val="Palatino Linotype"/>
        <family val="1"/>
        <charset val="204"/>
      </rPr>
      <t>(маротиба)</t>
    </r>
  </si>
  <si>
    <r>
      <t xml:space="preserve">Қарзҳо </t>
    </r>
    <r>
      <rPr>
        <sz val="12"/>
        <rFont val="Palatino Linotype"/>
        <family val="1"/>
        <charset val="204"/>
      </rPr>
      <t>( ҳазор сомонӣ)</t>
    </r>
  </si>
  <si>
    <r>
      <t>Қарзҳо</t>
    </r>
    <r>
      <rPr>
        <sz val="14"/>
        <rFont val="Palatino Linotype"/>
        <family val="1"/>
        <charset val="204"/>
      </rPr>
      <t xml:space="preserve"> </t>
    </r>
    <r>
      <rPr>
        <sz val="12"/>
        <rFont val="Palatino Linotype"/>
        <family val="1"/>
        <charset val="204"/>
      </rPr>
      <t>( ҳазор сомонӣ)</t>
    </r>
  </si>
  <si>
    <r>
      <t xml:space="preserve">Тағйирёбӣ         </t>
    </r>
    <r>
      <rPr>
        <sz val="14"/>
        <rFont val="Palatino Linotype"/>
        <family val="1"/>
        <charset val="204"/>
      </rPr>
      <t xml:space="preserve"> </t>
    </r>
    <r>
      <rPr>
        <sz val="12"/>
        <rFont val="Palatino Linotype"/>
        <family val="1"/>
        <charset val="204"/>
      </rPr>
      <t>(маротиба)</t>
    </r>
  </si>
  <si>
    <t>Бақияи  қарз      ба 01.01.2008</t>
  </si>
  <si>
    <t>Ҳамагӣ дар ноҳияҳо (бонкҳо ва ҷамъиятҳои қарздиҳӣ )</t>
  </si>
  <si>
    <t>Бақияи қарз ба                                 1 январи соли 2008</t>
  </si>
  <si>
    <t>аз он ҷумла ТМҒ "КредитИнвест"</t>
  </si>
  <si>
    <t>Ҳамагӣ ҶҚ:</t>
  </si>
  <si>
    <t>Ҳамаги бе бонкҳо:</t>
  </si>
  <si>
    <t>Проверка (Бонки влож(общий)</t>
  </si>
  <si>
    <t>Фарқияти           қурб  +</t>
  </si>
  <si>
    <t xml:space="preserve">молиявии  ғайрибонкӣ ва қарзии хурд дар  соли 2008 </t>
  </si>
  <si>
    <t>ҶҚММ "Саидаҳмад"</t>
  </si>
  <si>
    <t xml:space="preserve">                аз он ҷумла:</t>
  </si>
  <si>
    <t>Номгӯи вилоят                                   ва                                                                           шаҳру ноҳияҳо</t>
  </si>
  <si>
    <t>дар шаҳру  ноҳияҳои Ҷумҳурии Тоҷикистон ба мохи январ соли  2008</t>
  </si>
  <si>
    <t xml:space="preserve"> ба 1 январи соли 2008 то ноябр</t>
  </si>
  <si>
    <t>ба январ соли  2008</t>
  </si>
  <si>
    <t>то январ соли  2008</t>
  </si>
  <si>
    <t xml:space="preserve"> то январ соли  2008</t>
  </si>
  <si>
    <t>н. Ҷ Румӣ</t>
  </si>
  <si>
    <t>Ҳамагӣ бо фарқияти қурб:</t>
  </si>
  <si>
    <t>фарқияти             қурб-</t>
  </si>
  <si>
    <t>ФЕВРАЛИ  2008</t>
  </si>
  <si>
    <t>Қарзи додашуда       то 01.03. 2008</t>
  </si>
  <si>
    <t>Қарзи пардохта шуда то 01.03. 2008</t>
  </si>
  <si>
    <t>Бақияи қарз ба 01.03.2008</t>
  </si>
  <si>
    <t>Қарзи додашуда то                                  1 марти соли 2008</t>
  </si>
  <si>
    <t>Қарзи пардохтшуда  то 1 марти соли 2008</t>
  </si>
  <si>
    <t xml:space="preserve">Бақияи қарз </t>
  </si>
  <si>
    <t>Бақияи қарз ба                          1 марти  соли 2008</t>
  </si>
  <si>
    <t>январи - феврали                                соли 2007</t>
  </si>
  <si>
    <t>январи - феврали                               соли 2008</t>
  </si>
  <si>
    <t>Ҳамагӣ дар ноҳияҳо (ҷамъиятҳои қарздиҳӣ )</t>
  </si>
  <si>
    <t>Фарқияти           қурб --</t>
  </si>
  <si>
    <t>н. Ҷ. Румӣ</t>
  </si>
  <si>
    <t>н.Ҷ. Румӣ</t>
  </si>
  <si>
    <t>ҶСП " Фононбонк "</t>
  </si>
  <si>
    <t xml:space="preserve">Маълумоти оид ба қарзҳои додашуда ба шаҳру ноҳияҳои ҷумҳурӣ бе маблағгузории соҳаи пахтакорӣ                             </t>
  </si>
  <si>
    <t xml:space="preserve">н. Қӯрғонтеппа </t>
  </si>
  <si>
    <t>н. Мӯминобод</t>
  </si>
  <si>
    <t>н. Носири Хусрав</t>
  </si>
  <si>
    <t>н. Ҷиликӯл</t>
  </si>
  <si>
    <t>н. Қубодиён</t>
  </si>
  <si>
    <t>ш.Қӯрғонтеппа</t>
  </si>
  <si>
    <t>н.Мӯминобод</t>
  </si>
  <si>
    <t>н.Шӯробод</t>
  </si>
  <si>
    <t>н.Қубодиён</t>
  </si>
  <si>
    <t>н.Ҷиликӯл</t>
  </si>
  <si>
    <t>н. Шӯробод</t>
  </si>
  <si>
    <t>Ҳамагӣ: дар Ҷумҳурӣ</t>
  </si>
  <si>
    <t>Аз он ҷумла  қарзҳои  додашуда ба минтақаҳои дурдасти кӯҳистон                                                                                                                                                                                                                                                                       дар  моҳҳои  январ-августи солҳои  2008  ва  2009</t>
  </si>
  <si>
    <t>Аз он ҷумла  қарзҳои  додашуда ба минтақаҳои дурдасти кӯҳистон                                                                   дар  моҳҳои  январ - августи солҳои  2008  ва  2009</t>
  </si>
  <si>
    <t>ҶСП "Аксесбонк Тоҷикистон"</t>
  </si>
  <si>
    <t>дар шаҳру  ноҳияҳои Ҷумҳурии Тоҷикистон ба мохи марти соли  2008</t>
  </si>
  <si>
    <t>ТАКХ "Сайдаҳмад"</t>
  </si>
  <si>
    <t xml:space="preserve"> ба 1 январи соли 2010 </t>
  </si>
  <si>
    <t>ба 1.04. соли  2010</t>
  </si>
  <si>
    <t>то 31.03 соли  2010</t>
  </si>
  <si>
    <t xml:space="preserve"> то 31.03 соли  2010</t>
  </si>
  <si>
    <t xml:space="preserve">                    Маълумот оид ба додани қарз  дар соли 2010 аз тарафи бонкҳо ва ҷамъиятҳои қарздиҳӣ</t>
  </si>
  <si>
    <t>н.Роштқалъа</t>
  </si>
  <si>
    <t>н.Рӯшон</t>
  </si>
  <si>
    <t>н.Мӯъминобод</t>
  </si>
  <si>
    <t>н.Шаҳртуз</t>
  </si>
  <si>
    <t>ҶСП "Казкоммертсбонк Тоҷикистон"</t>
  </si>
  <si>
    <t>ҶСП Бонки сармоягузории "Конт"</t>
  </si>
  <si>
    <t xml:space="preserve">            Маълумот оид ба қарзҳои додашуда аз ҷониби бонкҳо ва дигар ташкилотҳои қарзӣ </t>
  </si>
  <si>
    <t xml:space="preserve">      Ташкилотҳои маблағгузории  хурд</t>
  </si>
  <si>
    <t>Ҳамагӣ: ташкилотҳои қарзии ғайрибонкӣ</t>
  </si>
  <si>
    <t>Таҳкилотҳои қарзии ғайрибонкӣ</t>
  </si>
  <si>
    <t>Ҳамагӣ: Ташкилотҳои маблағгузории  хурд</t>
  </si>
  <si>
    <t>Ҳамагӣ: Бонкҳо</t>
  </si>
  <si>
    <t>ҶСП "Спитамен Бонк"</t>
  </si>
  <si>
    <t xml:space="preserve">Ҳамагӣ дар Ҷумҳурӣ: </t>
  </si>
  <si>
    <t>ҶСП "Кафолатбонк"</t>
  </si>
  <si>
    <t>ҶСП "Бонки фаръии БМП Покистон дар Тоҷикистон"</t>
  </si>
  <si>
    <t>Филиали бонки "Тичорат" -и ҶИЭ дар ш.Душанбе</t>
  </si>
  <si>
    <t>ҶСП "Бонки байналмиллалии Тоҷикистон"</t>
  </si>
  <si>
    <t>ш.Ҳисор</t>
  </si>
  <si>
    <t>н. Сангвор</t>
  </si>
  <si>
    <t>н. Лахш</t>
  </si>
  <si>
    <t>н. Дустӣ</t>
  </si>
  <si>
    <t>н. Ҷайхун</t>
  </si>
  <si>
    <t>н. Шамсиддин Шоҳин</t>
  </si>
  <si>
    <t>н. Ҷалолиддин Балхи</t>
  </si>
  <si>
    <t>ш.Гулистон</t>
  </si>
  <si>
    <t>ш.Бустон</t>
  </si>
  <si>
    <t>н. Деваштич</t>
  </si>
  <si>
    <t>Соли 2010</t>
  </si>
  <si>
    <t>Соли 2011</t>
  </si>
  <si>
    <t>Соли 2012</t>
  </si>
  <si>
    <t>Соли 2013</t>
  </si>
  <si>
    <t>Соли 2014</t>
  </si>
  <si>
    <t>Ҳамагӣ дар ноҳияҳои тобеи Ҷумҳурӣ</t>
  </si>
  <si>
    <t>Тағйирот</t>
  </si>
  <si>
    <t>бо маблағ</t>
  </si>
  <si>
    <t>бо фоиз</t>
  </si>
  <si>
    <t>Соли 2015</t>
  </si>
  <si>
    <t>Соли 2016</t>
  </si>
  <si>
    <t xml:space="preserve"> Қарзҳои додашуда ба ноҳияҳои ҷумҳурӣ дар солҳои 2010-2016  ва моҳи январи солҳои 2016-2017</t>
  </si>
  <si>
    <t>январи                   соли 2016</t>
  </si>
  <si>
    <t>январи                   соли 2017</t>
  </si>
  <si>
    <t>ш. Бохтар</t>
  </si>
  <si>
    <t>н. Кушониён</t>
  </si>
  <si>
    <t>ш.Истиқлол</t>
  </si>
  <si>
    <t>ш. Леваканд</t>
  </si>
  <si>
    <t>2,2 мар.</t>
  </si>
  <si>
    <t xml:space="preserve"> Қарзҳои хурди додашуда ба ноҳияҳои ҷумҳурӣ дар солҳои 2015-2021 </t>
  </si>
</sst>
</file>

<file path=xl/styles.xml><?xml version="1.0" encoding="utf-8"?>
<styleSheet xmlns="http://schemas.openxmlformats.org/spreadsheetml/2006/main">
  <numFmts count="8">
    <numFmt numFmtId="164" formatCode="_-* #,##0_р_._-;\-* #,##0_р_._-;_-* &quot;-&quot;_р_._-;_-@_-"/>
    <numFmt numFmtId="165" formatCode="_-* #,##0.00_р_._-;\-* #,##0.00_р_._-;_-* &quot;-&quot;??_р_._-;_-@_-"/>
    <numFmt numFmtId="166" formatCode="0.0"/>
    <numFmt numFmtId="167" formatCode="#,##0.0"/>
    <numFmt numFmtId="168" formatCode="#,##0.00000"/>
    <numFmt numFmtId="169" formatCode="_-* #,##0.00\ _р_._-;\-* #,##0.00\ _р_._-;_-* &quot;-&quot;??\ _р_._-;_-@_-"/>
    <numFmt numFmtId="170" formatCode="#,##0.00_ ;[Red]\-#,##0.00\ "/>
    <numFmt numFmtId="171" formatCode="_-* #,##0.0_р_._-;\-* #,##0.0_р_._-;_-* &quot;-&quot;??_р_._-;_-@_-"/>
  </numFmts>
  <fonts count="130">
    <font>
      <sz val="10"/>
      <name val="Arial Cyr"/>
      <charset val="204"/>
    </font>
    <font>
      <sz val="10"/>
      <name val="Arial Cyr"/>
      <family val="2"/>
      <charset val="204"/>
    </font>
    <font>
      <sz val="14"/>
      <name val="Palatino Linotype"/>
      <family val="1"/>
    </font>
    <font>
      <b/>
      <sz val="14"/>
      <name val="Palatino Linotype"/>
      <family val="1"/>
    </font>
    <font>
      <b/>
      <sz val="14"/>
      <color indexed="8"/>
      <name val="Palatino Linotype"/>
      <family val="1"/>
    </font>
    <font>
      <sz val="14"/>
      <name val="Times New Roman"/>
      <family val="1"/>
    </font>
    <font>
      <sz val="13"/>
      <name val="Arial Cyr"/>
      <family val="2"/>
      <charset val="204"/>
    </font>
    <font>
      <b/>
      <sz val="13"/>
      <name val="Arial Cyr"/>
      <family val="2"/>
      <charset val="204"/>
    </font>
    <font>
      <sz val="12"/>
      <name val="Arial Cyr"/>
      <family val="2"/>
      <charset val="204"/>
    </font>
    <font>
      <b/>
      <sz val="10"/>
      <name val="Arial Cyr"/>
      <family val="2"/>
      <charset val="204"/>
    </font>
    <font>
      <sz val="8"/>
      <name val="Arial Cyr"/>
      <family val="2"/>
      <charset val="204"/>
    </font>
    <font>
      <sz val="13"/>
      <name val="Arial Cyr"/>
      <family val="2"/>
      <charset val="204"/>
    </font>
    <font>
      <sz val="10"/>
      <name val="Palatino Linotype"/>
      <family val="1"/>
      <charset val="204"/>
    </font>
    <font>
      <sz val="10"/>
      <name val="Palatino Linotype"/>
      <family val="1"/>
    </font>
    <font>
      <sz val="11"/>
      <name val="Arial Cyr"/>
      <family val="2"/>
      <charset val="204"/>
    </font>
    <font>
      <b/>
      <sz val="12"/>
      <name val="Arial Cyr"/>
      <family val="2"/>
      <charset val="204"/>
    </font>
    <font>
      <b/>
      <sz val="12"/>
      <name val="Palatino Linotype"/>
      <family val="1"/>
      <charset val="204"/>
    </font>
    <font>
      <b/>
      <i/>
      <sz val="12"/>
      <name val="Palatino Linotype"/>
      <family val="1"/>
      <charset val="204"/>
    </font>
    <font>
      <b/>
      <sz val="14"/>
      <name val="Palatino Linotype"/>
      <family val="1"/>
      <charset val="204"/>
    </font>
    <font>
      <sz val="10"/>
      <name val="Arial Cyr"/>
      <family val="2"/>
      <charset val="204"/>
    </font>
    <font>
      <b/>
      <i/>
      <sz val="11"/>
      <name val="Palatino Linotype"/>
      <family val="1"/>
      <charset val="204"/>
    </font>
    <font>
      <i/>
      <sz val="12"/>
      <name val="Arial Cyr"/>
      <family val="2"/>
      <charset val="204"/>
    </font>
    <font>
      <b/>
      <i/>
      <sz val="14"/>
      <name val="Palatino Linotype"/>
      <family val="1"/>
      <charset val="204"/>
    </font>
    <font>
      <sz val="12"/>
      <name val="Palatino Linotype"/>
      <family val="1"/>
      <charset val="204"/>
    </font>
    <font>
      <b/>
      <sz val="16"/>
      <name val="Palatino Linotype"/>
      <family val="1"/>
      <charset val="204"/>
    </font>
    <font>
      <sz val="14"/>
      <name val="Arial Cyr"/>
      <family val="2"/>
      <charset val="204"/>
    </font>
    <font>
      <sz val="14"/>
      <name val="Palatino Linotype"/>
      <family val="1"/>
      <charset val="204"/>
    </font>
    <font>
      <sz val="16"/>
      <name val="Palatino Linotype"/>
      <family val="1"/>
      <charset val="204"/>
    </font>
    <font>
      <i/>
      <sz val="12"/>
      <name val="Palatino Linotype"/>
      <family val="1"/>
      <charset val="204"/>
    </font>
    <font>
      <sz val="12"/>
      <color indexed="10"/>
      <name val="Palatino Linotype"/>
      <family val="1"/>
      <charset val="204"/>
    </font>
    <font>
      <sz val="16"/>
      <name val="Arial Cyr"/>
      <family val="2"/>
      <charset val="204"/>
    </font>
    <font>
      <b/>
      <i/>
      <sz val="16"/>
      <name val="Palatino Linotype"/>
      <family val="1"/>
      <charset val="204"/>
    </font>
    <font>
      <i/>
      <sz val="14"/>
      <name val="Palatino Linotype"/>
      <family val="1"/>
      <charset val="204"/>
    </font>
    <font>
      <i/>
      <sz val="14"/>
      <name val="Palatino Linotype"/>
      <family val="1"/>
    </font>
    <font>
      <b/>
      <i/>
      <sz val="15"/>
      <name val="Palatino Linotype"/>
      <family val="1"/>
      <charset val="204"/>
    </font>
    <font>
      <b/>
      <sz val="10"/>
      <name val="Palatino Linotype"/>
      <family val="1"/>
      <charset val="204"/>
    </font>
    <font>
      <b/>
      <i/>
      <u/>
      <sz val="10"/>
      <name val="Arial Cyr"/>
      <family val="2"/>
      <charset val="204"/>
    </font>
    <font>
      <i/>
      <sz val="10"/>
      <name val="Arial Cyr"/>
      <family val="2"/>
      <charset val="204"/>
    </font>
    <font>
      <b/>
      <sz val="18"/>
      <name val="Palatino Linotype"/>
      <family val="1"/>
      <charset val="204"/>
    </font>
    <font>
      <sz val="18"/>
      <name val="Palatino Linotype"/>
      <family val="1"/>
      <charset val="204"/>
    </font>
    <font>
      <b/>
      <sz val="20"/>
      <name val="Palatino Linotype"/>
      <family val="1"/>
      <charset val="204"/>
    </font>
    <font>
      <i/>
      <sz val="18"/>
      <name val="Palatino Linotype"/>
      <family val="1"/>
      <charset val="204"/>
    </font>
    <font>
      <b/>
      <i/>
      <sz val="18"/>
      <name val="Palatino Linotype"/>
      <family val="1"/>
      <charset val="204"/>
    </font>
    <font>
      <i/>
      <sz val="16"/>
      <name val="Palatino Linotype"/>
      <family val="1"/>
      <charset val="204"/>
    </font>
    <font>
      <b/>
      <i/>
      <sz val="16"/>
      <name val="Arial Cyr"/>
      <family val="2"/>
      <charset val="204"/>
    </font>
    <font>
      <sz val="18"/>
      <name val="Arial Cyr"/>
      <family val="2"/>
      <charset val="204"/>
    </font>
    <font>
      <i/>
      <sz val="10"/>
      <name val="Arial Cyr"/>
      <family val="2"/>
      <charset val="204"/>
    </font>
    <font>
      <b/>
      <sz val="9"/>
      <name val="Palatino Linotype"/>
      <family val="1"/>
      <charset val="204"/>
    </font>
    <font>
      <sz val="12"/>
      <name val="Palatino Linotype"/>
      <family val="1"/>
    </font>
    <font>
      <sz val="9"/>
      <name val="Palatino Linotype"/>
      <family val="1"/>
    </font>
    <font>
      <b/>
      <sz val="14"/>
      <name val="Times New Roman"/>
      <family val="1"/>
      <charset val="204"/>
    </font>
    <font>
      <b/>
      <sz val="14"/>
      <name val="Times New Roman"/>
      <family val="1"/>
    </font>
    <font>
      <b/>
      <sz val="13"/>
      <name val="Palatino Linotype"/>
      <family val="1"/>
    </font>
    <font>
      <i/>
      <sz val="16"/>
      <name val="Arial Cyr"/>
      <family val="2"/>
      <charset val="204"/>
    </font>
    <font>
      <b/>
      <sz val="14"/>
      <name val="Arial Cyr"/>
      <family val="2"/>
      <charset val="204"/>
    </font>
    <font>
      <sz val="14"/>
      <name val="Arial Cyr"/>
      <family val="2"/>
      <charset val="204"/>
    </font>
    <font>
      <i/>
      <sz val="12"/>
      <name val="Palatino Linotype"/>
      <family val="1"/>
    </font>
    <font>
      <sz val="13"/>
      <name val="Palatino Linotype"/>
      <family val="1"/>
    </font>
    <font>
      <b/>
      <sz val="11"/>
      <name val="Palatino Linotype"/>
      <family val="1"/>
      <charset val="204"/>
    </font>
    <font>
      <b/>
      <sz val="16"/>
      <name val="Palatino Linotype"/>
      <family val="1"/>
    </font>
    <font>
      <sz val="14"/>
      <color indexed="10"/>
      <name val="Palatino Linotype"/>
      <family val="1"/>
    </font>
    <font>
      <sz val="18"/>
      <name val="Palatino Linotype"/>
      <family val="1"/>
    </font>
    <font>
      <i/>
      <sz val="16"/>
      <color indexed="8"/>
      <name val="Palatino Linotype"/>
      <family val="1"/>
      <charset val="204"/>
    </font>
    <font>
      <b/>
      <i/>
      <sz val="16"/>
      <name val="Palatino Linotype"/>
      <family val="1"/>
    </font>
    <font>
      <i/>
      <sz val="14"/>
      <name val="Arial Cyr"/>
      <family val="2"/>
      <charset val="204"/>
    </font>
    <font>
      <sz val="16"/>
      <name val="Palatino Linotype"/>
      <family val="1"/>
    </font>
    <font>
      <sz val="10"/>
      <color indexed="10"/>
      <name val="Arial Cyr"/>
      <family val="2"/>
      <charset val="204"/>
    </font>
    <font>
      <sz val="10"/>
      <color indexed="63"/>
      <name val="Arial Cyr"/>
      <family val="2"/>
      <charset val="204"/>
    </font>
    <font>
      <sz val="13"/>
      <color indexed="10"/>
      <name val="Arial Cyr"/>
      <family val="2"/>
      <charset val="204"/>
    </font>
    <font>
      <b/>
      <sz val="13"/>
      <name val="Palatino Linotype"/>
      <family val="1"/>
      <charset val="204"/>
    </font>
    <font>
      <i/>
      <sz val="10"/>
      <color indexed="10"/>
      <name val="Arial Cyr"/>
      <family val="2"/>
      <charset val="204"/>
    </font>
    <font>
      <sz val="13"/>
      <color indexed="63"/>
      <name val="Arial Cyr"/>
      <family val="2"/>
      <charset val="204"/>
    </font>
    <font>
      <b/>
      <i/>
      <sz val="14"/>
      <name val="Arial Cyr"/>
      <family val="2"/>
      <charset val="204"/>
    </font>
    <font>
      <sz val="9"/>
      <name val="Arial Cyr"/>
      <family val="2"/>
      <charset val="204"/>
    </font>
    <font>
      <sz val="16"/>
      <name val="Times New Roman"/>
      <family val="1"/>
    </font>
    <font>
      <sz val="8"/>
      <color indexed="81"/>
      <name val="Tahoma"/>
      <family val="2"/>
      <charset val="204"/>
    </font>
    <font>
      <sz val="11"/>
      <name val="Palatino Linotype"/>
      <family val="1"/>
      <charset val="204"/>
    </font>
    <font>
      <b/>
      <sz val="24"/>
      <name val="Palatino Linotype"/>
      <family val="1"/>
      <charset val="204"/>
    </font>
    <font>
      <sz val="24"/>
      <name val="Arial Cyr"/>
      <family val="2"/>
      <charset val="204"/>
    </font>
    <font>
      <sz val="24"/>
      <name val="Palatino Linotype"/>
      <family val="1"/>
      <charset val="204"/>
    </font>
    <font>
      <b/>
      <i/>
      <sz val="24"/>
      <name val="Palatino Linotype"/>
      <family val="1"/>
      <charset val="204"/>
    </font>
    <font>
      <b/>
      <sz val="14"/>
      <name val="Arial Cyr"/>
      <family val="2"/>
      <charset val="204"/>
    </font>
    <font>
      <b/>
      <sz val="13"/>
      <color indexed="10"/>
      <name val="Arial Cyr"/>
      <family val="2"/>
      <charset val="204"/>
    </font>
    <font>
      <b/>
      <i/>
      <sz val="12"/>
      <color indexed="10"/>
      <name val="Palatino Linotype"/>
      <family val="1"/>
      <charset val="204"/>
    </font>
    <font>
      <sz val="12"/>
      <color indexed="10"/>
      <name val="Arial Cyr"/>
      <family val="2"/>
      <charset val="204"/>
    </font>
    <font>
      <sz val="13"/>
      <color indexed="10"/>
      <name val="Arial Cyr"/>
      <family val="2"/>
      <charset val="204"/>
    </font>
    <font>
      <sz val="12"/>
      <color indexed="10"/>
      <name val="Palatino Linotype"/>
      <family val="1"/>
    </font>
    <font>
      <sz val="9"/>
      <color indexed="10"/>
      <name val="Palatino Linotype"/>
      <family val="1"/>
    </font>
    <font>
      <b/>
      <sz val="14"/>
      <color indexed="10"/>
      <name val="Palatino Linotype"/>
      <family val="1"/>
      <charset val="204"/>
    </font>
    <font>
      <b/>
      <sz val="14"/>
      <color indexed="10"/>
      <name val="Times New Roman"/>
      <family val="1"/>
    </font>
    <font>
      <b/>
      <sz val="14"/>
      <color indexed="10"/>
      <name val="Times New Roman"/>
      <family val="1"/>
      <charset val="204"/>
    </font>
    <font>
      <b/>
      <sz val="13"/>
      <color indexed="10"/>
      <name val="Palatino Linotype"/>
      <family val="1"/>
      <charset val="204"/>
    </font>
    <font>
      <sz val="17"/>
      <name val="Arial Cyr"/>
      <family val="2"/>
      <charset val="204"/>
    </font>
    <font>
      <i/>
      <sz val="17"/>
      <name val="Arial Cyr"/>
      <family val="2"/>
      <charset val="204"/>
    </font>
    <font>
      <i/>
      <sz val="11"/>
      <name val="Palatino Linotype"/>
      <family val="1"/>
      <charset val="204"/>
    </font>
    <font>
      <i/>
      <sz val="10"/>
      <name val="Palatino Linotype"/>
      <family val="1"/>
      <charset val="204"/>
    </font>
    <font>
      <b/>
      <sz val="18"/>
      <name val="Arial Cyr"/>
      <family val="2"/>
      <charset val="204"/>
    </font>
    <font>
      <sz val="10"/>
      <color indexed="8"/>
      <name val="Arial Cyr"/>
      <family val="2"/>
      <charset val="204"/>
    </font>
    <font>
      <sz val="20"/>
      <name val="Palatino Linotype"/>
      <family val="1"/>
      <charset val="204"/>
    </font>
    <font>
      <b/>
      <sz val="18"/>
      <color indexed="63"/>
      <name val="Palatino Linotype"/>
      <family val="1"/>
      <charset val="204"/>
    </font>
    <font>
      <sz val="13"/>
      <name val="Palatino Linotype"/>
      <family val="1"/>
      <charset val="204"/>
    </font>
    <font>
      <sz val="13"/>
      <color indexed="10"/>
      <name val="Palatino Linotype"/>
      <family val="1"/>
      <charset val="204"/>
    </font>
    <font>
      <sz val="13"/>
      <color indexed="63"/>
      <name val="Palatino Linotype"/>
      <family val="1"/>
      <charset val="204"/>
    </font>
    <font>
      <b/>
      <sz val="13"/>
      <color indexed="63"/>
      <name val="Palatino Linotype"/>
      <family val="1"/>
      <charset val="204"/>
    </font>
    <font>
      <sz val="13"/>
      <color indexed="8"/>
      <name val="Palatino Linotype"/>
      <family val="1"/>
      <charset val="204"/>
    </font>
    <font>
      <sz val="8"/>
      <name val="Palatino Linotype"/>
      <family val="1"/>
      <charset val="204"/>
    </font>
    <font>
      <b/>
      <sz val="22"/>
      <color indexed="10"/>
      <name val="Palatino Linotype"/>
      <family val="1"/>
      <charset val="204"/>
    </font>
    <font>
      <b/>
      <sz val="15"/>
      <name val="Palatino Linotype"/>
      <family val="1"/>
      <charset val="204"/>
    </font>
    <font>
      <b/>
      <sz val="15"/>
      <color indexed="10"/>
      <name val="Palatino Linotype"/>
      <family val="1"/>
      <charset val="204"/>
    </font>
    <font>
      <b/>
      <sz val="8"/>
      <name val="Palatino Linotype"/>
      <family val="1"/>
      <charset val="204"/>
    </font>
    <font>
      <b/>
      <sz val="14"/>
      <color indexed="10"/>
      <name val="Arial Cyr"/>
      <family val="2"/>
      <charset val="204"/>
    </font>
    <font>
      <b/>
      <sz val="16"/>
      <color indexed="10"/>
      <name val="Palatino Linotype"/>
      <family val="1"/>
      <charset val="204"/>
    </font>
    <font>
      <sz val="9"/>
      <name val="Palatino Linotype"/>
      <family val="1"/>
      <charset val="204"/>
    </font>
    <font>
      <b/>
      <sz val="12"/>
      <color indexed="10"/>
      <name val="Arial Cyr"/>
      <family val="2"/>
      <charset val="204"/>
    </font>
    <font>
      <sz val="18"/>
      <color indexed="10"/>
      <name val="Palatino Linotype"/>
      <family val="1"/>
      <charset val="204"/>
    </font>
    <font>
      <b/>
      <sz val="18"/>
      <color indexed="10"/>
      <name val="Palatino Linotype"/>
      <family val="1"/>
      <charset val="204"/>
    </font>
    <font>
      <b/>
      <sz val="13"/>
      <color indexed="48"/>
      <name val="Palatino Linotype"/>
      <family val="1"/>
      <charset val="204"/>
    </font>
    <font>
      <b/>
      <sz val="13"/>
      <color indexed="12"/>
      <name val="Palatino Linotype"/>
      <family val="1"/>
      <charset val="204"/>
    </font>
    <font>
      <b/>
      <sz val="13"/>
      <color indexed="14"/>
      <name val="Palatino Linotype"/>
      <family val="1"/>
      <charset val="204"/>
    </font>
    <font>
      <b/>
      <sz val="14"/>
      <color indexed="61"/>
      <name val="Palatino Linotype"/>
      <family val="1"/>
      <charset val="204"/>
    </font>
    <font>
      <b/>
      <sz val="15"/>
      <color indexed="12"/>
      <name val="Palatino Linotype"/>
      <family val="1"/>
      <charset val="204"/>
    </font>
    <font>
      <sz val="8"/>
      <color indexed="81"/>
      <name val="Tahoma"/>
      <family val="2"/>
    </font>
    <font>
      <sz val="16"/>
      <color indexed="10"/>
      <name val="Palatino Linotype"/>
      <family val="1"/>
      <charset val="204"/>
    </font>
    <font>
      <sz val="16"/>
      <color indexed="63"/>
      <name val="Palatino Linotype"/>
      <family val="1"/>
      <charset val="204"/>
    </font>
    <font>
      <sz val="14"/>
      <color indexed="10"/>
      <name val="Palatino Linotype"/>
      <family val="1"/>
      <charset val="204"/>
    </font>
    <font>
      <b/>
      <sz val="17"/>
      <name val="Palatino Linotype"/>
      <family val="1"/>
      <charset val="204"/>
    </font>
    <font>
      <sz val="10"/>
      <name val="Arial Cyr"/>
      <family val="2"/>
      <charset val="204"/>
    </font>
    <font>
      <sz val="16"/>
      <color indexed="8"/>
      <name val="Palatino Linotype"/>
      <family val="1"/>
      <charset val="204"/>
    </font>
    <font>
      <b/>
      <sz val="16"/>
      <color theme="0"/>
      <name val="Palatino Linotype"/>
      <family val="1"/>
      <charset val="204"/>
    </font>
    <font>
      <sz val="10"/>
      <name val="Arial Cyr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</fills>
  <borders count="1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64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64"/>
      </bottom>
      <diagonal/>
    </border>
    <border>
      <left style="hair">
        <color indexed="8"/>
      </left>
      <right/>
      <top style="thin">
        <color indexed="8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 style="thin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hair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/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29" fillId="0" borderId="0" applyFont="0" applyFill="0" applyBorder="0" applyAlignment="0" applyProtection="0"/>
  </cellStyleXfs>
  <cellXfs count="145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/>
    <xf numFmtId="4" fontId="5" fillId="2" borderId="3" xfId="1" applyNumberFormat="1" applyFont="1" applyFill="1" applyBorder="1" applyProtection="1">
      <protection locked="0"/>
    </xf>
    <xf numFmtId="4" fontId="2" fillId="0" borderId="0" xfId="0" applyNumberFormat="1" applyFont="1"/>
    <xf numFmtId="4" fontId="6" fillId="0" borderId="3" xfId="0" applyNumberFormat="1" applyFont="1" applyBorder="1"/>
    <xf numFmtId="4" fontId="0" fillId="0" borderId="0" xfId="0" applyNumberFormat="1"/>
    <xf numFmtId="4" fontId="9" fillId="0" borderId="0" xfId="0" applyNumberFormat="1" applyFont="1"/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4" fontId="0" fillId="0" borderId="0" xfId="0" applyNumberForma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4" fontId="2" fillId="0" borderId="9" xfId="0" applyNumberFormat="1" applyFont="1" applyBorder="1"/>
    <xf numFmtId="4" fontId="9" fillId="3" borderId="10" xfId="0" applyNumberFormat="1" applyFont="1" applyFill="1" applyBorder="1"/>
    <xf numFmtId="4" fontId="5" fillId="2" borderId="11" xfId="1" applyNumberFormat="1" applyFont="1" applyFill="1" applyBorder="1" applyProtection="1">
      <protection locked="0"/>
    </xf>
    <xf numFmtId="4" fontId="2" fillId="0" borderId="12" xfId="0" applyNumberFormat="1" applyFont="1" applyBorder="1"/>
    <xf numFmtId="0" fontId="14" fillId="0" borderId="0" xfId="0" applyFont="1"/>
    <xf numFmtId="4" fontId="14" fillId="0" borderId="0" xfId="0" applyNumberFormat="1" applyFont="1"/>
    <xf numFmtId="0" fontId="8" fillId="0" borderId="0" xfId="0" applyFon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4" fontId="2" fillId="0" borderId="16" xfId="0" applyNumberFormat="1" applyFont="1" applyBorder="1"/>
    <xf numFmtId="0" fontId="2" fillId="0" borderId="0" xfId="0" applyFont="1" applyBorder="1"/>
    <xf numFmtId="4" fontId="2" fillId="0" borderId="0" xfId="0" applyNumberFormat="1" applyFont="1" applyBorder="1"/>
    <xf numFmtId="4" fontId="5" fillId="2" borderId="16" xfId="1" applyNumberFormat="1" applyFont="1" applyFill="1" applyBorder="1" applyProtection="1">
      <protection locked="0"/>
    </xf>
    <xf numFmtId="4" fontId="0" fillId="0" borderId="17" xfId="0" applyNumberFormat="1" applyBorder="1"/>
    <xf numFmtId="4" fontId="0" fillId="0" borderId="3" xfId="0" applyNumberFormat="1" applyBorder="1"/>
    <xf numFmtId="0" fontId="0" fillId="0" borderId="0" xfId="0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0" fillId="0" borderId="0" xfId="0" applyAlignment="1"/>
    <xf numFmtId="0" fontId="23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49" fontId="36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4" fontId="37" fillId="0" borderId="0" xfId="0" applyNumberFormat="1" applyFont="1"/>
    <xf numFmtId="4" fontId="0" fillId="0" borderId="10" xfId="0" applyNumberFormat="1" applyBorder="1"/>
    <xf numFmtId="4" fontId="8" fillId="0" borderId="0" xfId="0" applyNumberFormat="1" applyFont="1"/>
    <xf numFmtId="4" fontId="0" fillId="0" borderId="13" xfId="0" applyNumberFormat="1" applyBorder="1"/>
    <xf numFmtId="4" fontId="9" fillId="4" borderId="20" xfId="0" applyNumberFormat="1" applyFont="1" applyFill="1" applyBorder="1"/>
    <xf numFmtId="0" fontId="16" fillId="0" borderId="21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38" fillId="0" borderId="0" xfId="0" applyFont="1" applyAlignment="1">
      <alignment horizontal="center" wrapText="1"/>
    </xf>
    <xf numFmtId="0" fontId="39" fillId="0" borderId="18" xfId="0" applyFont="1" applyBorder="1" applyAlignment="1">
      <alignment horizontal="center"/>
    </xf>
    <xf numFmtId="4" fontId="43" fillId="0" borderId="17" xfId="0" applyNumberFormat="1" applyFont="1" applyBorder="1"/>
    <xf numFmtId="4" fontId="27" fillId="0" borderId="23" xfId="0" applyNumberFormat="1" applyFont="1" applyBorder="1" applyAlignment="1">
      <alignment vertical="top" wrapText="1"/>
    </xf>
    <xf numFmtId="0" fontId="39" fillId="0" borderId="19" xfId="0" applyFont="1" applyBorder="1" applyAlignment="1">
      <alignment horizontal="center"/>
    </xf>
    <xf numFmtId="4" fontId="43" fillId="0" borderId="3" xfId="0" applyNumberFormat="1" applyFont="1" applyBorder="1"/>
    <xf numFmtId="0" fontId="39" fillId="0" borderId="24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42" fillId="0" borderId="0" xfId="0" applyFont="1" applyBorder="1" applyAlignment="1">
      <alignment vertical="top" wrapText="1"/>
    </xf>
    <xf numFmtId="4" fontId="44" fillId="0" borderId="0" xfId="0" applyNumberFormat="1" applyFont="1" applyBorder="1"/>
    <xf numFmtId="4" fontId="44" fillId="0" borderId="0" xfId="0" applyNumberFormat="1" applyFont="1" applyBorder="1" applyAlignment="1">
      <alignment vertical="top" wrapText="1"/>
    </xf>
    <xf numFmtId="0" fontId="39" fillId="0" borderId="0" xfId="0" applyFont="1" applyAlignment="1">
      <alignment horizontal="center"/>
    </xf>
    <xf numFmtId="0" fontId="39" fillId="0" borderId="0" xfId="0" applyFont="1" applyBorder="1"/>
    <xf numFmtId="4" fontId="37" fillId="0" borderId="0" xfId="0" applyNumberFormat="1" applyFont="1" applyBorder="1"/>
    <xf numFmtId="0" fontId="45" fillId="0" borderId="0" xfId="0" applyFont="1"/>
    <xf numFmtId="4" fontId="39" fillId="0" borderId="17" xfId="0" applyNumberFormat="1" applyFont="1" applyBorder="1" applyAlignment="1">
      <alignment vertical="top" wrapText="1"/>
    </xf>
    <xf numFmtId="4" fontId="39" fillId="0" borderId="23" xfId="0" applyNumberFormat="1" applyFont="1" applyBorder="1" applyAlignment="1">
      <alignment vertical="top" wrapText="1"/>
    </xf>
    <xf numFmtId="4" fontId="39" fillId="0" borderId="3" xfId="0" applyNumberFormat="1" applyFont="1" applyBorder="1" applyAlignment="1">
      <alignment vertical="top" wrapText="1"/>
    </xf>
    <xf numFmtId="4" fontId="39" fillId="0" borderId="25" xfId="0" applyNumberFormat="1" applyFont="1" applyBorder="1" applyAlignment="1">
      <alignment vertical="top" wrapText="1"/>
    </xf>
    <xf numFmtId="4" fontId="39" fillId="0" borderId="22" xfId="0" applyNumberFormat="1" applyFont="1" applyBorder="1" applyAlignment="1">
      <alignment vertical="top" wrapText="1"/>
    </xf>
    <xf numFmtId="4" fontId="38" fillId="0" borderId="20" xfId="0" applyNumberFormat="1" applyFont="1" applyBorder="1" applyAlignment="1">
      <alignment vertical="top" wrapText="1"/>
    </xf>
    <xf numFmtId="4" fontId="38" fillId="0" borderId="26" xfId="0" applyNumberFormat="1" applyFont="1" applyBorder="1" applyAlignment="1">
      <alignment vertical="top" wrapText="1"/>
    </xf>
    <xf numFmtId="0" fontId="39" fillId="0" borderId="0" xfId="0" applyFont="1"/>
    <xf numFmtId="166" fontId="46" fillId="0" borderId="0" xfId="0" applyNumberFormat="1" applyFont="1"/>
    <xf numFmtId="0" fontId="46" fillId="0" borderId="0" xfId="0" applyFont="1"/>
    <xf numFmtId="0" fontId="16" fillId="0" borderId="0" xfId="0" applyFont="1" applyBorder="1" applyAlignment="1">
      <alignment vertical="center" wrapText="1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4" fontId="2" fillId="0" borderId="17" xfId="0" applyNumberFormat="1" applyFont="1" applyBorder="1"/>
    <xf numFmtId="4" fontId="2" fillId="0" borderId="23" xfId="0" applyNumberFormat="1" applyFont="1" applyBorder="1"/>
    <xf numFmtId="4" fontId="2" fillId="0" borderId="3" xfId="0" applyNumberFormat="1" applyFont="1" applyBorder="1"/>
    <xf numFmtId="4" fontId="2" fillId="0" borderId="25" xfId="0" applyNumberFormat="1" applyFont="1" applyBorder="1"/>
    <xf numFmtId="4" fontId="46" fillId="0" borderId="0" xfId="0" applyNumberFormat="1" applyFont="1"/>
    <xf numFmtId="4" fontId="0" fillId="0" borderId="25" xfId="0" applyNumberFormat="1" applyBorder="1"/>
    <xf numFmtId="0" fontId="28" fillId="0" borderId="0" xfId="0" applyFont="1" applyAlignment="1">
      <alignment horizontal="right"/>
    </xf>
    <xf numFmtId="0" fontId="23" fillId="4" borderId="27" xfId="0" applyFont="1" applyFill="1" applyBorder="1" applyAlignment="1">
      <alignment horizontal="center"/>
    </xf>
    <xf numFmtId="4" fontId="44" fillId="4" borderId="20" xfId="0" applyNumberFormat="1" applyFont="1" applyFill="1" applyBorder="1"/>
    <xf numFmtId="4" fontId="44" fillId="4" borderId="26" xfId="0" applyNumberFormat="1" applyFont="1" applyFill="1" applyBorder="1" applyAlignment="1">
      <alignment vertical="top" wrapText="1"/>
    </xf>
    <xf numFmtId="4" fontId="44" fillId="4" borderId="20" xfId="0" applyNumberFormat="1" applyFont="1" applyFill="1" applyBorder="1" applyAlignment="1">
      <alignment horizontal="right"/>
    </xf>
    <xf numFmtId="4" fontId="44" fillId="4" borderId="26" xfId="0" applyNumberFormat="1" applyFont="1" applyFill="1" applyBorder="1" applyAlignment="1">
      <alignment horizontal="right" wrapText="1"/>
    </xf>
    <xf numFmtId="0" fontId="2" fillId="0" borderId="24" xfId="0" applyFont="1" applyBorder="1" applyAlignment="1">
      <alignment horizontal="center"/>
    </xf>
    <xf numFmtId="4" fontId="2" fillId="0" borderId="21" xfId="0" applyNumberFormat="1" applyFont="1" applyBorder="1"/>
    <xf numFmtId="4" fontId="2" fillId="0" borderId="22" xfId="0" applyNumberFormat="1" applyFont="1" applyBorder="1"/>
    <xf numFmtId="4" fontId="18" fillId="3" borderId="20" xfId="0" applyNumberFormat="1" applyFont="1" applyFill="1" applyBorder="1"/>
    <xf numFmtId="0" fontId="53" fillId="0" borderId="0" xfId="0" applyFont="1"/>
    <xf numFmtId="0" fontId="30" fillId="0" borderId="0" xfId="0" applyFont="1"/>
    <xf numFmtId="4" fontId="2" fillId="4" borderId="28" xfId="0" applyNumberFormat="1" applyFont="1" applyFill="1" applyBorder="1"/>
    <xf numFmtId="4" fontId="2" fillId="4" borderId="29" xfId="0" applyNumberFormat="1" applyFont="1" applyFill="1" applyBorder="1"/>
    <xf numFmtId="4" fontId="2" fillId="4" borderId="28" xfId="0" applyNumberFormat="1" applyFont="1" applyFill="1" applyBorder="1" applyAlignment="1">
      <alignment vertical="center"/>
    </xf>
    <xf numFmtId="4" fontId="5" fillId="4" borderId="28" xfId="1" applyNumberFormat="1" applyFont="1" applyFill="1" applyBorder="1" applyAlignment="1" applyProtection="1">
      <alignment vertical="center"/>
      <protection locked="0"/>
    </xf>
    <xf numFmtId="4" fontId="35" fillId="3" borderId="10" xfId="0" applyNumberFormat="1" applyFont="1" applyFill="1" applyBorder="1"/>
    <xf numFmtId="4" fontId="35" fillId="4" borderId="10" xfId="0" applyNumberFormat="1" applyFont="1" applyFill="1" applyBorder="1"/>
    <xf numFmtId="0" fontId="39" fillId="4" borderId="27" xfId="0" applyFont="1" applyFill="1" applyBorder="1" applyAlignment="1">
      <alignment horizontal="center"/>
    </xf>
    <xf numFmtId="0" fontId="49" fillId="0" borderId="0" xfId="0" applyFont="1" applyAlignment="1">
      <alignment horizontal="center" vertical="center"/>
    </xf>
    <xf numFmtId="0" fontId="49" fillId="0" borderId="24" xfId="0" applyFont="1" applyBorder="1" applyAlignment="1">
      <alignment horizontal="center" vertical="center"/>
    </xf>
    <xf numFmtId="0" fontId="49" fillId="0" borderId="21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0" xfId="0" applyFont="1" applyBorder="1"/>
    <xf numFmtId="0" fontId="56" fillId="0" borderId="0" xfId="0" applyFont="1" applyBorder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4" fontId="17" fillId="0" borderId="0" xfId="0" applyNumberFormat="1" applyFont="1" applyBorder="1" applyAlignment="1">
      <alignment horizontal="right" vertical="center"/>
    </xf>
    <xf numFmtId="0" fontId="13" fillId="0" borderId="0" xfId="0" applyFont="1"/>
    <xf numFmtId="4" fontId="13" fillId="0" borderId="0" xfId="0" applyNumberFormat="1" applyFont="1"/>
    <xf numFmtId="168" fontId="2" fillId="0" borderId="0" xfId="0" applyNumberFormat="1" applyFont="1"/>
    <xf numFmtId="3" fontId="13" fillId="0" borderId="0" xfId="0" applyNumberFormat="1" applyFont="1"/>
    <xf numFmtId="0" fontId="2" fillId="0" borderId="30" xfId="0" applyFont="1" applyBorder="1" applyAlignment="1">
      <alignment horizontal="center"/>
    </xf>
    <xf numFmtId="4" fontId="2" fillId="0" borderId="38" xfId="0" applyNumberFormat="1" applyFont="1" applyBorder="1"/>
    <xf numFmtId="0" fontId="48" fillId="0" borderId="0" xfId="0" applyFont="1"/>
    <xf numFmtId="4" fontId="48" fillId="0" borderId="0" xfId="0" applyNumberFormat="1" applyFont="1"/>
    <xf numFmtId="0" fontId="8" fillId="0" borderId="3" xfId="0" applyFont="1" applyBorder="1"/>
    <xf numFmtId="167" fontId="0" fillId="0" borderId="0" xfId="0" applyNumberFormat="1"/>
    <xf numFmtId="0" fontId="39" fillId="0" borderId="24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4" fontId="39" fillId="0" borderId="3" xfId="0" applyNumberFormat="1" applyFont="1" applyBorder="1" applyAlignment="1">
      <alignment horizontal="right" vertical="center" wrapText="1"/>
    </xf>
    <xf numFmtId="4" fontId="39" fillId="0" borderId="0" xfId="0" applyNumberFormat="1" applyFont="1"/>
    <xf numFmtId="0" fontId="39" fillId="0" borderId="39" xfId="0" applyFont="1" applyBorder="1" applyAlignment="1">
      <alignment horizontal="center" vertical="center"/>
    </xf>
    <xf numFmtId="4" fontId="39" fillId="0" borderId="11" xfId="0" applyNumberFormat="1" applyFont="1" applyBorder="1" applyAlignment="1">
      <alignment horizontal="right" vertical="center" wrapText="1"/>
    </xf>
    <xf numFmtId="0" fontId="39" fillId="0" borderId="18" xfId="0" applyFont="1" applyBorder="1"/>
    <xf numFmtId="0" fontId="39" fillId="0" borderId="19" xfId="0" applyFont="1" applyBorder="1"/>
    <xf numFmtId="0" fontId="39" fillId="0" borderId="24" xfId="0" applyFont="1" applyBorder="1"/>
    <xf numFmtId="4" fontId="38" fillId="0" borderId="0" xfId="0" applyNumberFormat="1" applyFont="1" applyBorder="1" applyAlignment="1">
      <alignment vertical="top" wrapText="1"/>
    </xf>
    <xf numFmtId="0" fontId="43" fillId="0" borderId="19" xfId="0" applyFont="1" applyBorder="1" applyAlignment="1">
      <alignment horizontal="center"/>
    </xf>
    <xf numFmtId="0" fontId="43" fillId="2" borderId="3" xfId="0" applyFont="1" applyFill="1" applyBorder="1" applyAlignment="1">
      <alignment vertical="center" wrapText="1"/>
    </xf>
    <xf numFmtId="0" fontId="43" fillId="0" borderId="3" xfId="0" applyFont="1" applyBorder="1" applyAlignment="1">
      <alignment horizontal="left" wrapText="1"/>
    </xf>
    <xf numFmtId="0" fontId="43" fillId="0" borderId="18" xfId="0" applyFont="1" applyBorder="1" applyAlignment="1">
      <alignment horizontal="center" vertical="center"/>
    </xf>
    <xf numFmtId="0" fontId="43" fillId="0" borderId="19" xfId="0" applyFont="1" applyBorder="1" applyAlignment="1">
      <alignment horizontal="center" vertical="center"/>
    </xf>
    <xf numFmtId="0" fontId="25" fillId="0" borderId="0" xfId="0" applyFont="1" applyBorder="1"/>
    <xf numFmtId="0" fontId="64" fillId="0" borderId="0" xfId="0" applyFont="1"/>
    <xf numFmtId="0" fontId="65" fillId="0" borderId="0" xfId="0" applyFont="1"/>
    <xf numFmtId="4" fontId="63" fillId="0" borderId="44" xfId="0" applyNumberFormat="1" applyFont="1" applyBorder="1" applyAlignment="1"/>
    <xf numFmtId="0" fontId="63" fillId="0" borderId="44" xfId="0" applyFont="1" applyBorder="1" applyAlignment="1"/>
    <xf numFmtId="0" fontId="63" fillId="0" borderId="44" xfId="0" applyFont="1" applyBorder="1" applyAlignment="1">
      <alignment horizontal="right" vertical="center"/>
    </xf>
    <xf numFmtId="0" fontId="32" fillId="0" borderId="0" xfId="0" applyFont="1" applyBorder="1" applyAlignment="1">
      <alignment vertical="center" wrapText="1"/>
    </xf>
    <xf numFmtId="0" fontId="32" fillId="0" borderId="0" xfId="0" applyFont="1" applyBorder="1" applyAlignment="1">
      <alignment horizontal="right" vertical="center" wrapText="1"/>
    </xf>
    <xf numFmtId="0" fontId="32" fillId="0" borderId="0" xfId="0" applyFont="1" applyBorder="1" applyAlignment="1">
      <alignment horizontal="center" vertical="center"/>
    </xf>
    <xf numFmtId="3" fontId="49" fillId="0" borderId="21" xfId="0" applyNumberFormat="1" applyFont="1" applyBorder="1" applyAlignment="1">
      <alignment horizontal="center" vertical="center"/>
    </xf>
    <xf numFmtId="4" fontId="18" fillId="4" borderId="20" xfId="0" applyNumberFormat="1" applyFont="1" applyFill="1" applyBorder="1"/>
    <xf numFmtId="4" fontId="51" fillId="4" borderId="20" xfId="1" applyNumberFormat="1" applyFont="1" applyFill="1" applyBorder="1" applyAlignment="1" applyProtection="1">
      <alignment vertical="center"/>
      <protection locked="0"/>
    </xf>
    <xf numFmtId="4" fontId="50" fillId="4" borderId="20" xfId="1" applyNumberFormat="1" applyFont="1" applyFill="1" applyBorder="1" applyProtection="1">
      <protection locked="0"/>
    </xf>
    <xf numFmtId="4" fontId="44" fillId="3" borderId="26" xfId="0" applyNumberFormat="1" applyFont="1" applyFill="1" applyBorder="1" applyAlignment="1">
      <alignment vertical="top" wrapText="1"/>
    </xf>
    <xf numFmtId="0" fontId="49" fillId="0" borderId="45" xfId="0" applyFont="1" applyBorder="1" applyAlignment="1">
      <alignment horizontal="center"/>
    </xf>
    <xf numFmtId="0" fontId="41" fillId="0" borderId="46" xfId="0" applyFont="1" applyBorder="1" applyAlignment="1">
      <alignment horizontal="center" wrapText="1"/>
    </xf>
    <xf numFmtId="0" fontId="38" fillId="0" borderId="47" xfId="0" applyFont="1" applyBorder="1" applyAlignment="1">
      <alignment horizontal="center" vertical="center" wrapText="1"/>
    </xf>
    <xf numFmtId="4" fontId="31" fillId="4" borderId="20" xfId="0" applyNumberFormat="1" applyFont="1" applyFill="1" applyBorder="1"/>
    <xf numFmtId="4" fontId="39" fillId="0" borderId="9" xfId="0" applyNumberFormat="1" applyFont="1" applyBorder="1" applyAlignment="1">
      <alignment horizontal="right" vertical="center" wrapText="1"/>
    </xf>
    <xf numFmtId="0" fontId="39" fillId="0" borderId="48" xfId="0" applyFont="1" applyBorder="1" applyAlignment="1">
      <alignment horizontal="center" vertical="center"/>
    </xf>
    <xf numFmtId="4" fontId="18" fillId="0" borderId="20" xfId="0" applyNumberFormat="1" applyFont="1" applyFill="1" applyBorder="1"/>
    <xf numFmtId="4" fontId="44" fillId="4" borderId="49" xfId="0" applyNumberFormat="1" applyFont="1" applyFill="1" applyBorder="1"/>
    <xf numFmtId="4" fontId="44" fillId="4" borderId="10" xfId="0" applyNumberFormat="1" applyFont="1" applyFill="1" applyBorder="1" applyAlignment="1">
      <alignment vertical="top" wrapText="1"/>
    </xf>
    <xf numFmtId="0" fontId="66" fillId="0" borderId="0" xfId="0" applyFont="1" applyBorder="1"/>
    <xf numFmtId="0" fontId="0" fillId="0" borderId="50" xfId="0" applyBorder="1" applyAlignment="1">
      <alignment horizontal="center"/>
    </xf>
    <xf numFmtId="4" fontId="15" fillId="0" borderId="51" xfId="0" applyNumberFormat="1" applyFont="1" applyBorder="1" applyAlignment="1">
      <alignment horizontal="center"/>
    </xf>
    <xf numFmtId="0" fontId="22" fillId="0" borderId="52" xfId="0" applyFont="1" applyBorder="1" applyAlignment="1">
      <alignment horizontal="center" vertical="center" wrapText="1"/>
    </xf>
    <xf numFmtId="0" fontId="8" fillId="0" borderId="54" xfId="0" applyFont="1" applyBorder="1"/>
    <xf numFmtId="4" fontId="21" fillId="0" borderId="0" xfId="0" applyNumberFormat="1" applyFont="1"/>
    <xf numFmtId="0" fontId="26" fillId="0" borderId="0" xfId="0" applyFont="1" applyAlignment="1">
      <alignment wrapText="1"/>
    </xf>
    <xf numFmtId="4" fontId="35" fillId="0" borderId="0" xfId="0" applyNumberFormat="1" applyFont="1" applyFill="1" applyBorder="1"/>
    <xf numFmtId="49" fontId="0" fillId="0" borderId="0" xfId="0" applyNumberFormat="1" applyAlignment="1">
      <alignment wrapText="1" shrinkToFit="1"/>
    </xf>
    <xf numFmtId="4" fontId="2" fillId="0" borderId="33" xfId="0" applyNumberFormat="1" applyFont="1" applyBorder="1"/>
    <xf numFmtId="4" fontId="2" fillId="0" borderId="55" xfId="0" applyNumberFormat="1" applyFont="1" applyBorder="1"/>
    <xf numFmtId="4" fontId="2" fillId="0" borderId="56" xfId="0" applyNumberFormat="1" applyFont="1" applyBorder="1"/>
    <xf numFmtId="4" fontId="2" fillId="0" borderId="57" xfId="0" applyNumberFormat="1" applyFont="1" applyBorder="1"/>
    <xf numFmtId="4" fontId="2" fillId="4" borderId="58" xfId="0" applyNumberFormat="1" applyFont="1" applyFill="1" applyBorder="1" applyAlignment="1">
      <alignment vertical="center"/>
    </xf>
    <xf numFmtId="4" fontId="18" fillId="3" borderId="28" xfId="0" applyNumberFormat="1" applyFont="1" applyFill="1" applyBorder="1"/>
    <xf numFmtId="4" fontId="5" fillId="4" borderId="28" xfId="1" applyNumberFormat="1" applyFont="1" applyFill="1" applyBorder="1" applyProtection="1">
      <protection locked="0"/>
    </xf>
    <xf numFmtId="0" fontId="49" fillId="0" borderId="59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60" xfId="0" applyFont="1" applyBorder="1"/>
    <xf numFmtId="4" fontId="18" fillId="4" borderId="26" xfId="0" applyNumberFormat="1" applyFont="1" applyFill="1" applyBorder="1"/>
    <xf numFmtId="0" fontId="39" fillId="0" borderId="18" xfId="0" applyFont="1" applyBorder="1" applyAlignment="1">
      <alignment horizontal="center" vertical="center"/>
    </xf>
    <xf numFmtId="0" fontId="49" fillId="0" borderId="61" xfId="0" applyFont="1" applyBorder="1" applyAlignment="1">
      <alignment horizontal="center"/>
    </xf>
    <xf numFmtId="0" fontId="49" fillId="0" borderId="62" xfId="0" applyFont="1" applyBorder="1" applyAlignment="1">
      <alignment horizontal="center"/>
    </xf>
    <xf numFmtId="10" fontId="0" fillId="0" borderId="0" xfId="0" applyNumberFormat="1"/>
    <xf numFmtId="165" fontId="8" fillId="0" borderId="13" xfId="1" applyFont="1" applyBorder="1"/>
    <xf numFmtId="3" fontId="14" fillId="0" borderId="0" xfId="0" applyNumberFormat="1" applyFont="1"/>
    <xf numFmtId="0" fontId="2" fillId="0" borderId="48" xfId="0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4" fontId="2" fillId="0" borderId="42" xfId="0" applyNumberFormat="1" applyFont="1" applyBorder="1"/>
    <xf numFmtId="4" fontId="2" fillId="0" borderId="64" xfId="0" applyNumberFormat="1" applyFont="1" applyBorder="1"/>
    <xf numFmtId="4" fontId="28" fillId="0" borderId="3" xfId="0" applyNumberFormat="1" applyFont="1" applyBorder="1" applyAlignment="1">
      <alignment horizontal="right" vertical="center"/>
    </xf>
    <xf numFmtId="4" fontId="28" fillId="0" borderId="3" xfId="0" applyNumberFormat="1" applyFont="1" applyBorder="1"/>
    <xf numFmtId="0" fontId="23" fillId="0" borderId="3" xfId="0" applyFont="1" applyBorder="1"/>
    <xf numFmtId="4" fontId="28" fillId="0" borderId="17" xfId="0" applyNumberFormat="1" applyFont="1" applyBorder="1" applyAlignment="1">
      <alignment horizontal="right" vertical="center"/>
    </xf>
    <xf numFmtId="4" fontId="28" fillId="0" borderId="17" xfId="0" applyNumberFormat="1" applyFont="1" applyBorder="1"/>
    <xf numFmtId="3" fontId="18" fillId="4" borderId="20" xfId="0" applyNumberFormat="1" applyFont="1" applyFill="1" applyBorder="1" applyAlignment="1">
      <alignment horizontal="right" vertical="center"/>
    </xf>
    <xf numFmtId="4" fontId="18" fillId="4" borderId="20" xfId="0" applyNumberFormat="1" applyFont="1" applyFill="1" applyBorder="1" applyAlignment="1">
      <alignment horizontal="right" vertical="center"/>
    </xf>
    <xf numFmtId="0" fontId="55" fillId="4" borderId="20" xfId="0" applyFont="1" applyFill="1" applyBorder="1"/>
    <xf numFmtId="4" fontId="54" fillId="4" borderId="26" xfId="0" applyNumberFormat="1" applyFont="1" applyFill="1" applyBorder="1" applyAlignment="1">
      <alignment horizontal="right" vertical="center"/>
    </xf>
    <xf numFmtId="0" fontId="23" fillId="0" borderId="3" xfId="0" applyFont="1" applyBorder="1" applyAlignment="1">
      <alignment horizontal="right"/>
    </xf>
    <xf numFmtId="4" fontId="18" fillId="3" borderId="20" xfId="0" applyNumberFormat="1" applyFont="1" applyFill="1" applyBorder="1" applyAlignment="1">
      <alignment horizontal="right" vertical="center"/>
    </xf>
    <xf numFmtId="165" fontId="13" fillId="0" borderId="0" xfId="1" applyFont="1"/>
    <xf numFmtId="0" fontId="32" fillId="0" borderId="3" xfId="0" applyFont="1" applyBorder="1" applyAlignment="1">
      <alignment vertical="top" wrapText="1"/>
    </xf>
    <xf numFmtId="0" fontId="32" fillId="0" borderId="17" xfId="0" applyFont="1" applyBorder="1" applyAlignment="1">
      <alignment vertical="top" wrapText="1"/>
    </xf>
    <xf numFmtId="0" fontId="23" fillId="0" borderId="17" xfId="0" applyFont="1" applyBorder="1"/>
    <xf numFmtId="0" fontId="2" fillId="0" borderId="66" xfId="0" applyFont="1" applyBorder="1"/>
    <xf numFmtId="0" fontId="2" fillId="0" borderId="40" xfId="0" applyFont="1" applyBorder="1" applyAlignment="1">
      <alignment horizontal="center"/>
    </xf>
    <xf numFmtId="4" fontId="43" fillId="0" borderId="0" xfId="0" applyNumberFormat="1" applyFont="1" applyBorder="1" applyAlignment="1">
      <alignment vertical="top" wrapText="1"/>
    </xf>
    <xf numFmtId="4" fontId="43" fillId="0" borderId="23" xfId="0" applyNumberFormat="1" applyFont="1" applyBorder="1" applyAlignment="1">
      <alignment vertical="top" wrapText="1"/>
    </xf>
    <xf numFmtId="0" fontId="2" fillId="0" borderId="0" xfId="0" applyFont="1" applyProtection="1"/>
    <xf numFmtId="0" fontId="2" fillId="0" borderId="0" xfId="0" applyFont="1" applyBorder="1" applyProtection="1"/>
    <xf numFmtId="0" fontId="32" fillId="0" borderId="0" xfId="0" applyFont="1" applyAlignment="1" applyProtection="1"/>
    <xf numFmtId="0" fontId="2" fillId="0" borderId="0" xfId="0" applyFont="1" applyAlignment="1" applyProtection="1"/>
    <xf numFmtId="0" fontId="65" fillId="0" borderId="0" xfId="0" applyFont="1" applyProtection="1"/>
    <xf numFmtId="0" fontId="59" fillId="0" borderId="0" xfId="0" applyFont="1" applyAlignment="1" applyProtection="1">
      <alignment horizontal="center"/>
    </xf>
    <xf numFmtId="0" fontId="0" fillId="0" borderId="0" xfId="0" applyAlignment="1" applyProtection="1"/>
    <xf numFmtId="0" fontId="30" fillId="0" borderId="0" xfId="0" applyFont="1" applyAlignment="1" applyProtection="1"/>
    <xf numFmtId="0" fontId="27" fillId="0" borderId="0" xfId="0" applyFont="1" applyAlignment="1" applyProtection="1">
      <alignment vertical="center"/>
    </xf>
    <xf numFmtId="0" fontId="73" fillId="0" borderId="0" xfId="0" applyFont="1" applyAlignment="1" applyProtection="1">
      <alignment vertical="center"/>
      <protection locked="0"/>
    </xf>
    <xf numFmtId="14" fontId="65" fillId="0" borderId="0" xfId="0" applyNumberFormat="1" applyFont="1" applyProtection="1">
      <protection locked="0"/>
    </xf>
    <xf numFmtId="0" fontId="65" fillId="0" borderId="0" xfId="0" applyFont="1" applyAlignment="1" applyProtection="1">
      <alignment horizontal="right"/>
    </xf>
    <xf numFmtId="0" fontId="65" fillId="0" borderId="1" xfId="0" applyFont="1" applyBorder="1" applyAlignment="1" applyProtection="1">
      <alignment horizontal="center"/>
    </xf>
    <xf numFmtId="14" fontId="2" fillId="0" borderId="0" xfId="0" applyNumberFormat="1" applyFont="1" applyBorder="1" applyProtection="1"/>
    <xf numFmtId="20" fontId="2" fillId="0" borderId="0" xfId="0" applyNumberFormat="1" applyFont="1" applyBorder="1" applyAlignment="1" applyProtection="1">
      <alignment horizontal="left"/>
    </xf>
    <xf numFmtId="0" fontId="65" fillId="0" borderId="2" xfId="0" applyFont="1" applyBorder="1" applyAlignment="1" applyProtection="1">
      <alignment horizontal="center"/>
    </xf>
    <xf numFmtId="0" fontId="65" fillId="0" borderId="67" xfId="0" applyFont="1" applyBorder="1" applyAlignment="1" applyProtection="1">
      <alignment horizontal="center"/>
    </xf>
    <xf numFmtId="0" fontId="65" fillId="0" borderId="68" xfId="0" applyFont="1" applyBorder="1" applyAlignment="1" applyProtection="1">
      <alignment horizontal="center"/>
    </xf>
    <xf numFmtId="0" fontId="65" fillId="0" borderId="69" xfId="0" applyFont="1" applyBorder="1" applyAlignment="1" applyProtection="1">
      <alignment horizontal="center"/>
    </xf>
    <xf numFmtId="164" fontId="2" fillId="0" borderId="0" xfId="0" applyNumberFormat="1" applyFont="1" applyBorder="1" applyProtection="1"/>
    <xf numFmtId="0" fontId="0" fillId="0" borderId="0" xfId="0" applyProtection="1"/>
    <xf numFmtId="0" fontId="30" fillId="4" borderId="70" xfId="0" applyFont="1" applyFill="1" applyBorder="1" applyProtection="1"/>
    <xf numFmtId="0" fontId="65" fillId="4" borderId="10" xfId="0" applyFont="1" applyFill="1" applyBorder="1" applyProtection="1"/>
    <xf numFmtId="3" fontId="65" fillId="0" borderId="10" xfId="0" applyNumberFormat="1" applyFont="1" applyBorder="1" applyAlignment="1" applyProtection="1">
      <alignment horizontal="right"/>
      <protection locked="0"/>
    </xf>
    <xf numFmtId="3" fontId="65" fillId="4" borderId="10" xfId="0" applyNumberFormat="1" applyFont="1" applyFill="1" applyBorder="1" applyAlignment="1" applyProtection="1">
      <alignment horizontal="right"/>
    </xf>
    <xf numFmtId="3" fontId="65" fillId="0" borderId="52" xfId="0" applyNumberFormat="1" applyFont="1" applyBorder="1" applyAlignment="1" applyProtection="1">
      <alignment horizontal="right"/>
      <protection locked="0"/>
    </xf>
    <xf numFmtId="3" fontId="65" fillId="4" borderId="71" xfId="0" applyNumberFormat="1" applyFont="1" applyFill="1" applyBorder="1" applyAlignment="1" applyProtection="1">
      <alignment horizontal="right"/>
    </xf>
    <xf numFmtId="0" fontId="30" fillId="4" borderId="72" xfId="0" applyFont="1" applyFill="1" applyBorder="1" applyProtection="1"/>
    <xf numFmtId="0" fontId="65" fillId="4" borderId="46" xfId="0" applyFont="1" applyFill="1" applyBorder="1" applyProtection="1"/>
    <xf numFmtId="3" fontId="65" fillId="0" borderId="46" xfId="0" applyNumberFormat="1" applyFont="1" applyBorder="1" applyAlignment="1" applyProtection="1">
      <alignment horizontal="right"/>
      <protection locked="0"/>
    </xf>
    <xf numFmtId="3" fontId="65" fillId="0" borderId="41" xfId="0" applyNumberFormat="1" applyFont="1" applyBorder="1" applyAlignment="1" applyProtection="1">
      <alignment horizontal="right"/>
      <protection locked="0"/>
    </xf>
    <xf numFmtId="3" fontId="63" fillId="4" borderId="68" xfId="0" applyNumberFormat="1" applyFont="1" applyFill="1" applyBorder="1" applyAlignment="1" applyProtection="1">
      <alignment horizontal="right"/>
    </xf>
    <xf numFmtId="3" fontId="63" fillId="4" borderId="69" xfId="0" applyNumberFormat="1" applyFont="1" applyFill="1" applyBorder="1" applyAlignment="1" applyProtection="1">
      <alignment horizontal="right"/>
    </xf>
    <xf numFmtId="0" fontId="65" fillId="2" borderId="10" xfId="0" applyFont="1" applyFill="1" applyBorder="1" applyProtection="1">
      <protection locked="0"/>
    </xf>
    <xf numFmtId="0" fontId="27" fillId="4" borderId="70" xfId="0" applyFont="1" applyFill="1" applyBorder="1" applyAlignment="1" applyProtection="1">
      <alignment horizontal="center"/>
    </xf>
    <xf numFmtId="0" fontId="27" fillId="4" borderId="10" xfId="0" applyFont="1" applyFill="1" applyBorder="1" applyAlignment="1" applyProtection="1">
      <alignment horizontal="left" wrapText="1"/>
    </xf>
    <xf numFmtId="0" fontId="27" fillId="4" borderId="10" xfId="0" applyFont="1" applyFill="1" applyBorder="1" applyAlignment="1" applyProtection="1">
      <alignment vertical="top" wrapText="1"/>
    </xf>
    <xf numFmtId="0" fontId="27" fillId="4" borderId="72" xfId="0" applyFont="1" applyFill="1" applyBorder="1" applyAlignment="1" applyProtection="1">
      <alignment horizontal="center"/>
    </xf>
    <xf numFmtId="0" fontId="27" fillId="4" borderId="46" xfId="0" applyFont="1" applyFill="1" applyBorder="1" applyAlignment="1" applyProtection="1">
      <alignment vertical="top" wrapText="1"/>
    </xf>
    <xf numFmtId="0" fontId="27" fillId="4" borderId="52" xfId="0" applyFont="1" applyFill="1" applyBorder="1" applyAlignment="1" applyProtection="1">
      <alignment vertical="top" wrapText="1"/>
    </xf>
    <xf numFmtId="3" fontId="65" fillId="2" borderId="10" xfId="0" applyNumberFormat="1" applyFont="1" applyFill="1" applyBorder="1" applyAlignment="1" applyProtection="1">
      <alignment horizontal="right"/>
      <protection locked="0"/>
    </xf>
    <xf numFmtId="3" fontId="74" fillId="2" borderId="52" xfId="0" applyNumberFormat="1" applyFont="1" applyFill="1" applyBorder="1" applyAlignment="1" applyProtection="1">
      <alignment horizontal="right"/>
      <protection locked="0"/>
    </xf>
    <xf numFmtId="3" fontId="74" fillId="2" borderId="10" xfId="1" applyNumberFormat="1" applyFont="1" applyFill="1" applyBorder="1" applyAlignment="1" applyProtection="1">
      <alignment horizontal="right"/>
      <protection locked="0"/>
    </xf>
    <xf numFmtId="0" fontId="27" fillId="4" borderId="41" xfId="0" applyFont="1" applyFill="1" applyBorder="1" applyAlignment="1" applyProtection="1">
      <alignment vertical="top" wrapText="1"/>
    </xf>
    <xf numFmtId="3" fontId="65" fillId="2" borderId="46" xfId="0" applyNumberFormat="1" applyFont="1" applyFill="1" applyBorder="1" applyAlignment="1" applyProtection="1">
      <alignment horizontal="right"/>
      <protection locked="0"/>
    </xf>
    <xf numFmtId="3" fontId="74" fillId="2" borderId="41" xfId="0" applyNumberFormat="1" applyFont="1" applyFill="1" applyBorder="1" applyAlignment="1" applyProtection="1">
      <alignment horizontal="right"/>
      <protection locked="0"/>
    </xf>
    <xf numFmtId="0" fontId="27" fillId="4" borderId="73" xfId="0" applyFont="1" applyFill="1" applyBorder="1" applyAlignment="1" applyProtection="1">
      <alignment horizontal="center"/>
    </xf>
    <xf numFmtId="0" fontId="27" fillId="4" borderId="74" xfId="0" applyFont="1" applyFill="1" applyBorder="1" applyAlignment="1" applyProtection="1">
      <alignment horizontal="center"/>
    </xf>
    <xf numFmtId="3" fontId="74" fillId="2" borderId="46" xfId="1" applyNumberFormat="1" applyFont="1" applyFill="1" applyBorder="1" applyAlignment="1" applyProtection="1">
      <alignment horizontal="right"/>
      <protection locked="0"/>
    </xf>
    <xf numFmtId="0" fontId="65" fillId="0" borderId="0" xfId="0" applyFont="1" applyProtection="1">
      <protection locked="0"/>
    </xf>
    <xf numFmtId="0" fontId="2" fillId="0" borderId="0" xfId="0" applyFont="1" applyProtection="1">
      <protection locked="0"/>
    </xf>
    <xf numFmtId="4" fontId="0" fillId="2" borderId="0" xfId="0" applyNumberFormat="1" applyFill="1"/>
    <xf numFmtId="4" fontId="66" fillId="0" borderId="0" xfId="0" applyNumberFormat="1" applyFont="1"/>
    <xf numFmtId="4" fontId="67" fillId="2" borderId="0" xfId="0" applyNumberFormat="1" applyFont="1" applyFill="1"/>
    <xf numFmtId="0" fontId="45" fillId="0" borderId="0" xfId="0" applyFont="1" applyBorder="1"/>
    <xf numFmtId="0" fontId="38" fillId="0" borderId="0" xfId="0" applyFont="1" applyBorder="1" applyAlignment="1">
      <alignment horizontal="center"/>
    </xf>
    <xf numFmtId="0" fontId="78" fillId="0" borderId="0" xfId="0" applyFont="1" applyBorder="1"/>
    <xf numFmtId="0" fontId="77" fillId="0" borderId="0" xfId="0" applyFont="1" applyBorder="1" applyAlignment="1">
      <alignment horizontal="center" wrapText="1"/>
    </xf>
    <xf numFmtId="0" fontId="79" fillId="0" borderId="0" xfId="0" applyFont="1" applyBorder="1" applyAlignment="1">
      <alignment horizontal="center" wrapText="1"/>
    </xf>
    <xf numFmtId="0" fontId="77" fillId="0" borderId="75" xfId="0" applyFont="1" applyBorder="1" applyAlignment="1">
      <alignment horizontal="center" vertical="center" wrapText="1"/>
    </xf>
    <xf numFmtId="0" fontId="77" fillId="0" borderId="76" xfId="0" applyFont="1" applyBorder="1" applyAlignment="1">
      <alignment horizontal="center" vertical="center" wrapText="1"/>
    </xf>
    <xf numFmtId="0" fontId="45" fillId="5" borderId="0" xfId="0" applyFont="1" applyFill="1" applyBorder="1"/>
    <xf numFmtId="0" fontId="78" fillId="0" borderId="77" xfId="0" applyFont="1" applyBorder="1"/>
    <xf numFmtId="0" fontId="79" fillId="0" borderId="0" xfId="0" applyFont="1" applyBorder="1" applyAlignment="1">
      <alignment horizontal="center"/>
    </xf>
    <xf numFmtId="0" fontId="77" fillId="0" borderId="0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26" fillId="0" borderId="78" xfId="0" applyFont="1" applyBorder="1" applyAlignment="1">
      <alignment horizontal="center"/>
    </xf>
    <xf numFmtId="0" fontId="26" fillId="0" borderId="79" xfId="0" applyFont="1" applyBorder="1" applyAlignment="1">
      <alignment vertical="top" wrapText="1"/>
    </xf>
    <xf numFmtId="3" fontId="26" fillId="0" borderId="79" xfId="0" applyNumberFormat="1" applyFont="1" applyBorder="1" applyAlignment="1">
      <alignment vertical="top"/>
    </xf>
    <xf numFmtId="0" fontId="25" fillId="0" borderId="80" xfId="0" applyFont="1" applyBorder="1"/>
    <xf numFmtId="3" fontId="26" fillId="5" borderId="81" xfId="2" applyNumberFormat="1" applyFont="1" applyFill="1" applyBorder="1" applyAlignment="1" applyProtection="1">
      <alignment horizontal="right"/>
      <protection locked="0"/>
    </xf>
    <xf numFmtId="4" fontId="26" fillId="0" borderId="82" xfId="0" applyNumberFormat="1" applyFont="1" applyBorder="1" applyAlignment="1">
      <alignment vertical="top"/>
    </xf>
    <xf numFmtId="0" fontId="26" fillId="0" borderId="83" xfId="0" applyFont="1" applyBorder="1" applyAlignment="1">
      <alignment horizontal="center"/>
    </xf>
    <xf numFmtId="0" fontId="26" fillId="0" borderId="84" xfId="0" applyFont="1" applyBorder="1" applyAlignment="1">
      <alignment vertical="top" wrapText="1"/>
    </xf>
    <xf numFmtId="3" fontId="26" fillId="0" borderId="84" xfId="0" applyNumberFormat="1" applyFont="1" applyBorder="1" applyAlignment="1">
      <alignment vertical="top"/>
    </xf>
    <xf numFmtId="0" fontId="25" fillId="0" borderId="85" xfId="0" applyFont="1" applyBorder="1"/>
    <xf numFmtId="3" fontId="26" fillId="5" borderId="84" xfId="2" applyNumberFormat="1" applyFont="1" applyFill="1" applyBorder="1" applyAlignment="1" applyProtection="1">
      <alignment horizontal="right"/>
      <protection locked="0"/>
    </xf>
    <xf numFmtId="4" fontId="26" fillId="0" borderId="86" xfId="0" applyNumberFormat="1" applyFont="1" applyBorder="1" applyAlignment="1">
      <alignment vertical="top"/>
    </xf>
    <xf numFmtId="0" fontId="26" fillId="0" borderId="87" xfId="0" applyFont="1" applyBorder="1" applyAlignment="1">
      <alignment horizontal="center"/>
    </xf>
    <xf numFmtId="0" fontId="26" fillId="0" borderId="88" xfId="0" applyFont="1" applyBorder="1" applyAlignment="1">
      <alignment vertical="top" wrapText="1"/>
    </xf>
    <xf numFmtId="3" fontId="26" fillId="0" borderId="88" xfId="0" applyNumberFormat="1" applyFont="1" applyBorder="1" applyAlignment="1">
      <alignment vertical="top"/>
    </xf>
    <xf numFmtId="0" fontId="25" fillId="0" borderId="89" xfId="0" applyFont="1" applyBorder="1"/>
    <xf numFmtId="3" fontId="26" fillId="5" borderId="90" xfId="2" applyNumberFormat="1" applyFont="1" applyFill="1" applyBorder="1" applyAlignment="1" applyProtection="1">
      <alignment horizontal="right"/>
      <protection locked="0"/>
    </xf>
    <xf numFmtId="4" fontId="26" fillId="0" borderId="91" xfId="0" applyNumberFormat="1" applyFont="1" applyBorder="1" applyAlignment="1">
      <alignment vertical="top"/>
    </xf>
    <xf numFmtId="3" fontId="18" fillId="0" borderId="92" xfId="0" applyNumberFormat="1" applyFont="1" applyBorder="1" applyAlignment="1">
      <alignment vertical="top" wrapText="1"/>
    </xf>
    <xf numFmtId="3" fontId="18" fillId="0" borderId="93" xfId="0" applyNumberFormat="1" applyFont="1" applyBorder="1" applyAlignment="1">
      <alignment vertical="top" wrapText="1"/>
    </xf>
    <xf numFmtId="3" fontId="18" fillId="0" borderId="94" xfId="0" applyNumberFormat="1" applyFont="1" applyBorder="1" applyAlignment="1">
      <alignment vertical="top" wrapText="1"/>
    </xf>
    <xf numFmtId="0" fontId="81" fillId="0" borderId="95" xfId="0" applyFont="1" applyBorder="1"/>
    <xf numFmtId="3" fontId="18" fillId="0" borderId="96" xfId="0" applyNumberFormat="1" applyFont="1" applyBorder="1"/>
    <xf numFmtId="4" fontId="18" fillId="0" borderId="97" xfId="0" applyNumberFormat="1" applyFont="1" applyBorder="1" applyAlignment="1">
      <alignment vertical="top"/>
    </xf>
    <xf numFmtId="0" fontId="25" fillId="0" borderId="50" xfId="0" applyFont="1" applyBorder="1"/>
    <xf numFmtId="0" fontId="25" fillId="0" borderId="98" xfId="0" applyFont="1" applyBorder="1"/>
    <xf numFmtId="3" fontId="26" fillId="0" borderId="99" xfId="0" applyNumberFormat="1" applyFont="1" applyBorder="1" applyAlignment="1" applyProtection="1">
      <alignment horizontal="right"/>
      <protection locked="0"/>
    </xf>
    <xf numFmtId="4" fontId="26" fillId="0" borderId="100" xfId="0" applyNumberFormat="1" applyFont="1" applyBorder="1" applyAlignment="1">
      <alignment vertical="top"/>
    </xf>
    <xf numFmtId="3" fontId="26" fillId="0" borderId="84" xfId="0" applyNumberFormat="1" applyFont="1" applyBorder="1" applyAlignment="1" applyProtection="1">
      <alignment horizontal="right"/>
      <protection locked="0"/>
    </xf>
    <xf numFmtId="4" fontId="26" fillId="0" borderId="101" xfId="0" applyNumberFormat="1" applyFont="1" applyBorder="1" applyAlignment="1">
      <alignment vertical="top"/>
    </xf>
    <xf numFmtId="3" fontId="26" fillId="0" borderId="88" xfId="0" applyNumberFormat="1" applyFont="1" applyBorder="1" applyAlignment="1" applyProtection="1">
      <alignment horizontal="right"/>
      <protection locked="0"/>
    </xf>
    <xf numFmtId="4" fontId="26" fillId="0" borderId="102" xfId="0" applyNumberFormat="1" applyFont="1" applyBorder="1" applyAlignment="1">
      <alignment vertical="top"/>
    </xf>
    <xf numFmtId="3" fontId="18" fillId="0" borderId="103" xfId="0" applyNumberFormat="1" applyFont="1" applyBorder="1" applyAlignment="1">
      <alignment horizontal="right" vertical="center" wrapText="1"/>
    </xf>
    <xf numFmtId="3" fontId="18" fillId="0" borderId="104" xfId="0" applyNumberFormat="1" applyFont="1" applyBorder="1" applyAlignment="1">
      <alignment horizontal="right" vertical="center" wrapText="1"/>
    </xf>
    <xf numFmtId="3" fontId="18" fillId="0" borderId="105" xfId="0" applyNumberFormat="1" applyFont="1" applyBorder="1" applyAlignment="1">
      <alignment horizontal="right" vertical="center" wrapText="1"/>
    </xf>
    <xf numFmtId="3" fontId="81" fillId="0" borderId="106" xfId="0" applyNumberFormat="1" applyFont="1" applyBorder="1"/>
    <xf numFmtId="4" fontId="18" fillId="0" borderId="10" xfId="0" applyNumberFormat="1" applyFont="1" applyBorder="1" applyAlignment="1">
      <alignment vertical="top"/>
    </xf>
    <xf numFmtId="3" fontId="26" fillId="0" borderId="79" xfId="0" applyNumberFormat="1" applyFont="1" applyBorder="1" applyAlignment="1" applyProtection="1">
      <alignment horizontal="right"/>
      <protection locked="0"/>
    </xf>
    <xf numFmtId="4" fontId="26" fillId="0" borderId="107" xfId="0" applyNumberFormat="1" applyFont="1" applyBorder="1" applyAlignment="1">
      <alignment vertical="top"/>
    </xf>
    <xf numFmtId="0" fontId="26" fillId="5" borderId="84" xfId="0" applyFont="1" applyFill="1" applyBorder="1" applyAlignment="1">
      <alignment vertical="top" wrapText="1"/>
    </xf>
    <xf numFmtId="0" fontId="26" fillId="5" borderId="88" xfId="0" applyFont="1" applyFill="1" applyBorder="1" applyAlignment="1">
      <alignment vertical="top" wrapText="1"/>
    </xf>
    <xf numFmtId="4" fontId="18" fillId="0" borderId="95" xfId="0" applyNumberFormat="1" applyFont="1" applyBorder="1" applyAlignment="1">
      <alignment horizontal="right" vertical="center" wrapText="1"/>
    </xf>
    <xf numFmtId="4" fontId="18" fillId="0" borderId="108" xfId="0" applyNumberFormat="1" applyFont="1" applyBorder="1" applyAlignment="1">
      <alignment horizontal="right" vertical="center" wrapText="1"/>
    </xf>
    <xf numFmtId="0" fontId="26" fillId="5" borderId="79" xfId="0" applyFont="1" applyFill="1" applyBorder="1" applyAlignment="1">
      <alignment horizontal="left" wrapText="1"/>
    </xf>
    <xf numFmtId="0" fontId="25" fillId="0" borderId="109" xfId="0" applyFont="1" applyBorder="1"/>
    <xf numFmtId="0" fontId="26" fillId="0" borderId="84" xfId="0" applyFont="1" applyBorder="1" applyAlignment="1">
      <alignment horizontal="left" wrapText="1"/>
    </xf>
    <xf numFmtId="3" fontId="18" fillId="0" borderId="103" xfId="0" applyNumberFormat="1" applyFont="1" applyBorder="1" applyAlignment="1">
      <alignment vertical="top" wrapText="1"/>
    </xf>
    <xf numFmtId="3" fontId="18" fillId="0" borderId="105" xfId="0" applyNumberFormat="1" applyFont="1" applyBorder="1" applyAlignment="1">
      <alignment vertical="top" wrapText="1"/>
    </xf>
    <xf numFmtId="0" fontId="81" fillId="0" borderId="77" xfId="0" applyFont="1" applyBorder="1"/>
    <xf numFmtId="3" fontId="81" fillId="0" borderId="47" xfId="0" applyNumberFormat="1" applyFont="1" applyBorder="1"/>
    <xf numFmtId="0" fontId="26" fillId="5" borderId="79" xfId="0" applyFont="1" applyFill="1" applyBorder="1" applyAlignment="1">
      <alignment vertical="top" wrapText="1"/>
    </xf>
    <xf numFmtId="4" fontId="26" fillId="0" borderId="110" xfId="0" applyNumberFormat="1" applyFont="1" applyBorder="1" applyAlignment="1">
      <alignment vertical="top"/>
    </xf>
    <xf numFmtId="0" fontId="81" fillId="0" borderId="111" xfId="0" applyFont="1" applyBorder="1"/>
    <xf numFmtId="3" fontId="18" fillId="0" borderId="47" xfId="0" applyNumberFormat="1" applyFont="1" applyBorder="1"/>
    <xf numFmtId="4" fontId="18" fillId="0" borderId="47" xfId="0" applyNumberFormat="1" applyFont="1" applyBorder="1" applyAlignment="1">
      <alignment vertical="top"/>
    </xf>
    <xf numFmtId="0" fontId="22" fillId="0" borderId="0" xfId="0" applyFont="1" applyBorder="1" applyAlignment="1">
      <alignment horizontal="center" vertical="top" wrapText="1"/>
    </xf>
    <xf numFmtId="4" fontId="18" fillId="0" borderId="0" xfId="0" applyNumberFormat="1" applyFont="1" applyBorder="1" applyAlignment="1">
      <alignment vertical="top" wrapText="1"/>
    </xf>
    <xf numFmtId="0" fontId="22" fillId="5" borderId="112" xfId="0" applyFont="1" applyFill="1" applyBorder="1" applyAlignment="1">
      <alignment vertical="top" wrapText="1"/>
    </xf>
    <xf numFmtId="3" fontId="18" fillId="0" borderId="112" xfId="0" applyNumberFormat="1" applyFont="1" applyBorder="1" applyAlignment="1">
      <alignment vertical="top" wrapText="1"/>
    </xf>
    <xf numFmtId="0" fontId="81" fillId="0" borderId="10" xfId="0" applyFont="1" applyBorder="1"/>
    <xf numFmtId="3" fontId="18" fillId="0" borderId="10" xfId="0" applyNumberFormat="1" applyFont="1" applyBorder="1"/>
    <xf numFmtId="0" fontId="26" fillId="0" borderId="0" xfId="0" applyFont="1" applyBorder="1" applyAlignment="1">
      <alignment horizontal="center"/>
    </xf>
    <xf numFmtId="0" fontId="18" fillId="5" borderId="0" xfId="0" applyFont="1" applyFill="1" applyBorder="1" applyAlignment="1">
      <alignment vertical="top" wrapText="1"/>
    </xf>
    <xf numFmtId="3" fontId="18" fillId="0" borderId="0" xfId="0" applyNumberFormat="1" applyFont="1" applyBorder="1" applyAlignment="1">
      <alignment vertical="top" wrapText="1"/>
    </xf>
    <xf numFmtId="3" fontId="18" fillId="0" borderId="113" xfId="0" applyNumberFormat="1" applyFont="1" applyBorder="1" applyAlignment="1">
      <alignment vertical="top" wrapText="1"/>
    </xf>
    <xf numFmtId="3" fontId="18" fillId="0" borderId="114" xfId="0" applyNumberFormat="1" applyFont="1" applyBorder="1" applyAlignment="1">
      <alignment vertical="top" wrapText="1"/>
    </xf>
    <xf numFmtId="3" fontId="81" fillId="0" borderId="10" xfId="0" applyNumberFormat="1" applyFont="1" applyBorder="1"/>
    <xf numFmtId="0" fontId="26" fillId="0" borderId="0" xfId="0" applyFont="1" applyBorder="1"/>
    <xf numFmtId="0" fontId="16" fillId="0" borderId="88" xfId="0" applyFont="1" applyBorder="1" applyAlignment="1">
      <alignment horizontal="center" vertical="center" wrapText="1"/>
    </xf>
    <xf numFmtId="0" fontId="0" fillId="2" borderId="0" xfId="0" applyFill="1"/>
    <xf numFmtId="4" fontId="31" fillId="4" borderId="20" xfId="0" applyNumberFormat="1" applyFont="1" applyFill="1" applyBorder="1" applyAlignment="1">
      <alignment vertical="top" wrapText="1"/>
    </xf>
    <xf numFmtId="4" fontId="43" fillId="0" borderId="17" xfId="0" applyNumberFormat="1" applyFont="1" applyBorder="1" applyAlignment="1">
      <alignment vertical="top" wrapText="1"/>
    </xf>
    <xf numFmtId="4" fontId="43" fillId="0" borderId="3" xfId="0" applyNumberFormat="1" applyFont="1" applyBorder="1" applyAlignment="1">
      <alignment vertical="top" wrapText="1"/>
    </xf>
    <xf numFmtId="4" fontId="44" fillId="4" borderId="21" xfId="0" applyNumberFormat="1" applyFont="1" applyFill="1" applyBorder="1"/>
    <xf numFmtId="4" fontId="44" fillId="4" borderId="22" xfId="0" applyNumberFormat="1" applyFont="1" applyFill="1" applyBorder="1" applyAlignment="1">
      <alignment vertical="top" wrapText="1"/>
    </xf>
    <xf numFmtId="4" fontId="44" fillId="4" borderId="21" xfId="0" applyNumberFormat="1" applyFont="1" applyFill="1" applyBorder="1" applyAlignment="1">
      <alignment horizontal="right"/>
    </xf>
    <xf numFmtId="4" fontId="44" fillId="4" borderId="22" xfId="0" applyNumberFormat="1" applyFont="1" applyFill="1" applyBorder="1" applyAlignment="1">
      <alignment horizontal="right" wrapText="1"/>
    </xf>
    <xf numFmtId="4" fontId="66" fillId="2" borderId="0" xfId="0" applyNumberFormat="1" applyFont="1" applyFill="1"/>
    <xf numFmtId="4" fontId="10" fillId="0" borderId="3" xfId="0" applyNumberFormat="1" applyFont="1" applyBorder="1"/>
    <xf numFmtId="0" fontId="66" fillId="0" borderId="0" xfId="0" applyFont="1"/>
    <xf numFmtId="0" fontId="67" fillId="0" borderId="0" xfId="0" applyFont="1"/>
    <xf numFmtId="4" fontId="67" fillId="0" borderId="0" xfId="0" applyNumberFormat="1" applyFont="1"/>
    <xf numFmtId="0" fontId="84" fillId="0" borderId="0" xfId="0" applyFont="1"/>
    <xf numFmtId="0" fontId="60" fillId="0" borderId="0" xfId="0" applyFont="1"/>
    <xf numFmtId="0" fontId="60" fillId="0" borderId="0" xfId="0" applyFont="1" applyBorder="1"/>
    <xf numFmtId="4" fontId="2" fillId="0" borderId="10" xfId="0" applyNumberFormat="1" applyFont="1" applyBorder="1"/>
    <xf numFmtId="0" fontId="32" fillId="0" borderId="3" xfId="0" applyFont="1" applyBorder="1" applyAlignment="1">
      <alignment horizontal="left" vertical="center" wrapText="1"/>
    </xf>
    <xf numFmtId="0" fontId="66" fillId="0" borderId="0" xfId="0" applyFont="1" applyAlignment="1">
      <alignment horizontal="left" vertical="center"/>
    </xf>
    <xf numFmtId="4" fontId="49" fillId="0" borderId="0" xfId="0" applyNumberFormat="1" applyFont="1"/>
    <xf numFmtId="0" fontId="0" fillId="0" borderId="0" xfId="0" applyFill="1" applyBorder="1"/>
    <xf numFmtId="4" fontId="72" fillId="3" borderId="26" xfId="0" applyNumberFormat="1" applyFont="1" applyFill="1" applyBorder="1" applyAlignment="1">
      <alignment vertical="top" wrapText="1"/>
    </xf>
    <xf numFmtId="0" fontId="31" fillId="0" borderId="0" xfId="0" applyFont="1" applyBorder="1" applyAlignment="1">
      <alignment horizontal="center"/>
    </xf>
    <xf numFmtId="0" fontId="31" fillId="0" borderId="10" xfId="0" applyFont="1" applyBorder="1" applyAlignment="1">
      <alignment horizontal="center" vertical="center"/>
    </xf>
    <xf numFmtId="0" fontId="43" fillId="0" borderId="18" xfId="0" applyFont="1" applyBorder="1" applyAlignment="1">
      <alignment vertical="center"/>
    </xf>
    <xf numFmtId="0" fontId="92" fillId="0" borderId="0" xfId="0" applyFont="1"/>
    <xf numFmtId="0" fontId="93" fillId="0" borderId="0" xfId="0" applyFont="1"/>
    <xf numFmtId="166" fontId="93" fillId="0" borderId="0" xfId="0" applyNumberFormat="1" applyFont="1"/>
    <xf numFmtId="0" fontId="62" fillId="0" borderId="17" xfId="0" applyFont="1" applyBorder="1"/>
    <xf numFmtId="4" fontId="38" fillId="4" borderId="21" xfId="0" applyNumberFormat="1" applyFont="1" applyFill="1" applyBorder="1" applyAlignment="1">
      <alignment horizontal="right" vertical="center" wrapText="1"/>
    </xf>
    <xf numFmtId="4" fontId="39" fillId="0" borderId="0" xfId="0" applyNumberFormat="1" applyFont="1" applyBorder="1" applyAlignment="1">
      <alignment vertical="top" wrapText="1"/>
    </xf>
    <xf numFmtId="4" fontId="39" fillId="0" borderId="115" xfId="0" applyNumberFormat="1" applyFont="1" applyBorder="1" applyAlignment="1">
      <alignment vertical="top" wrapText="1"/>
    </xf>
    <xf numFmtId="4" fontId="39" fillId="0" borderId="43" xfId="0" applyNumberFormat="1" applyFont="1" applyBorder="1" applyAlignment="1">
      <alignment vertical="top" wrapText="1"/>
    </xf>
    <xf numFmtId="4" fontId="38" fillId="0" borderId="21" xfId="0" applyNumberFormat="1" applyFont="1" applyBorder="1" applyAlignment="1">
      <alignment vertical="top" wrapText="1"/>
    </xf>
    <xf numFmtId="4" fontId="38" fillId="0" borderId="22" xfId="0" applyNumberFormat="1" applyFont="1" applyBorder="1" applyAlignment="1">
      <alignment vertical="top" wrapText="1"/>
    </xf>
    <xf numFmtId="4" fontId="38" fillId="4" borderId="21" xfId="0" applyNumberFormat="1" applyFont="1" applyFill="1" applyBorder="1" applyAlignment="1">
      <alignment vertical="top" wrapText="1"/>
    </xf>
    <xf numFmtId="4" fontId="38" fillId="4" borderId="22" xfId="0" applyNumberFormat="1" applyFont="1" applyFill="1" applyBorder="1" applyAlignment="1">
      <alignment vertical="top" wrapText="1"/>
    </xf>
    <xf numFmtId="4" fontId="38" fillId="4" borderId="21" xfId="0" applyNumberFormat="1" applyFont="1" applyFill="1" applyBorder="1" applyAlignment="1">
      <alignment vertical="center" wrapText="1"/>
    </xf>
    <xf numFmtId="4" fontId="38" fillId="4" borderId="22" xfId="0" applyNumberFormat="1" applyFont="1" applyFill="1" applyBorder="1" applyAlignment="1">
      <alignment vertical="center" wrapText="1"/>
    </xf>
    <xf numFmtId="4" fontId="39" fillId="0" borderId="38" xfId="0" applyNumberFormat="1" applyFont="1" applyBorder="1" applyAlignment="1">
      <alignment horizontal="center" vertical="center" wrapText="1"/>
    </xf>
    <xf numFmtId="4" fontId="39" fillId="0" borderId="25" xfId="0" applyNumberFormat="1" applyFont="1" applyBorder="1" applyAlignment="1">
      <alignment horizontal="center" vertical="center" wrapText="1"/>
    </xf>
    <xf numFmtId="4" fontId="38" fillId="4" borderId="22" xfId="0" applyNumberFormat="1" applyFont="1" applyFill="1" applyBorder="1" applyAlignment="1">
      <alignment horizontal="center" vertical="center" wrapText="1"/>
    </xf>
    <xf numFmtId="4" fontId="38" fillId="4" borderId="10" xfId="0" applyNumberFormat="1" applyFont="1" applyFill="1" applyBorder="1" applyAlignment="1">
      <alignment vertical="center" wrapText="1"/>
    </xf>
    <xf numFmtId="4" fontId="38" fillId="4" borderId="10" xfId="0" applyNumberFormat="1" applyFont="1" applyFill="1" applyBorder="1" applyAlignment="1">
      <alignment horizontal="right" vertical="center" wrapText="1"/>
    </xf>
    <xf numFmtId="0" fontId="27" fillId="0" borderId="11" xfId="0" applyFont="1" applyBorder="1" applyAlignment="1">
      <alignment horizontal="center" vertical="center" wrapText="1"/>
    </xf>
    <xf numFmtId="0" fontId="37" fillId="0" borderId="27" xfId="0" applyFont="1" applyBorder="1" applyAlignment="1">
      <alignment horizontal="center" vertical="center"/>
    </xf>
    <xf numFmtId="0" fontId="95" fillId="0" borderId="20" xfId="0" applyFont="1" applyBorder="1" applyAlignment="1">
      <alignment horizontal="center" vertical="center" wrapText="1"/>
    </xf>
    <xf numFmtId="0" fontId="46" fillId="0" borderId="26" xfId="0" applyFont="1" applyBorder="1" applyAlignment="1">
      <alignment horizontal="center" vertical="center" wrapText="1"/>
    </xf>
    <xf numFmtId="0" fontId="46" fillId="0" borderId="27" xfId="0" applyFont="1" applyBorder="1" applyAlignment="1">
      <alignment horizontal="center" vertical="center"/>
    </xf>
    <xf numFmtId="0" fontId="0" fillId="0" borderId="0" xfId="0" applyAlignment="1">
      <alignment vertical="center"/>
    </xf>
    <xf numFmtId="4" fontId="18" fillId="4" borderId="21" xfId="0" applyNumberFormat="1" applyFont="1" applyFill="1" applyBorder="1" applyAlignment="1">
      <alignment horizontal="right" vertical="center" wrapText="1"/>
    </xf>
    <xf numFmtId="4" fontId="18" fillId="4" borderId="22" xfId="0" applyNumberFormat="1" applyFont="1" applyFill="1" applyBorder="1" applyAlignment="1">
      <alignment horizontal="right" vertical="center" wrapText="1"/>
    </xf>
    <xf numFmtId="4" fontId="38" fillId="0" borderId="21" xfId="0" applyNumberFormat="1" applyFont="1" applyBorder="1" applyAlignment="1">
      <alignment horizontal="right" vertical="center" wrapText="1"/>
    </xf>
    <xf numFmtId="0" fontId="38" fillId="0" borderId="0" xfId="0" applyFont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 wrapText="1"/>
    </xf>
    <xf numFmtId="0" fontId="41" fillId="0" borderId="60" xfId="0" applyFont="1" applyBorder="1" applyAlignment="1">
      <alignment horizontal="center" wrapText="1"/>
    </xf>
    <xf numFmtId="0" fontId="94" fillId="0" borderId="24" xfId="0" applyFont="1" applyBorder="1" applyAlignment="1">
      <alignment horizontal="center" vertical="center"/>
    </xf>
    <xf numFmtId="0" fontId="94" fillId="0" borderId="21" xfId="0" applyFont="1" applyBorder="1" applyAlignment="1">
      <alignment horizontal="center" vertical="center" wrapText="1"/>
    </xf>
    <xf numFmtId="0" fontId="94" fillId="0" borderId="22" xfId="0" applyFont="1" applyBorder="1" applyAlignment="1">
      <alignment horizontal="center" wrapText="1"/>
    </xf>
    <xf numFmtId="4" fontId="38" fillId="3" borderId="20" xfId="0" applyNumberFormat="1" applyFont="1" applyFill="1" applyBorder="1" applyAlignment="1">
      <alignment vertical="top" wrapText="1"/>
    </xf>
    <xf numFmtId="4" fontId="38" fillId="3" borderId="26" xfId="0" applyNumberFormat="1" applyFont="1" applyFill="1" applyBorder="1" applyAlignment="1">
      <alignment vertical="top" wrapText="1"/>
    </xf>
    <xf numFmtId="4" fontId="97" fillId="0" borderId="0" xfId="0" applyNumberFormat="1" applyFont="1"/>
    <xf numFmtId="0" fontId="38" fillId="0" borderId="0" xfId="0" applyFont="1" applyBorder="1" applyAlignment="1">
      <alignment vertical="center" wrapText="1"/>
    </xf>
    <xf numFmtId="4" fontId="39" fillId="0" borderId="80" xfId="0" applyNumberFormat="1" applyFont="1" applyBorder="1" applyAlignment="1">
      <alignment horizontal="right" wrapText="1"/>
    </xf>
    <xf numFmtId="4" fontId="39" fillId="0" borderId="85" xfId="0" applyNumberFormat="1" applyFont="1" applyBorder="1" applyAlignment="1">
      <alignment horizontal="right" wrapText="1"/>
    </xf>
    <xf numFmtId="0" fontId="39" fillId="0" borderId="19" xfId="0" applyNumberFormat="1" applyFont="1" applyBorder="1" applyAlignment="1">
      <alignment horizontal="center" vertical="center" wrapText="1"/>
    </xf>
    <xf numFmtId="0" fontId="39" fillId="0" borderId="24" xfId="0" applyNumberFormat="1" applyFont="1" applyBorder="1" applyAlignment="1">
      <alignment horizontal="center" vertical="center" wrapText="1"/>
    </xf>
    <xf numFmtId="0" fontId="38" fillId="0" borderId="111" xfId="0" applyFont="1" applyBorder="1" applyAlignment="1">
      <alignment horizontal="center" vertical="center" wrapText="1"/>
    </xf>
    <xf numFmtId="0" fontId="22" fillId="0" borderId="63" xfId="0" applyFont="1" applyBorder="1" applyAlignment="1">
      <alignment horizontal="center" vertical="center"/>
    </xf>
    <xf numFmtId="0" fontId="16" fillId="2" borderId="116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66" fillId="0" borderId="117" xfId="0" applyFont="1" applyBorder="1"/>
    <xf numFmtId="4" fontId="11" fillId="0" borderId="3" xfId="0" applyNumberFormat="1" applyFont="1" applyBorder="1"/>
    <xf numFmtId="4" fontId="7" fillId="3" borderId="3" xfId="0" applyNumberFormat="1" applyFont="1" applyFill="1" applyBorder="1" applyAlignment="1">
      <alignment vertical="center"/>
    </xf>
    <xf numFmtId="0" fontId="6" fillId="0" borderId="3" xfId="0" applyFont="1" applyBorder="1"/>
    <xf numFmtId="4" fontId="71" fillId="0" borderId="3" xfId="0" applyNumberFormat="1" applyFont="1" applyBorder="1"/>
    <xf numFmtId="0" fontId="96" fillId="0" borderId="0" xfId="0" applyFont="1" applyAlignment="1">
      <alignment horizontal="center" vertical="center"/>
    </xf>
    <xf numFmtId="4" fontId="100" fillId="0" borderId="116" xfId="0" applyNumberFormat="1" applyFont="1" applyBorder="1"/>
    <xf numFmtId="0" fontId="26" fillId="0" borderId="39" xfId="0" applyFont="1" applyBorder="1" applyAlignment="1">
      <alignment horizontal="center" vertical="center"/>
    </xf>
    <xf numFmtId="0" fontId="26" fillId="0" borderId="118" xfId="0" applyFont="1" applyBorder="1" applyAlignment="1">
      <alignment horizontal="left" vertical="center" wrapText="1"/>
    </xf>
    <xf numFmtId="4" fontId="100" fillId="0" borderId="3" xfId="0" applyNumberFormat="1" applyFont="1" applyBorder="1"/>
    <xf numFmtId="0" fontId="100" fillId="0" borderId="3" xfId="0" applyFont="1" applyBorder="1"/>
    <xf numFmtId="0" fontId="101" fillId="0" borderId="117" xfId="0" applyFont="1" applyBorder="1"/>
    <xf numFmtId="4" fontId="100" fillId="0" borderId="10" xfId="0" applyNumberFormat="1" applyFont="1" applyBorder="1"/>
    <xf numFmtId="4" fontId="100" fillId="0" borderId="0" xfId="0" applyNumberFormat="1" applyFont="1" applyBorder="1"/>
    <xf numFmtId="4" fontId="100" fillId="0" borderId="51" xfId="0" applyNumberFormat="1" applyFont="1" applyBorder="1"/>
    <xf numFmtId="4" fontId="100" fillId="0" borderId="52" xfId="0" applyNumberFormat="1" applyFont="1" applyBorder="1"/>
    <xf numFmtId="0" fontId="100" fillId="0" borderId="0" xfId="0" applyFont="1" applyBorder="1"/>
    <xf numFmtId="4" fontId="100" fillId="0" borderId="43" xfId="0" applyNumberFormat="1" applyFont="1" applyBorder="1"/>
    <xf numFmtId="4" fontId="101" fillId="0" borderId="3" xfId="0" applyNumberFormat="1" applyFont="1" applyBorder="1"/>
    <xf numFmtId="4" fontId="12" fillId="0" borderId="0" xfId="0" applyNumberFormat="1" applyFont="1"/>
    <xf numFmtId="0" fontId="12" fillId="0" borderId="0" xfId="0" applyFont="1"/>
    <xf numFmtId="0" fontId="26" fillId="0" borderId="19" xfId="0" applyFont="1" applyBorder="1" applyAlignment="1">
      <alignment horizontal="center" vertical="center"/>
    </xf>
    <xf numFmtId="0" fontId="26" fillId="0" borderId="8" xfId="0" applyFont="1" applyBorder="1" applyAlignment="1">
      <alignment horizontal="left" vertical="center" wrapText="1"/>
    </xf>
    <xf numFmtId="4" fontId="100" fillId="0" borderId="116" xfId="0" applyNumberFormat="1" applyFont="1" applyFill="1" applyBorder="1"/>
    <xf numFmtId="4" fontId="100" fillId="0" borderId="3" xfId="0" applyNumberFormat="1" applyFont="1" applyFill="1" applyBorder="1"/>
    <xf numFmtId="4" fontId="100" fillId="0" borderId="3" xfId="0" applyNumberFormat="1" applyFont="1" applyBorder="1" applyAlignment="1">
      <alignment horizontal="center" vertical="center"/>
    </xf>
    <xf numFmtId="4" fontId="69" fillId="3" borderId="116" xfId="0" applyNumberFormat="1" applyFont="1" applyFill="1" applyBorder="1" applyAlignment="1">
      <alignment horizontal="right" vertical="center"/>
    </xf>
    <xf numFmtId="4" fontId="69" fillId="3" borderId="3" xfId="0" applyNumberFormat="1" applyFont="1" applyFill="1" applyBorder="1" applyAlignment="1">
      <alignment horizontal="right" vertical="center"/>
    </xf>
    <xf numFmtId="4" fontId="91" fillId="3" borderId="117" xfId="0" applyNumberFormat="1" applyFont="1" applyFill="1" applyBorder="1" applyAlignment="1">
      <alignment horizontal="right" vertical="center"/>
    </xf>
    <xf numFmtId="4" fontId="69" fillId="3" borderId="51" xfId="0" applyNumberFormat="1" applyFont="1" applyFill="1" applyBorder="1" applyAlignment="1">
      <alignment horizontal="right" vertical="center"/>
    </xf>
    <xf numFmtId="4" fontId="69" fillId="3" borderId="10" xfId="0" applyNumberFormat="1" applyFont="1" applyFill="1" applyBorder="1" applyAlignment="1">
      <alignment horizontal="right" vertical="center"/>
    </xf>
    <xf numFmtId="4" fontId="69" fillId="3" borderId="52" xfId="0" applyNumberFormat="1" applyFont="1" applyFill="1" applyBorder="1" applyAlignment="1">
      <alignment horizontal="right" vertical="center"/>
    </xf>
    <xf numFmtId="4" fontId="69" fillId="3" borderId="70" xfId="0" applyNumberFormat="1" applyFont="1" applyFill="1" applyBorder="1" applyAlignment="1">
      <alignment horizontal="right" vertical="center"/>
    </xf>
    <xf numFmtId="4" fontId="91" fillId="3" borderId="52" xfId="0" applyNumberFormat="1" applyFont="1" applyFill="1" applyBorder="1" applyAlignment="1">
      <alignment horizontal="right" vertical="center"/>
    </xf>
    <xf numFmtId="4" fontId="101" fillId="0" borderId="117" xfId="0" applyNumberFormat="1" applyFont="1" applyBorder="1"/>
    <xf numFmtId="4" fontId="100" fillId="0" borderId="8" xfId="0" applyNumberFormat="1" applyFont="1" applyBorder="1"/>
    <xf numFmtId="4" fontId="100" fillId="0" borderId="119" xfId="0" applyNumberFormat="1" applyFont="1" applyBorder="1"/>
    <xf numFmtId="4" fontId="100" fillId="0" borderId="11" xfId="0" applyNumberFormat="1" applyFont="1" applyBorder="1"/>
    <xf numFmtId="4" fontId="100" fillId="0" borderId="118" xfId="0" applyNumberFormat="1" applyFont="1" applyBorder="1"/>
    <xf numFmtId="4" fontId="69" fillId="3" borderId="73" xfId="0" applyNumberFormat="1" applyFont="1" applyFill="1" applyBorder="1" applyAlignment="1">
      <alignment horizontal="right" vertical="center"/>
    </xf>
    <xf numFmtId="0" fontId="101" fillId="0" borderId="52" xfId="0" applyFont="1" applyBorder="1"/>
    <xf numFmtId="4" fontId="101" fillId="0" borderId="52" xfId="0" applyNumberFormat="1" applyFont="1" applyBorder="1"/>
    <xf numFmtId="4" fontId="100" fillId="0" borderId="3" xfId="0" applyNumberFormat="1" applyFont="1" applyBorder="1" applyAlignment="1">
      <alignment horizontal="right" vertical="center"/>
    </xf>
    <xf numFmtId="4" fontId="101" fillId="0" borderId="117" xfId="0" applyNumberFormat="1" applyFont="1" applyBorder="1" applyAlignment="1">
      <alignment horizontal="right" vertical="center"/>
    </xf>
    <xf numFmtId="0" fontId="18" fillId="0" borderId="8" xfId="0" applyFont="1" applyBorder="1" applyAlignment="1">
      <alignment horizontal="left" vertical="center"/>
    </xf>
    <xf numFmtId="4" fontId="100" fillId="0" borderId="53" xfId="0" applyNumberFormat="1" applyFont="1" applyBorder="1"/>
    <xf numFmtId="4" fontId="100" fillId="0" borderId="9" xfId="0" applyNumberFormat="1" applyFont="1" applyBorder="1"/>
    <xf numFmtId="4" fontId="100" fillId="0" borderId="56" xfId="0" applyNumberFormat="1" applyFont="1" applyBorder="1"/>
    <xf numFmtId="0" fontId="26" fillId="0" borderId="24" xfId="0" applyFont="1" applyBorder="1" applyAlignment="1">
      <alignment horizontal="center" vertical="center"/>
    </xf>
    <xf numFmtId="0" fontId="26" fillId="0" borderId="120" xfId="0" applyFont="1" applyBorder="1" applyAlignment="1">
      <alignment horizontal="left" vertical="center" wrapText="1"/>
    </xf>
    <xf numFmtId="4" fontId="100" fillId="0" borderId="121" xfId="0" applyNumberFormat="1" applyFont="1" applyBorder="1"/>
    <xf numFmtId="4" fontId="100" fillId="0" borderId="21" xfId="0" applyNumberFormat="1" applyFont="1" applyBorder="1"/>
    <xf numFmtId="4" fontId="100" fillId="0" borderId="120" xfId="0" applyNumberFormat="1" applyFont="1" applyBorder="1"/>
    <xf numFmtId="0" fontId="12" fillId="0" borderId="0" xfId="0" applyFont="1" applyBorder="1"/>
    <xf numFmtId="0" fontId="26" fillId="3" borderId="10" xfId="0" applyFont="1" applyFill="1" applyBorder="1" applyAlignment="1">
      <alignment horizontal="center" vertical="center"/>
    </xf>
    <xf numFmtId="0" fontId="18" fillId="3" borderId="52" xfId="0" applyFont="1" applyFill="1" applyBorder="1" applyAlignment="1">
      <alignment horizontal="left" vertical="center" wrapText="1"/>
    </xf>
    <xf numFmtId="4" fontId="69" fillId="3" borderId="116" xfId="0" applyNumberFormat="1" applyFont="1" applyFill="1" applyBorder="1" applyAlignment="1">
      <alignment vertical="center"/>
    </xf>
    <xf numFmtId="4" fontId="69" fillId="3" borderId="3" xfId="0" applyNumberFormat="1" applyFont="1" applyFill="1" applyBorder="1" applyAlignment="1">
      <alignment vertical="center"/>
    </xf>
    <xf numFmtId="4" fontId="91" fillId="3" borderId="117" xfId="0" applyNumberFormat="1" applyFont="1" applyFill="1" applyBorder="1" applyAlignment="1">
      <alignment vertical="center"/>
    </xf>
    <xf numFmtId="4" fontId="69" fillId="3" borderId="51" xfId="0" applyNumberFormat="1" applyFont="1" applyFill="1" applyBorder="1" applyAlignment="1">
      <alignment vertical="center"/>
    </xf>
    <xf numFmtId="4" fontId="69" fillId="3" borderId="10" xfId="0" applyNumberFormat="1" applyFont="1" applyFill="1" applyBorder="1" applyAlignment="1">
      <alignment vertical="center"/>
    </xf>
    <xf numFmtId="4" fontId="69" fillId="3" borderId="52" xfId="0" applyNumberFormat="1" applyFont="1" applyFill="1" applyBorder="1" applyAlignment="1">
      <alignment vertical="center"/>
    </xf>
    <xf numFmtId="4" fontId="91" fillId="3" borderId="52" xfId="0" applyNumberFormat="1" applyFont="1" applyFill="1" applyBorder="1" applyAlignment="1">
      <alignment vertical="center"/>
    </xf>
    <xf numFmtId="0" fontId="18" fillId="0" borderId="56" xfId="0" applyFont="1" applyBorder="1" applyAlignment="1">
      <alignment horizontal="left" vertical="center"/>
    </xf>
    <xf numFmtId="4" fontId="100" fillId="0" borderId="122" xfId="0" applyNumberFormat="1" applyFont="1" applyBorder="1"/>
    <xf numFmtId="4" fontId="100" fillId="0" borderId="123" xfId="0" applyNumberFormat="1" applyFont="1" applyBorder="1"/>
    <xf numFmtId="4" fontId="100" fillId="0" borderId="124" xfId="0" applyNumberFormat="1" applyFont="1" applyBorder="1"/>
    <xf numFmtId="4" fontId="100" fillId="0" borderId="125" xfId="0" applyNumberFormat="1" applyFont="1" applyBorder="1"/>
    <xf numFmtId="4" fontId="100" fillId="0" borderId="126" xfId="0" applyNumberFormat="1" applyFont="1" applyBorder="1"/>
    <xf numFmtId="4" fontId="100" fillId="0" borderId="127" xfId="0" applyNumberFormat="1" applyFont="1" applyBorder="1"/>
    <xf numFmtId="4" fontId="69" fillId="3" borderId="116" xfId="0" applyNumberFormat="1" applyFont="1" applyFill="1" applyBorder="1"/>
    <xf numFmtId="4" fontId="69" fillId="3" borderId="3" xfId="0" applyNumberFormat="1" applyFont="1" applyFill="1" applyBorder="1"/>
    <xf numFmtId="4" fontId="91" fillId="3" borderId="117" xfId="0" applyNumberFormat="1" applyFont="1" applyFill="1" applyBorder="1"/>
    <xf numFmtId="4" fontId="69" fillId="3" borderId="51" xfId="0" applyNumberFormat="1" applyFont="1" applyFill="1" applyBorder="1"/>
    <xf numFmtId="4" fontId="69" fillId="3" borderId="10" xfId="0" applyNumberFormat="1" applyFont="1" applyFill="1" applyBorder="1"/>
    <xf numFmtId="4" fontId="91" fillId="3" borderId="52" xfId="0" applyNumberFormat="1" applyFont="1" applyFill="1" applyBorder="1"/>
    <xf numFmtId="4" fontId="69" fillId="3" borderId="52" xfId="0" applyNumberFormat="1" applyFont="1" applyFill="1" applyBorder="1"/>
    <xf numFmtId="4" fontId="69" fillId="3" borderId="106" xfId="0" applyNumberFormat="1" applyFont="1" applyFill="1" applyBorder="1"/>
    <xf numFmtId="4" fontId="69" fillId="3" borderId="47" xfId="0" applyNumberFormat="1" applyFont="1" applyFill="1" applyBorder="1"/>
    <xf numFmtId="4" fontId="69" fillId="3" borderId="128" xfId="0" applyNumberFormat="1" applyFont="1" applyFill="1" applyBorder="1"/>
    <xf numFmtId="0" fontId="76" fillId="0" borderId="0" xfId="0" applyFont="1"/>
    <xf numFmtId="0" fontId="12" fillId="0" borderId="18" xfId="0" applyFont="1" applyBorder="1" applyAlignment="1">
      <alignment horizontal="center" vertical="center"/>
    </xf>
    <xf numFmtId="0" fontId="35" fillId="0" borderId="33" xfId="0" applyFont="1" applyBorder="1" applyAlignment="1">
      <alignment horizontal="left" vertical="center"/>
    </xf>
    <xf numFmtId="0" fontId="100" fillId="0" borderId="116" xfId="0" applyFont="1" applyBorder="1"/>
    <xf numFmtId="0" fontId="100" fillId="0" borderId="115" xfId="0" applyFont="1" applyBorder="1"/>
    <xf numFmtId="0" fontId="100" fillId="0" borderId="17" xfId="0" applyFont="1" applyBorder="1"/>
    <xf numFmtId="0" fontId="100" fillId="0" borderId="33" xfId="0" applyFont="1" applyBorder="1"/>
    <xf numFmtId="0" fontId="12" fillId="0" borderId="19" xfId="0" applyFont="1" applyBorder="1" applyAlignment="1">
      <alignment horizontal="center" vertical="center"/>
    </xf>
    <xf numFmtId="0" fontId="12" fillId="0" borderId="8" xfId="0" applyFont="1" applyBorder="1" applyAlignment="1">
      <alignment horizontal="left" vertical="center" wrapText="1"/>
    </xf>
    <xf numFmtId="4" fontId="102" fillId="0" borderId="3" xfId="0" applyNumberFormat="1" applyFont="1" applyBorder="1"/>
    <xf numFmtId="0" fontId="12" fillId="0" borderId="24" xfId="0" applyFont="1" applyBorder="1" applyAlignment="1">
      <alignment horizontal="center" vertical="center"/>
    </xf>
    <xf numFmtId="0" fontId="12" fillId="0" borderId="120" xfId="0" applyFont="1" applyBorder="1" applyAlignment="1">
      <alignment horizontal="left" vertical="center" wrapText="1"/>
    </xf>
    <xf numFmtId="0" fontId="76" fillId="3" borderId="10" xfId="0" applyFont="1" applyFill="1" applyBorder="1" applyAlignment="1">
      <alignment horizontal="center" vertical="center"/>
    </xf>
    <xf numFmtId="0" fontId="58" fillId="3" borderId="52" xfId="0" applyFont="1" applyFill="1" applyBorder="1" applyAlignment="1">
      <alignment horizontal="left" vertical="center" wrapText="1"/>
    </xf>
    <xf numFmtId="0" fontId="76" fillId="2" borderId="52" xfId="0" applyFont="1" applyFill="1" applyBorder="1" applyAlignment="1">
      <alignment horizontal="center" vertical="center"/>
    </xf>
    <xf numFmtId="0" fontId="58" fillId="2" borderId="50" xfId="0" applyFont="1" applyFill="1" applyBorder="1" applyAlignment="1">
      <alignment horizontal="left" vertical="center" wrapText="1"/>
    </xf>
    <xf numFmtId="4" fontId="69" fillId="2" borderId="116" xfId="0" applyNumberFormat="1" applyFont="1" applyFill="1" applyBorder="1"/>
    <xf numFmtId="4" fontId="69" fillId="2" borderId="3" xfId="0" applyNumberFormat="1" applyFont="1" applyFill="1" applyBorder="1"/>
    <xf numFmtId="4" fontId="91" fillId="2" borderId="117" xfId="0" applyNumberFormat="1" applyFont="1" applyFill="1" applyBorder="1"/>
    <xf numFmtId="4" fontId="69" fillId="2" borderId="51" xfId="0" applyNumberFormat="1" applyFont="1" applyFill="1" applyBorder="1"/>
    <xf numFmtId="4" fontId="69" fillId="2" borderId="10" xfId="0" applyNumberFormat="1" applyFont="1" applyFill="1" applyBorder="1"/>
    <xf numFmtId="4" fontId="69" fillId="2" borderId="52" xfId="0" applyNumberFormat="1" applyFont="1" applyFill="1" applyBorder="1"/>
    <xf numFmtId="4" fontId="91" fillId="2" borderId="52" xfId="0" applyNumberFormat="1" applyFont="1" applyFill="1" applyBorder="1"/>
    <xf numFmtId="4" fontId="105" fillId="0" borderId="0" xfId="0" applyNumberFormat="1" applyFont="1"/>
    <xf numFmtId="0" fontId="76" fillId="2" borderId="0" xfId="0" applyFont="1" applyFill="1"/>
    <xf numFmtId="4" fontId="69" fillId="3" borderId="129" xfId="0" applyNumberFormat="1" applyFont="1" applyFill="1" applyBorder="1"/>
    <xf numFmtId="4" fontId="69" fillId="3" borderId="130" xfId="0" applyNumberFormat="1" applyFont="1" applyFill="1" applyBorder="1"/>
    <xf numFmtId="4" fontId="91" fillId="3" borderId="131" xfId="0" applyNumberFormat="1" applyFont="1" applyFill="1" applyBorder="1"/>
    <xf numFmtId="4" fontId="103" fillId="3" borderId="3" xfId="0" applyNumberFormat="1" applyFont="1" applyFill="1" applyBorder="1" applyAlignment="1">
      <alignment horizontal="right" vertical="center"/>
    </xf>
    <xf numFmtId="4" fontId="103" fillId="3" borderId="3" xfId="0" applyNumberFormat="1" applyFont="1" applyFill="1" applyBorder="1" applyAlignment="1">
      <alignment vertical="center"/>
    </xf>
    <xf numFmtId="4" fontId="100" fillId="2" borderId="3" xfId="0" applyNumberFormat="1" applyFont="1" applyFill="1" applyBorder="1"/>
    <xf numFmtId="4" fontId="103" fillId="3" borderId="3" xfId="0" applyNumberFormat="1" applyFont="1" applyFill="1" applyBorder="1"/>
    <xf numFmtId="4" fontId="103" fillId="3" borderId="130" xfId="0" applyNumberFormat="1" applyFont="1" applyFill="1" applyBorder="1"/>
    <xf numFmtId="0" fontId="83" fillId="2" borderId="8" xfId="0" applyFont="1" applyFill="1" applyBorder="1" applyAlignment="1">
      <alignment horizontal="center" vertical="center" wrapText="1"/>
    </xf>
    <xf numFmtId="0" fontId="0" fillId="0" borderId="116" xfId="0" applyBorder="1"/>
    <xf numFmtId="0" fontId="67" fillId="0" borderId="3" xfId="0" applyFont="1" applyBorder="1"/>
    <xf numFmtId="0" fontId="14" fillId="0" borderId="3" xfId="0" applyFont="1" applyBorder="1"/>
    <xf numFmtId="4" fontId="101" fillId="0" borderId="117" xfId="0" applyNumberFormat="1" applyFont="1" applyFill="1" applyBorder="1"/>
    <xf numFmtId="4" fontId="100" fillId="2" borderId="116" xfId="0" applyNumberFormat="1" applyFont="1" applyFill="1" applyBorder="1"/>
    <xf numFmtId="4" fontId="100" fillId="6" borderId="116" xfId="0" applyNumberFormat="1" applyFont="1" applyFill="1" applyBorder="1"/>
    <xf numFmtId="4" fontId="100" fillId="6" borderId="3" xfId="0" applyNumberFormat="1" applyFont="1" applyFill="1" applyBorder="1"/>
    <xf numFmtId="0" fontId="67" fillId="0" borderId="117" xfId="0" applyFont="1" applyBorder="1"/>
    <xf numFmtId="0" fontId="102" fillId="0" borderId="3" xfId="0" applyFont="1" applyBorder="1"/>
    <xf numFmtId="0" fontId="8" fillId="0" borderId="116" xfId="0" applyFont="1" applyBorder="1"/>
    <xf numFmtId="0" fontId="84" fillId="0" borderId="117" xfId="0" applyFont="1" applyBorder="1"/>
    <xf numFmtId="4" fontId="100" fillId="0" borderId="116" xfId="0" applyNumberFormat="1" applyFont="1" applyBorder="1" applyAlignment="1">
      <alignment horizontal="center" vertical="center"/>
    </xf>
    <xf numFmtId="4" fontId="105" fillId="0" borderId="3" xfId="0" applyNumberFormat="1" applyFont="1" applyBorder="1"/>
    <xf numFmtId="0" fontId="17" fillId="2" borderId="116" xfId="0" applyFont="1" applyFill="1" applyBorder="1" applyAlignment="1">
      <alignment vertical="center" wrapText="1"/>
    </xf>
    <xf numFmtId="4" fontId="100" fillId="0" borderId="117" xfId="0" applyNumberFormat="1" applyFont="1" applyBorder="1"/>
    <xf numFmtId="4" fontId="107" fillId="3" borderId="51" xfId="0" applyNumberFormat="1" applyFont="1" applyFill="1" applyBorder="1" applyAlignment="1">
      <alignment horizontal="right" vertical="center"/>
    </xf>
    <xf numFmtId="4" fontId="107" fillId="3" borderId="10" xfId="0" applyNumberFormat="1" applyFont="1" applyFill="1" applyBorder="1" applyAlignment="1">
      <alignment horizontal="right" vertical="center"/>
    </xf>
    <xf numFmtId="4" fontId="107" fillId="3" borderId="52" xfId="0" applyNumberFormat="1" applyFont="1" applyFill="1" applyBorder="1" applyAlignment="1">
      <alignment horizontal="right" vertical="center"/>
    </xf>
    <xf numFmtId="4" fontId="107" fillId="3" borderId="70" xfId="0" applyNumberFormat="1" applyFont="1" applyFill="1" applyBorder="1" applyAlignment="1">
      <alignment horizontal="right" vertical="center"/>
    </xf>
    <xf numFmtId="4" fontId="107" fillId="3" borderId="51" xfId="0" applyNumberFormat="1" applyFont="1" applyFill="1" applyBorder="1" applyAlignment="1">
      <alignment vertical="center"/>
    </xf>
    <xf numFmtId="4" fontId="107" fillId="3" borderId="10" xfId="0" applyNumberFormat="1" applyFont="1" applyFill="1" applyBorder="1" applyAlignment="1">
      <alignment vertical="center"/>
    </xf>
    <xf numFmtId="4" fontId="107" fillId="3" borderId="51" xfId="0" applyNumberFormat="1" applyFont="1" applyFill="1" applyBorder="1"/>
    <xf numFmtId="4" fontId="107" fillId="3" borderId="10" xfId="0" applyNumberFormat="1" applyFont="1" applyFill="1" applyBorder="1"/>
    <xf numFmtId="4" fontId="107" fillId="3" borderId="52" xfId="0" applyNumberFormat="1" applyFont="1" applyFill="1" applyBorder="1"/>
    <xf numFmtId="4" fontId="108" fillId="3" borderId="52" xfId="0" applyNumberFormat="1" applyFont="1" applyFill="1" applyBorder="1"/>
    <xf numFmtId="4" fontId="107" fillId="2" borderId="51" xfId="0" applyNumberFormat="1" applyFont="1" applyFill="1" applyBorder="1"/>
    <xf numFmtId="4" fontId="107" fillId="2" borderId="10" xfId="0" applyNumberFormat="1" applyFont="1" applyFill="1" applyBorder="1"/>
    <xf numFmtId="4" fontId="107" fillId="2" borderId="52" xfId="0" applyNumberFormat="1" applyFont="1" applyFill="1" applyBorder="1"/>
    <xf numFmtId="4" fontId="108" fillId="2" borderId="50" xfId="0" applyNumberFormat="1" applyFont="1" applyFill="1" applyBorder="1"/>
    <xf numFmtId="4" fontId="107" fillId="0" borderId="43" xfId="0" applyNumberFormat="1" applyFont="1" applyBorder="1"/>
    <xf numFmtId="4" fontId="107" fillId="0" borderId="3" xfId="0" applyNumberFormat="1" applyFont="1" applyBorder="1"/>
    <xf numFmtId="4" fontId="107" fillId="0" borderId="8" xfId="0" applyNumberFormat="1" applyFont="1" applyBorder="1"/>
    <xf numFmtId="4" fontId="108" fillId="0" borderId="0" xfId="0" applyNumberFormat="1" applyFont="1" applyBorder="1"/>
    <xf numFmtId="4" fontId="107" fillId="0" borderId="0" xfId="0" applyNumberFormat="1" applyFont="1" applyBorder="1"/>
    <xf numFmtId="4" fontId="107" fillId="0" borderId="53" xfId="0" applyNumberFormat="1" applyFont="1" applyBorder="1"/>
    <xf numFmtId="4" fontId="107" fillId="0" borderId="9" xfId="0" applyNumberFormat="1" applyFont="1" applyBorder="1"/>
    <xf numFmtId="4" fontId="107" fillId="0" borderId="56" xfId="0" applyNumberFormat="1" applyFont="1" applyBorder="1"/>
    <xf numFmtId="0" fontId="107" fillId="0" borderId="115" xfId="0" applyFont="1" applyBorder="1"/>
    <xf numFmtId="0" fontId="107" fillId="0" borderId="17" xfId="0" applyFont="1" applyBorder="1"/>
    <xf numFmtId="0" fontId="107" fillId="0" borderId="33" xfId="0" applyFont="1" applyBorder="1"/>
    <xf numFmtId="0" fontId="108" fillId="0" borderId="44" xfId="0" applyFont="1" applyBorder="1"/>
    <xf numFmtId="4" fontId="108" fillId="3" borderId="52" xfId="0" applyNumberFormat="1" applyFont="1" applyFill="1" applyBorder="1" applyAlignment="1">
      <alignment horizontal="right" vertical="center"/>
    </xf>
    <xf numFmtId="4" fontId="108" fillId="3" borderId="73" xfId="0" applyNumberFormat="1" applyFont="1" applyFill="1" applyBorder="1" applyAlignment="1">
      <alignment horizontal="right" vertical="center"/>
    </xf>
    <xf numFmtId="4" fontId="108" fillId="3" borderId="52" xfId="0" applyNumberFormat="1" applyFont="1" applyFill="1" applyBorder="1" applyAlignment="1">
      <alignment vertical="center"/>
    </xf>
    <xf numFmtId="4" fontId="109" fillId="2" borderId="3" xfId="0" applyNumberFormat="1" applyFont="1" applyFill="1" applyBorder="1"/>
    <xf numFmtId="4" fontId="7" fillId="3" borderId="3" xfId="0" applyNumberFormat="1" applyFont="1" applyFill="1" applyBorder="1" applyAlignment="1">
      <alignment horizontal="right" vertical="center"/>
    </xf>
    <xf numFmtId="4" fontId="7" fillId="3" borderId="3" xfId="0" applyNumberFormat="1" applyFont="1" applyFill="1" applyBorder="1"/>
    <xf numFmtId="4" fontId="7" fillId="2" borderId="3" xfId="0" applyNumberFormat="1" applyFont="1" applyFill="1" applyBorder="1"/>
    <xf numFmtId="4" fontId="100" fillId="7" borderId="3" xfId="0" applyNumberFormat="1" applyFont="1" applyFill="1" applyBorder="1"/>
    <xf numFmtId="4" fontId="109" fillId="0" borderId="3" xfId="0" applyNumberFormat="1" applyFont="1" applyBorder="1"/>
    <xf numFmtId="0" fontId="66" fillId="0" borderId="116" xfId="0" applyFont="1" applyBorder="1"/>
    <xf numFmtId="0" fontId="66" fillId="0" borderId="3" xfId="0" applyFont="1" applyBorder="1"/>
    <xf numFmtId="0" fontId="101" fillId="0" borderId="116" xfId="0" applyFont="1" applyBorder="1"/>
    <xf numFmtId="0" fontId="101" fillId="0" borderId="3" xfId="0" applyFont="1" applyBorder="1"/>
    <xf numFmtId="4" fontId="101" fillId="0" borderId="116" xfId="0" applyNumberFormat="1" applyFont="1" applyBorder="1"/>
    <xf numFmtId="4" fontId="104" fillId="0" borderId="116" xfId="0" applyNumberFormat="1" applyFont="1" applyBorder="1"/>
    <xf numFmtId="4" fontId="104" fillId="0" borderId="3" xfId="0" applyNumberFormat="1" applyFont="1" applyBorder="1"/>
    <xf numFmtId="4" fontId="91" fillId="2" borderId="116" xfId="0" applyNumberFormat="1" applyFont="1" applyFill="1" applyBorder="1"/>
    <xf numFmtId="4" fontId="91" fillId="2" borderId="3" xfId="0" applyNumberFormat="1" applyFont="1" applyFill="1" applyBorder="1"/>
    <xf numFmtId="4" fontId="6" fillId="0" borderId="47" xfId="0" applyNumberFormat="1" applyFont="1" applyBorder="1"/>
    <xf numFmtId="0" fontId="110" fillId="0" borderId="117" xfId="0" applyFont="1" applyBorder="1"/>
    <xf numFmtId="4" fontId="18" fillId="0" borderId="116" xfId="0" applyNumberFormat="1" applyFont="1" applyBorder="1"/>
    <xf numFmtId="4" fontId="18" fillId="0" borderId="3" xfId="0" applyNumberFormat="1" applyFont="1" applyBorder="1"/>
    <xf numFmtId="4" fontId="18" fillId="3" borderId="116" xfId="0" applyNumberFormat="1" applyFont="1" applyFill="1" applyBorder="1" applyAlignment="1">
      <alignment horizontal="right" vertical="center"/>
    </xf>
    <xf numFmtId="4" fontId="18" fillId="3" borderId="3" xfId="0" applyNumberFormat="1" applyFont="1" applyFill="1" applyBorder="1" applyAlignment="1">
      <alignment horizontal="right" vertical="center"/>
    </xf>
    <xf numFmtId="4" fontId="88" fillId="3" borderId="117" xfId="0" applyNumberFormat="1" applyFont="1" applyFill="1" applyBorder="1" applyAlignment="1">
      <alignment horizontal="right" vertical="center"/>
    </xf>
    <xf numFmtId="0" fontId="88" fillId="0" borderId="117" xfId="0" applyFont="1" applyBorder="1"/>
    <xf numFmtId="4" fontId="18" fillId="3" borderId="116" xfId="0" applyNumberFormat="1" applyFont="1" applyFill="1" applyBorder="1" applyAlignment="1">
      <alignment vertical="center"/>
    </xf>
    <xf numFmtId="4" fontId="18" fillId="3" borderId="3" xfId="0" applyNumberFormat="1" applyFont="1" applyFill="1" applyBorder="1" applyAlignment="1">
      <alignment vertical="center"/>
    </xf>
    <xf numFmtId="4" fontId="88" fillId="3" borderId="117" xfId="0" applyNumberFormat="1" applyFont="1" applyFill="1" applyBorder="1" applyAlignment="1">
      <alignment vertical="center"/>
    </xf>
    <xf numFmtId="4" fontId="18" fillId="3" borderId="116" xfId="0" applyNumberFormat="1" applyFont="1" applyFill="1" applyBorder="1"/>
    <xf numFmtId="4" fontId="18" fillId="3" borderId="3" xfId="0" applyNumberFormat="1" applyFont="1" applyFill="1" applyBorder="1"/>
    <xf numFmtId="4" fontId="88" fillId="3" borderId="117" xfId="0" applyNumberFormat="1" applyFont="1" applyFill="1" applyBorder="1"/>
    <xf numFmtId="0" fontId="18" fillId="0" borderId="116" xfId="0" applyFont="1" applyBorder="1"/>
    <xf numFmtId="0" fontId="18" fillId="0" borderId="3" xfId="0" applyFont="1" applyBorder="1"/>
    <xf numFmtId="4" fontId="18" fillId="2" borderId="116" xfId="0" applyNumberFormat="1" applyFont="1" applyFill="1" applyBorder="1"/>
    <xf numFmtId="4" fontId="18" fillId="2" borderId="3" xfId="0" applyNumberFormat="1" applyFont="1" applyFill="1" applyBorder="1"/>
    <xf numFmtId="0" fontId="88" fillId="2" borderId="117" xfId="0" applyFont="1" applyFill="1" applyBorder="1"/>
    <xf numFmtId="4" fontId="18" fillId="3" borderId="129" xfId="0" applyNumberFormat="1" applyFont="1" applyFill="1" applyBorder="1"/>
    <xf numFmtId="4" fontId="18" fillId="3" borderId="130" xfId="0" applyNumberFormat="1" applyFont="1" applyFill="1" applyBorder="1"/>
    <xf numFmtId="4" fontId="88" fillId="3" borderId="131" xfId="0" applyNumberFormat="1" applyFont="1" applyFill="1" applyBorder="1"/>
    <xf numFmtId="0" fontId="66" fillId="0" borderId="132" xfId="0" applyFont="1" applyBorder="1"/>
    <xf numFmtId="0" fontId="101" fillId="0" borderId="132" xfId="0" applyFont="1" applyBorder="1"/>
    <xf numFmtId="4" fontId="91" fillId="3" borderId="132" xfId="0" applyNumberFormat="1" applyFont="1" applyFill="1" applyBorder="1" applyAlignment="1">
      <alignment horizontal="right" vertical="center"/>
    </xf>
    <xf numFmtId="4" fontId="101" fillId="0" borderId="132" xfId="0" applyNumberFormat="1" applyFont="1" applyBorder="1"/>
    <xf numFmtId="4" fontId="91" fillId="3" borderId="132" xfId="0" applyNumberFormat="1" applyFont="1" applyFill="1" applyBorder="1" applyAlignment="1">
      <alignment vertical="center"/>
    </xf>
    <xf numFmtId="4" fontId="91" fillId="3" borderId="132" xfId="0" applyNumberFormat="1" applyFont="1" applyFill="1" applyBorder="1"/>
    <xf numFmtId="4" fontId="91" fillId="2" borderId="132" xfId="0" applyNumberFormat="1" applyFont="1" applyFill="1" applyBorder="1"/>
    <xf numFmtId="4" fontId="91" fillId="3" borderId="133" xfId="0" applyNumberFormat="1" applyFont="1" applyFill="1" applyBorder="1"/>
    <xf numFmtId="0" fontId="103" fillId="2" borderId="3" xfId="0" applyFont="1" applyFill="1" applyBorder="1"/>
    <xf numFmtId="0" fontId="91" fillId="2" borderId="117" xfId="0" applyFont="1" applyFill="1" applyBorder="1"/>
    <xf numFmtId="0" fontId="69" fillId="2" borderId="3" xfId="0" applyFont="1" applyFill="1" applyBorder="1"/>
    <xf numFmtId="4" fontId="60" fillId="0" borderId="38" xfId="0" applyNumberFormat="1" applyFont="1" applyBorder="1"/>
    <xf numFmtId="4" fontId="60" fillId="0" borderId="25" xfId="0" applyNumberFormat="1" applyFont="1" applyBorder="1"/>
    <xf numFmtId="0" fontId="2" fillId="0" borderId="50" xfId="0" applyFont="1" applyBorder="1"/>
    <xf numFmtId="0" fontId="60" fillId="0" borderId="50" xfId="0" applyFont="1" applyBorder="1"/>
    <xf numFmtId="4" fontId="60" fillId="0" borderId="23" xfId="0" applyNumberFormat="1" applyFont="1" applyBorder="1"/>
    <xf numFmtId="4" fontId="105" fillId="2" borderId="11" xfId="0" applyNumberFormat="1" applyFont="1" applyFill="1" applyBorder="1"/>
    <xf numFmtId="4" fontId="18" fillId="3" borderId="131" xfId="0" applyNumberFormat="1" applyFont="1" applyFill="1" applyBorder="1"/>
    <xf numFmtId="4" fontId="101" fillId="0" borderId="8" xfId="0" applyNumberFormat="1" applyFont="1" applyBorder="1"/>
    <xf numFmtId="4" fontId="47" fillId="2" borderId="3" xfId="0" applyNumberFormat="1" applyFont="1" applyFill="1" applyBorder="1"/>
    <xf numFmtId="4" fontId="112" fillId="0" borderId="3" xfId="0" applyNumberFormat="1" applyFont="1" applyBorder="1"/>
    <xf numFmtId="4" fontId="0" fillId="8" borderId="10" xfId="0" applyNumberFormat="1" applyFill="1" applyBorder="1"/>
    <xf numFmtId="4" fontId="0" fillId="8" borderId="51" xfId="0" applyNumberFormat="1" applyFill="1" applyBorder="1"/>
    <xf numFmtId="4" fontId="0" fillId="0" borderId="20" xfId="0" applyNumberFormat="1" applyBorder="1"/>
    <xf numFmtId="4" fontId="0" fillId="0" borderId="26" xfId="0" applyNumberFormat="1" applyBorder="1"/>
    <xf numFmtId="0" fontId="66" fillId="0" borderId="50" xfId="0" applyFont="1" applyBorder="1"/>
    <xf numFmtId="4" fontId="0" fillId="0" borderId="50" xfId="0" applyNumberFormat="1" applyBorder="1"/>
    <xf numFmtId="4" fontId="0" fillId="8" borderId="42" xfId="0" applyNumberFormat="1" applyFill="1" applyBorder="1"/>
    <xf numFmtId="4" fontId="0" fillId="8" borderId="64" xfId="0" applyNumberFormat="1" applyFill="1" applyBorder="1"/>
    <xf numFmtId="4" fontId="0" fillId="9" borderId="20" xfId="0" applyNumberFormat="1" applyFill="1" applyBorder="1"/>
    <xf numFmtId="4" fontId="0" fillId="9" borderId="26" xfId="0" applyNumberFormat="1" applyFill="1" applyBorder="1"/>
    <xf numFmtId="4" fontId="38" fillId="4" borderId="121" xfId="0" applyNumberFormat="1" applyFont="1" applyFill="1" applyBorder="1" applyAlignment="1">
      <alignment vertical="top" wrapText="1"/>
    </xf>
    <xf numFmtId="4" fontId="38" fillId="4" borderId="121" xfId="0" applyNumberFormat="1" applyFont="1" applyFill="1" applyBorder="1" applyAlignment="1">
      <alignment vertical="center" wrapText="1"/>
    </xf>
    <xf numFmtId="4" fontId="38" fillId="3" borderId="65" xfId="0" applyNumberFormat="1" applyFont="1" applyFill="1" applyBorder="1" applyAlignment="1">
      <alignment vertical="top" wrapText="1"/>
    </xf>
    <xf numFmtId="4" fontId="114" fillId="0" borderId="115" xfId="0" applyNumberFormat="1" applyFont="1" applyBorder="1" applyAlignment="1">
      <alignment vertical="top" wrapText="1"/>
    </xf>
    <xf numFmtId="4" fontId="114" fillId="0" borderId="43" xfId="0" applyNumberFormat="1" applyFont="1" applyBorder="1" applyAlignment="1">
      <alignment vertical="top" wrapText="1"/>
    </xf>
    <xf numFmtId="4" fontId="115" fillId="4" borderId="21" xfId="0" applyNumberFormat="1" applyFont="1" applyFill="1" applyBorder="1" applyAlignment="1">
      <alignment vertical="top" wrapText="1"/>
    </xf>
    <xf numFmtId="4" fontId="115" fillId="4" borderId="21" xfId="0" applyNumberFormat="1" applyFont="1" applyFill="1" applyBorder="1" applyAlignment="1">
      <alignment vertical="center" wrapText="1"/>
    </xf>
    <xf numFmtId="4" fontId="115" fillId="3" borderId="20" xfId="0" applyNumberFormat="1" applyFont="1" applyFill="1" applyBorder="1" applyAlignment="1">
      <alignment vertical="top" wrapText="1"/>
    </xf>
    <xf numFmtId="0" fontId="69" fillId="2" borderId="116" xfId="0" applyFont="1" applyFill="1" applyBorder="1"/>
    <xf numFmtId="4" fontId="100" fillId="3" borderId="116" xfId="0" applyNumberFormat="1" applyFont="1" applyFill="1" applyBorder="1"/>
    <xf numFmtId="3" fontId="100" fillId="0" borderId="3" xfId="0" applyNumberFormat="1" applyFont="1" applyBorder="1"/>
    <xf numFmtId="3" fontId="69" fillId="3" borderId="3" xfId="0" applyNumberFormat="1" applyFont="1" applyFill="1" applyBorder="1"/>
    <xf numFmtId="0" fontId="65" fillId="0" borderId="134" xfId="0" applyFont="1" applyBorder="1" applyAlignment="1" applyProtection="1">
      <alignment horizontal="center"/>
      <protection locked="0"/>
    </xf>
    <xf numFmtId="0" fontId="65" fillId="0" borderId="135" xfId="0" applyFont="1" applyBorder="1" applyAlignment="1" applyProtection="1">
      <alignment horizontal="center"/>
      <protection locked="0"/>
    </xf>
    <xf numFmtId="0" fontId="65" fillId="0" borderId="136" xfId="0" applyFont="1" applyBorder="1" applyAlignment="1" applyProtection="1">
      <alignment horizontal="center"/>
      <protection locked="0"/>
    </xf>
    <xf numFmtId="0" fontId="65" fillId="0" borderId="137" xfId="0" applyFont="1" applyBorder="1" applyAlignment="1" applyProtection="1">
      <alignment horizontal="center"/>
      <protection locked="0"/>
    </xf>
    <xf numFmtId="3" fontId="2" fillId="0" borderId="0" xfId="0" applyNumberFormat="1" applyFont="1" applyProtection="1">
      <protection locked="0"/>
    </xf>
    <xf numFmtId="0" fontId="0" fillId="0" borderId="138" xfId="0" applyBorder="1"/>
    <xf numFmtId="0" fontId="0" fillId="0" borderId="11" xfId="0" applyBorder="1"/>
    <xf numFmtId="0" fontId="66" fillId="0" borderId="139" xfId="0" applyFont="1" applyBorder="1"/>
    <xf numFmtId="0" fontId="100" fillId="0" borderId="140" xfId="0" applyFont="1" applyBorder="1"/>
    <xf numFmtId="0" fontId="100" fillId="0" borderId="141" xfId="0" applyFont="1" applyBorder="1"/>
    <xf numFmtId="0" fontId="101" fillId="0" borderId="142" xfId="0" applyFont="1" applyBorder="1"/>
    <xf numFmtId="3" fontId="65" fillId="0" borderId="116" xfId="0" applyNumberFormat="1" applyFont="1" applyBorder="1" applyAlignment="1" applyProtection="1">
      <alignment horizontal="right"/>
      <protection locked="0"/>
    </xf>
    <xf numFmtId="3" fontId="65" fillId="0" borderId="3" xfId="0" applyNumberFormat="1" applyFont="1" applyBorder="1" applyAlignment="1" applyProtection="1">
      <alignment horizontal="right"/>
      <protection locked="0"/>
    </xf>
    <xf numFmtId="3" fontId="65" fillId="2" borderId="3" xfId="0" applyNumberFormat="1" applyFont="1" applyFill="1" applyBorder="1" applyAlignment="1" applyProtection="1">
      <alignment horizontal="right"/>
      <protection locked="0"/>
    </xf>
    <xf numFmtId="3" fontId="74" fillId="2" borderId="3" xfId="1" applyNumberFormat="1" applyFont="1" applyFill="1" applyBorder="1" applyAlignment="1" applyProtection="1">
      <alignment horizontal="right"/>
      <protection locked="0"/>
    </xf>
    <xf numFmtId="3" fontId="74" fillId="2" borderId="116" xfId="1" applyNumberFormat="1" applyFont="1" applyFill="1" applyBorder="1" applyAlignment="1" applyProtection="1">
      <alignment horizontal="right"/>
      <protection locked="0"/>
    </xf>
    <xf numFmtId="0" fontId="66" fillId="0" borderId="65" xfId="0" applyFont="1" applyBorder="1" applyAlignment="1">
      <alignment horizontal="center"/>
    </xf>
    <xf numFmtId="0" fontId="113" fillId="0" borderId="42" xfId="0" applyFont="1" applyBorder="1" applyAlignment="1">
      <alignment horizontal="center"/>
    </xf>
    <xf numFmtId="0" fontId="84" fillId="0" borderId="132" xfId="0" applyFont="1" applyBorder="1"/>
    <xf numFmtId="4" fontId="108" fillId="0" borderId="43" xfId="0" applyNumberFormat="1" applyFont="1" applyBorder="1"/>
    <xf numFmtId="0" fontId="16" fillId="2" borderId="9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83" fillId="2" borderId="56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0" fillId="0" borderId="43" xfId="0" applyBorder="1"/>
    <xf numFmtId="0" fontId="76" fillId="2" borderId="0" xfId="0" applyFont="1" applyFill="1" applyBorder="1"/>
    <xf numFmtId="0" fontId="12" fillId="3" borderId="52" xfId="0" applyFont="1" applyFill="1" applyBorder="1"/>
    <xf numFmtId="0" fontId="12" fillId="3" borderId="51" xfId="0" applyFont="1" applyFill="1" applyBorder="1"/>
    <xf numFmtId="0" fontId="76" fillId="3" borderId="10" xfId="0" applyFont="1" applyFill="1" applyBorder="1"/>
    <xf numFmtId="0" fontId="12" fillId="3" borderId="10" xfId="0" applyFont="1" applyFill="1" applyBorder="1"/>
    <xf numFmtId="4" fontId="91" fillId="0" borderId="132" xfId="0" applyNumberFormat="1" applyFont="1" applyBorder="1"/>
    <xf numFmtId="4" fontId="116" fillId="0" borderId="132" xfId="0" applyNumberFormat="1" applyFont="1" applyBorder="1"/>
    <xf numFmtId="4" fontId="117" fillId="3" borderId="132" xfId="0" applyNumberFormat="1" applyFont="1" applyFill="1" applyBorder="1"/>
    <xf numFmtId="4" fontId="117" fillId="3" borderId="132" xfId="0" applyNumberFormat="1" applyFont="1" applyFill="1" applyBorder="1" applyAlignment="1">
      <alignment horizontal="right" vertical="center"/>
    </xf>
    <xf numFmtId="4" fontId="117" fillId="3" borderId="132" xfId="0" applyNumberFormat="1" applyFont="1" applyFill="1" applyBorder="1" applyAlignment="1">
      <alignment vertical="center"/>
    </xf>
    <xf numFmtId="4" fontId="118" fillId="3" borderId="133" xfId="0" applyNumberFormat="1" applyFont="1" applyFill="1" applyBorder="1"/>
    <xf numFmtId="0" fontId="66" fillId="0" borderId="8" xfId="0" applyFont="1" applyBorder="1"/>
    <xf numFmtId="0" fontId="76" fillId="3" borderId="52" xfId="0" applyFont="1" applyFill="1" applyBorder="1"/>
    <xf numFmtId="0" fontId="16" fillId="2" borderId="4" xfId="0" applyFont="1" applyFill="1" applyBorder="1" applyAlignment="1">
      <alignment horizontal="center" vertical="center" wrapText="1"/>
    </xf>
    <xf numFmtId="0" fontId="83" fillId="2" borderId="34" xfId="0" applyFont="1" applyFill="1" applyBorder="1" applyAlignment="1">
      <alignment horizontal="center" vertical="center" wrapText="1"/>
    </xf>
    <xf numFmtId="0" fontId="0" fillId="0" borderId="4" xfId="0" applyBorder="1"/>
    <xf numFmtId="0" fontId="66" fillId="0" borderId="34" xfId="0" applyFont="1" applyBorder="1"/>
    <xf numFmtId="0" fontId="100" fillId="0" borderId="4" xfId="0" applyFont="1" applyBorder="1"/>
    <xf numFmtId="0" fontId="101" fillId="0" borderId="34" xfId="0" applyFont="1" applyBorder="1"/>
    <xf numFmtId="4" fontId="69" fillId="3" borderId="4" xfId="0" applyNumberFormat="1" applyFont="1" applyFill="1" applyBorder="1" applyAlignment="1">
      <alignment horizontal="right" vertical="center"/>
    </xf>
    <xf numFmtId="4" fontId="91" fillId="3" borderId="34" xfId="0" applyNumberFormat="1" applyFont="1" applyFill="1" applyBorder="1" applyAlignment="1">
      <alignment horizontal="right" vertical="center"/>
    </xf>
    <xf numFmtId="4" fontId="100" fillId="0" borderId="4" xfId="0" applyNumberFormat="1" applyFont="1" applyBorder="1"/>
    <xf numFmtId="4" fontId="101" fillId="0" borderId="34" xfId="0" applyNumberFormat="1" applyFont="1" applyBorder="1"/>
    <xf numFmtId="4" fontId="69" fillId="3" borderId="4" xfId="0" applyNumberFormat="1" applyFont="1" applyFill="1" applyBorder="1" applyAlignment="1">
      <alignment vertical="center"/>
    </xf>
    <xf numFmtId="4" fontId="91" fillId="3" borderId="34" xfId="0" applyNumberFormat="1" applyFont="1" applyFill="1" applyBorder="1" applyAlignment="1">
      <alignment vertical="center"/>
    </xf>
    <xf numFmtId="4" fontId="69" fillId="3" borderId="4" xfId="0" applyNumberFormat="1" applyFont="1" applyFill="1" applyBorder="1"/>
    <xf numFmtId="4" fontId="91" fillId="3" borderId="34" xfId="0" applyNumberFormat="1" applyFont="1" applyFill="1" applyBorder="1"/>
    <xf numFmtId="4" fontId="69" fillId="2" borderId="4" xfId="0" applyNumberFormat="1" applyFont="1" applyFill="1" applyBorder="1"/>
    <xf numFmtId="4" fontId="91" fillId="2" borderId="34" xfId="0" applyNumberFormat="1" applyFont="1" applyFill="1" applyBorder="1"/>
    <xf numFmtId="4" fontId="69" fillId="3" borderId="35" xfId="0" applyNumberFormat="1" applyFont="1" applyFill="1" applyBorder="1"/>
    <xf numFmtId="4" fontId="69" fillId="3" borderId="36" xfId="0" applyNumberFormat="1" applyFont="1" applyFill="1" applyBorder="1"/>
    <xf numFmtId="4" fontId="91" fillId="3" borderId="37" xfId="0" applyNumberFormat="1" applyFont="1" applyFill="1" applyBorder="1"/>
    <xf numFmtId="0" fontId="101" fillId="0" borderId="8" xfId="0" applyFont="1" applyBorder="1"/>
    <xf numFmtId="4" fontId="91" fillId="3" borderId="8" xfId="0" applyNumberFormat="1" applyFont="1" applyFill="1" applyBorder="1" applyAlignment="1">
      <alignment horizontal="right" vertical="center"/>
    </xf>
    <xf numFmtId="4" fontId="91" fillId="3" borderId="8" xfId="0" applyNumberFormat="1" applyFont="1" applyFill="1" applyBorder="1" applyAlignment="1">
      <alignment vertical="center"/>
    </xf>
    <xf numFmtId="4" fontId="91" fillId="3" borderId="8" xfId="0" applyNumberFormat="1" applyFont="1" applyFill="1" applyBorder="1"/>
    <xf numFmtId="4" fontId="91" fillId="2" borderId="8" xfId="0" applyNumberFormat="1" applyFont="1" applyFill="1" applyBorder="1"/>
    <xf numFmtId="4" fontId="91" fillId="3" borderId="143" xfId="0" applyNumberFormat="1" applyFont="1" applyFill="1" applyBorder="1"/>
    <xf numFmtId="0" fontId="16" fillId="2" borderId="53" xfId="0" applyFont="1" applyFill="1" applyBorder="1" applyAlignment="1">
      <alignment horizontal="center" vertical="center" wrapText="1"/>
    </xf>
    <xf numFmtId="0" fontId="76" fillId="3" borderId="51" xfId="0" applyFont="1" applyFill="1" applyBorder="1"/>
    <xf numFmtId="0" fontId="6" fillId="0" borderId="4" xfId="0" applyFont="1" applyBorder="1"/>
    <xf numFmtId="0" fontId="68" fillId="0" borderId="34" xfId="0" applyFont="1" applyBorder="1"/>
    <xf numFmtId="4" fontId="7" fillId="3" borderId="4" xfId="0" applyNumberFormat="1" applyFont="1" applyFill="1" applyBorder="1" applyAlignment="1">
      <alignment horizontal="right" vertical="center"/>
    </xf>
    <xf numFmtId="4" fontId="82" fillId="3" borderId="34" xfId="0" applyNumberFormat="1" applyFont="1" applyFill="1" applyBorder="1" applyAlignment="1">
      <alignment horizontal="right" vertical="center"/>
    </xf>
    <xf numFmtId="4" fontId="6" fillId="0" borderId="4" xfId="0" applyNumberFormat="1" applyFont="1" applyBorder="1"/>
    <xf numFmtId="4" fontId="68" fillId="0" borderId="34" xfId="0" applyNumberFormat="1" applyFont="1" applyBorder="1"/>
    <xf numFmtId="4" fontId="11" fillId="0" borderId="4" xfId="0" applyNumberFormat="1" applyFont="1" applyBorder="1"/>
    <xf numFmtId="4" fontId="85" fillId="0" borderId="34" xfId="0" applyNumberFormat="1" applyFont="1" applyBorder="1"/>
    <xf numFmtId="4" fontId="7" fillId="3" borderId="4" xfId="0" applyNumberFormat="1" applyFont="1" applyFill="1" applyBorder="1" applyAlignment="1">
      <alignment vertical="center"/>
    </xf>
    <xf numFmtId="4" fontId="82" fillId="3" borderId="34" xfId="0" applyNumberFormat="1" applyFont="1" applyFill="1" applyBorder="1" applyAlignment="1">
      <alignment vertical="center"/>
    </xf>
    <xf numFmtId="4" fontId="7" fillId="3" borderId="4" xfId="0" applyNumberFormat="1" applyFont="1" applyFill="1" applyBorder="1"/>
    <xf numFmtId="4" fontId="82" fillId="3" borderId="34" xfId="0" applyNumberFormat="1" applyFont="1" applyFill="1" applyBorder="1"/>
    <xf numFmtId="4" fontId="7" fillId="2" borderId="4" xfId="0" applyNumberFormat="1" applyFont="1" applyFill="1" applyBorder="1"/>
    <xf numFmtId="4" fontId="82" fillId="2" borderId="34" xfId="0" applyNumberFormat="1" applyFont="1" applyFill="1" applyBorder="1"/>
    <xf numFmtId="4" fontId="7" fillId="3" borderId="35" xfId="0" applyNumberFormat="1" applyFont="1" applyFill="1" applyBorder="1"/>
    <xf numFmtId="4" fontId="7" fillId="3" borderId="36" xfId="0" applyNumberFormat="1" applyFont="1" applyFill="1" applyBorder="1"/>
    <xf numFmtId="4" fontId="82" fillId="3" borderId="37" xfId="0" applyNumberFormat="1" applyFont="1" applyFill="1" applyBorder="1"/>
    <xf numFmtId="4" fontId="119" fillId="2" borderId="116" xfId="0" applyNumberFormat="1" applyFont="1" applyFill="1" applyBorder="1"/>
    <xf numFmtId="4" fontId="88" fillId="2" borderId="116" xfId="0" applyNumberFormat="1" applyFont="1" applyFill="1" applyBorder="1"/>
    <xf numFmtId="4" fontId="120" fillId="0" borderId="43" xfId="0" applyNumberFormat="1" applyFont="1" applyBorder="1"/>
    <xf numFmtId="4" fontId="91" fillId="3" borderId="130" xfId="0" applyNumberFormat="1" applyFont="1" applyFill="1" applyBorder="1"/>
    <xf numFmtId="4" fontId="18" fillId="3" borderId="21" xfId="0" applyNumberFormat="1" applyFont="1" applyFill="1" applyBorder="1"/>
    <xf numFmtId="4" fontId="50" fillId="3" borderId="11" xfId="1" applyNumberFormat="1" applyFont="1" applyFill="1" applyBorder="1" applyProtection="1">
      <protection locked="0"/>
    </xf>
    <xf numFmtId="4" fontId="51" fillId="3" borderId="11" xfId="1" applyNumberFormat="1" applyFont="1" applyFill="1" applyBorder="1" applyAlignment="1" applyProtection="1">
      <alignment vertical="center"/>
      <protection locked="0"/>
    </xf>
    <xf numFmtId="4" fontId="51" fillId="3" borderId="21" xfId="1" applyNumberFormat="1" applyFont="1" applyFill="1" applyBorder="1" applyAlignment="1" applyProtection="1">
      <alignment vertical="center"/>
      <protection locked="0"/>
    </xf>
    <xf numFmtId="4" fontId="18" fillId="3" borderId="11" xfId="0" applyNumberFormat="1" applyFont="1" applyFill="1" applyBorder="1"/>
    <xf numFmtId="4" fontId="28" fillId="0" borderId="0" xfId="0" applyNumberFormat="1" applyFont="1" applyBorder="1"/>
    <xf numFmtId="0" fontId="32" fillId="0" borderId="3" xfId="0" applyFont="1" applyBorder="1" applyAlignment="1">
      <alignment horizontal="left" vertical="center"/>
    </xf>
    <xf numFmtId="0" fontId="28" fillId="0" borderId="3" xfId="0" applyFont="1" applyBorder="1"/>
    <xf numFmtId="4" fontId="69" fillId="4" borderId="21" xfId="0" applyNumberFormat="1" applyFont="1" applyFill="1" applyBorder="1" applyAlignment="1">
      <alignment horizontal="right" vertical="center"/>
    </xf>
    <xf numFmtId="4" fontId="18" fillId="4" borderId="21" xfId="0" applyNumberFormat="1" applyFont="1" applyFill="1" applyBorder="1" applyAlignment="1">
      <alignment horizontal="right" vertical="center"/>
    </xf>
    <xf numFmtId="0" fontId="55" fillId="4" borderId="21" xfId="0" applyFont="1" applyFill="1" applyBorder="1"/>
    <xf numFmtId="4" fontId="54" fillId="4" borderId="22" xfId="0" applyNumberFormat="1" applyFont="1" applyFill="1" applyBorder="1"/>
    <xf numFmtId="4" fontId="32" fillId="0" borderId="23" xfId="0" applyNumberFormat="1" applyFont="1" applyBorder="1"/>
    <xf numFmtId="4" fontId="32" fillId="0" borderId="25" xfId="0" applyNumberFormat="1" applyFont="1" applyBorder="1"/>
    <xf numFmtId="4" fontId="28" fillId="0" borderId="25" xfId="0" applyNumberFormat="1" applyFont="1" applyBorder="1"/>
    <xf numFmtId="0" fontId="43" fillId="0" borderId="18" xfId="0" applyFont="1" applyBorder="1" applyAlignment="1">
      <alignment horizontal="center"/>
    </xf>
    <xf numFmtId="0" fontId="43" fillId="2" borderId="17" xfId="0" applyFont="1" applyFill="1" applyBorder="1" applyAlignment="1">
      <alignment horizontal="left" vertical="center" wrapText="1"/>
    </xf>
    <xf numFmtId="4" fontId="28" fillId="0" borderId="23" xfId="0" applyNumberFormat="1" applyFont="1" applyBorder="1"/>
    <xf numFmtId="4" fontId="69" fillId="3" borderId="20" xfId="0" applyNumberFormat="1" applyFont="1" applyFill="1" applyBorder="1" applyAlignment="1">
      <alignment horizontal="right" vertical="center"/>
    </xf>
    <xf numFmtId="4" fontId="28" fillId="0" borderId="17" xfId="0" applyNumberFormat="1" applyFont="1" applyBorder="1" applyAlignment="1">
      <alignment horizontal="right" wrapText="1"/>
    </xf>
    <xf numFmtId="2" fontId="28" fillId="0" borderId="17" xfId="0" applyNumberFormat="1" applyFont="1" applyBorder="1"/>
    <xf numFmtId="0" fontId="21" fillId="0" borderId="17" xfId="0" applyFont="1" applyBorder="1"/>
    <xf numFmtId="4" fontId="18" fillId="4" borderId="22" xfId="0" applyNumberFormat="1" applyFont="1" applyFill="1" applyBorder="1" applyAlignment="1">
      <alignment horizontal="right" vertical="center"/>
    </xf>
    <xf numFmtId="4" fontId="22" fillId="3" borderId="20" xfId="0" applyNumberFormat="1" applyFont="1" applyFill="1" applyBorder="1" applyAlignment="1">
      <alignment horizontal="right" vertical="center"/>
    </xf>
    <xf numFmtId="4" fontId="56" fillId="0" borderId="23" xfId="0" applyNumberFormat="1" applyFont="1" applyBorder="1"/>
    <xf numFmtId="4" fontId="31" fillId="4" borderId="21" xfId="0" applyNumberFormat="1" applyFont="1" applyFill="1" applyBorder="1"/>
    <xf numFmtId="4" fontId="31" fillId="4" borderId="22" xfId="0" applyNumberFormat="1" applyFont="1" applyFill="1" applyBorder="1" applyAlignment="1">
      <alignment vertical="top" wrapText="1"/>
    </xf>
    <xf numFmtId="4" fontId="31" fillId="0" borderId="0" xfId="0" applyNumberFormat="1" applyFont="1" applyBorder="1"/>
    <xf numFmtId="4" fontId="31" fillId="0" borderId="0" xfId="0" applyNumberFormat="1" applyFont="1" applyBorder="1" applyAlignment="1">
      <alignment vertical="top" wrapText="1"/>
    </xf>
    <xf numFmtId="4" fontId="31" fillId="3" borderId="20" xfId="0" applyNumberFormat="1" applyFont="1" applyFill="1" applyBorder="1"/>
    <xf numFmtId="4" fontId="31" fillId="3" borderId="26" xfId="0" applyNumberFormat="1" applyFont="1" applyFill="1" applyBorder="1" applyAlignment="1">
      <alignment vertical="top" wrapText="1"/>
    </xf>
    <xf numFmtId="4" fontId="39" fillId="0" borderId="144" xfId="0" applyNumberFormat="1" applyFont="1" applyBorder="1" applyAlignment="1">
      <alignment horizontal="center" vertical="center" wrapText="1"/>
    </xf>
    <xf numFmtId="4" fontId="38" fillId="4" borderId="26" xfId="0" applyNumberFormat="1" applyFont="1" applyFill="1" applyBorder="1" applyAlignment="1">
      <alignment horizontal="center" vertical="center" wrapText="1"/>
    </xf>
    <xf numFmtId="0" fontId="40" fillId="0" borderId="0" xfId="0" applyFont="1" applyBorder="1" applyAlignment="1">
      <alignment wrapText="1"/>
    </xf>
    <xf numFmtId="4" fontId="9" fillId="4" borderId="49" xfId="0" applyNumberFormat="1" applyFont="1" applyFill="1" applyBorder="1"/>
    <xf numFmtId="4" fontId="9" fillId="4" borderId="57" xfId="0" applyNumberFormat="1" applyFont="1" applyFill="1" applyBorder="1"/>
    <xf numFmtId="4" fontId="9" fillId="4" borderId="21" xfId="0" applyNumberFormat="1" applyFont="1" applyFill="1" applyBorder="1"/>
    <xf numFmtId="4" fontId="9" fillId="4" borderId="0" xfId="0" applyNumberFormat="1" applyFont="1" applyFill="1" applyBorder="1"/>
    <xf numFmtId="170" fontId="0" fillId="0" borderId="0" xfId="0" applyNumberFormat="1"/>
    <xf numFmtId="4" fontId="1" fillId="0" borderId="0" xfId="0" applyNumberFormat="1" applyFont="1"/>
    <xf numFmtId="4" fontId="43" fillId="6" borderId="3" xfId="0" applyNumberFormat="1" applyFont="1" applyFill="1" applyBorder="1" applyAlignment="1">
      <alignment vertical="top" wrapText="1"/>
    </xf>
    <xf numFmtId="4" fontId="43" fillId="0" borderId="3" xfId="0" applyNumberFormat="1" applyFont="1" applyFill="1" applyBorder="1" applyAlignment="1">
      <alignment vertical="top" wrapText="1"/>
    </xf>
    <xf numFmtId="4" fontId="38" fillId="4" borderId="20" xfId="0" applyNumberFormat="1" applyFont="1" applyFill="1" applyBorder="1" applyAlignment="1">
      <alignment vertical="top" wrapText="1"/>
    </xf>
    <xf numFmtId="4" fontId="38" fillId="4" borderId="20" xfId="0" applyNumberFormat="1" applyFont="1" applyFill="1" applyBorder="1" applyAlignment="1">
      <alignment vertical="center" wrapText="1"/>
    </xf>
    <xf numFmtId="4" fontId="38" fillId="4" borderId="26" xfId="0" applyNumberFormat="1" applyFont="1" applyFill="1" applyBorder="1" applyAlignment="1">
      <alignment vertical="center" wrapText="1"/>
    </xf>
    <xf numFmtId="3" fontId="49" fillId="0" borderId="45" xfId="0" applyNumberFormat="1" applyFont="1" applyBorder="1" applyAlignment="1">
      <alignment horizontal="center"/>
    </xf>
    <xf numFmtId="3" fontId="49" fillId="0" borderId="62" xfId="0" applyNumberFormat="1" applyFont="1" applyBorder="1" applyAlignment="1">
      <alignment horizontal="center"/>
    </xf>
    <xf numFmtId="3" fontId="2" fillId="0" borderId="0" xfId="0" applyNumberFormat="1" applyFont="1"/>
    <xf numFmtId="0" fontId="23" fillId="0" borderId="17" xfId="0" applyFont="1" applyBorder="1" applyAlignment="1">
      <alignment horizontal="left" vertical="top" wrapText="1" indent="1"/>
    </xf>
    <xf numFmtId="0" fontId="23" fillId="0" borderId="3" xfId="0" applyFont="1" applyBorder="1" applyAlignment="1">
      <alignment horizontal="left" vertical="top" wrapText="1" indent="1"/>
    </xf>
    <xf numFmtId="0" fontId="29" fillId="0" borderId="3" xfId="0" applyFont="1" applyBorder="1" applyAlignment="1">
      <alignment horizontal="left" vertical="top" wrapText="1" indent="1"/>
    </xf>
    <xf numFmtId="0" fontId="23" fillId="0" borderId="17" xfId="0" applyFont="1" applyBorder="1" applyAlignment="1">
      <alignment horizontal="left" wrapText="1" indent="1"/>
    </xf>
    <xf numFmtId="0" fontId="17" fillId="0" borderId="0" xfId="0" applyFont="1" applyBorder="1" applyAlignment="1">
      <alignment horizontal="left" vertical="top" wrapText="1" indent="1"/>
    </xf>
    <xf numFmtId="0" fontId="17" fillId="4" borderId="20" xfId="0" applyFont="1" applyFill="1" applyBorder="1" applyAlignment="1">
      <alignment horizontal="left" vertical="top" wrapText="1" indent="1"/>
    </xf>
    <xf numFmtId="0" fontId="0" fillId="0" borderId="0" xfId="0" applyAlignment="1">
      <alignment horizontal="left" indent="1"/>
    </xf>
    <xf numFmtId="49" fontId="23" fillId="0" borderId="0" xfId="0" applyNumberFormat="1" applyFont="1" applyAlignment="1">
      <alignment horizontal="left" wrapText="1" indent="1" shrinkToFit="1"/>
    </xf>
    <xf numFmtId="0" fontId="48" fillId="0" borderId="0" xfId="0" applyFont="1" applyAlignment="1">
      <alignment horizontal="left" indent="1"/>
    </xf>
    <xf numFmtId="0" fontId="2" fillId="0" borderId="0" xfId="0" applyFont="1" applyAlignment="1">
      <alignment horizontal="left" indent="1"/>
    </xf>
    <xf numFmtId="0" fontId="49" fillId="0" borderId="45" xfId="0" applyFont="1" applyBorder="1" applyAlignment="1">
      <alignment horizontal="left" indent="1"/>
    </xf>
    <xf numFmtId="0" fontId="2" fillId="2" borderId="17" xfId="0" applyFont="1" applyFill="1" applyBorder="1" applyAlignment="1" applyProtection="1">
      <alignment horizontal="left" indent="1"/>
    </xf>
    <xf numFmtId="0" fontId="2" fillId="2" borderId="3" xfId="0" applyFont="1" applyFill="1" applyBorder="1" applyAlignment="1" applyProtection="1">
      <alignment horizontal="left" indent="1"/>
    </xf>
    <xf numFmtId="0" fontId="2" fillId="0" borderId="17" xfId="0" applyFont="1" applyBorder="1" applyAlignment="1" applyProtection="1">
      <alignment horizontal="left" indent="1"/>
    </xf>
    <xf numFmtId="0" fontId="27" fillId="0" borderId="3" xfId="0" applyFont="1" applyBorder="1" applyAlignment="1">
      <alignment horizontal="left" vertical="top" wrapText="1" indent="1"/>
    </xf>
    <xf numFmtId="0" fontId="2" fillId="0" borderId="3" xfId="0" applyFont="1" applyBorder="1" applyAlignment="1" applyProtection="1">
      <alignment horizontal="left" indent="1"/>
    </xf>
    <xf numFmtId="0" fontId="2" fillId="0" borderId="0" xfId="0" applyFont="1" applyBorder="1" applyAlignment="1">
      <alignment horizontal="left" indent="1"/>
    </xf>
    <xf numFmtId="0" fontId="2" fillId="2" borderId="21" xfId="0" applyFont="1" applyFill="1" applyBorder="1" applyAlignment="1" applyProtection="1">
      <alignment horizontal="left" indent="1"/>
    </xf>
    <xf numFmtId="0" fontId="2" fillId="2" borderId="9" xfId="0" applyFont="1" applyFill="1" applyBorder="1" applyAlignment="1" applyProtection="1">
      <alignment horizontal="left" indent="1"/>
    </xf>
    <xf numFmtId="0" fontId="2" fillId="2" borderId="11" xfId="0" applyFont="1" applyFill="1" applyBorder="1" applyAlignment="1" applyProtection="1">
      <alignment horizontal="left" indent="1"/>
    </xf>
    <xf numFmtId="0" fontId="2" fillId="2" borderId="42" xfId="0" applyFont="1" applyFill="1" applyBorder="1" applyAlignment="1" applyProtection="1">
      <alignment horizontal="left" indent="1"/>
    </xf>
    <xf numFmtId="0" fontId="2" fillId="0" borderId="42" xfId="0" applyFont="1" applyBorder="1" applyAlignment="1" applyProtection="1">
      <alignment horizontal="left" indent="1"/>
    </xf>
    <xf numFmtId="0" fontId="2" fillId="0" borderId="21" xfId="0" applyFont="1" applyBorder="1" applyAlignment="1" applyProtection="1">
      <alignment horizontal="left" indent="1"/>
    </xf>
    <xf numFmtId="0" fontId="94" fillId="0" borderId="21" xfId="0" applyFont="1" applyBorder="1" applyAlignment="1">
      <alignment horizontal="left" vertical="center" wrapText="1" indent="1"/>
    </xf>
    <xf numFmtId="0" fontId="39" fillId="0" borderId="17" xfId="0" applyFont="1" applyBorder="1" applyAlignment="1">
      <alignment horizontal="left" vertical="center" wrapText="1" indent="1"/>
    </xf>
    <xf numFmtId="0" fontId="39" fillId="0" borderId="3" xfId="0" applyFont="1" applyBorder="1" applyAlignment="1">
      <alignment horizontal="left" vertical="center" wrapText="1" indent="1"/>
    </xf>
    <xf numFmtId="0" fontId="39" fillId="2" borderId="3" xfId="0" applyFont="1" applyFill="1" applyBorder="1" applyAlignment="1">
      <alignment horizontal="left" vertical="center" wrapText="1" indent="1"/>
    </xf>
    <xf numFmtId="0" fontId="39" fillId="2" borderId="17" xfId="0" applyFont="1" applyFill="1" applyBorder="1" applyAlignment="1">
      <alignment horizontal="left" vertical="center" wrapText="1" indent="1"/>
    </xf>
    <xf numFmtId="0" fontId="42" fillId="0" borderId="0" xfId="0" applyFont="1" applyBorder="1" applyAlignment="1">
      <alignment horizontal="left" vertical="top" wrapText="1" indent="1"/>
    </xf>
    <xf numFmtId="0" fontId="42" fillId="4" borderId="20" xfId="0" applyFont="1" applyFill="1" applyBorder="1" applyAlignment="1">
      <alignment horizontal="left" vertical="top" wrapText="1" indent="1"/>
    </xf>
    <xf numFmtId="0" fontId="39" fillId="2" borderId="0" xfId="0" applyFont="1" applyFill="1" applyBorder="1" applyAlignment="1">
      <alignment horizontal="left" vertical="top" wrapText="1" indent="1"/>
    </xf>
    <xf numFmtId="0" fontId="39" fillId="0" borderId="0" xfId="0" applyFont="1" applyBorder="1" applyAlignment="1">
      <alignment horizontal="left" indent="1"/>
    </xf>
    <xf numFmtId="0" fontId="38" fillId="0" borderId="42" xfId="0" applyFont="1" applyBorder="1" applyAlignment="1">
      <alignment horizontal="left" vertical="center" wrapText="1" indent="1"/>
    </xf>
    <xf numFmtId="0" fontId="39" fillId="0" borderId="21" xfId="0" applyFont="1" applyBorder="1" applyAlignment="1">
      <alignment horizontal="left" vertical="center" wrapText="1" indent="1"/>
    </xf>
    <xf numFmtId="0" fontId="39" fillId="2" borderId="21" xfId="0" applyFont="1" applyFill="1" applyBorder="1" applyAlignment="1">
      <alignment horizontal="left" vertical="center" wrapText="1" indent="1"/>
    </xf>
    <xf numFmtId="0" fontId="39" fillId="4" borderId="20" xfId="0" applyFont="1" applyFill="1" applyBorder="1" applyAlignment="1">
      <alignment horizontal="left" vertical="top" wrapText="1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16" xfId="0" applyFont="1" applyBorder="1" applyAlignment="1">
      <alignment horizontal="left" vertical="top" wrapText="1" indent="1"/>
    </xf>
    <xf numFmtId="0" fontId="2" fillId="0" borderId="3" xfId="0" applyFont="1" applyBorder="1" applyAlignment="1">
      <alignment horizontal="left" vertical="top" wrapText="1" indent="1"/>
    </xf>
    <xf numFmtId="0" fontId="2" fillId="0" borderId="11" xfId="0" applyFont="1" applyBorder="1" applyAlignment="1">
      <alignment horizontal="left" vertical="top" wrapText="1" indent="1"/>
    </xf>
    <xf numFmtId="0" fontId="2" fillId="0" borderId="55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2" fillId="0" borderId="118" xfId="0" applyFont="1" applyBorder="1" applyAlignment="1">
      <alignment horizontal="left" vertical="top" wrapText="1" indent="1"/>
    </xf>
    <xf numFmtId="0" fontId="61" fillId="2" borderId="17" xfId="0" applyFont="1" applyFill="1" applyBorder="1" applyAlignment="1" applyProtection="1">
      <alignment horizontal="left" indent="1"/>
    </xf>
    <xf numFmtId="0" fontId="61" fillId="2" borderId="3" xfId="0" applyFont="1" applyFill="1" applyBorder="1" applyAlignment="1" applyProtection="1">
      <alignment horizontal="left" indent="1"/>
    </xf>
    <xf numFmtId="0" fontId="61" fillId="2" borderId="21" xfId="0" applyFont="1" applyFill="1" applyBorder="1" applyAlignment="1" applyProtection="1">
      <alignment horizontal="left" indent="1"/>
    </xf>
    <xf numFmtId="0" fontId="39" fillId="0" borderId="17" xfId="0" applyFont="1" applyBorder="1" applyAlignment="1">
      <alignment horizontal="left" vertical="top" wrapText="1" indent="1"/>
    </xf>
    <xf numFmtId="0" fontId="39" fillId="0" borderId="3" xfId="0" applyFont="1" applyBorder="1" applyAlignment="1">
      <alignment horizontal="left" vertical="top" wrapText="1" indent="1"/>
    </xf>
    <xf numFmtId="0" fontId="39" fillId="0" borderId="21" xfId="0" applyFont="1" applyBorder="1" applyAlignment="1">
      <alignment horizontal="left" vertical="top" wrapText="1" indent="1"/>
    </xf>
    <xf numFmtId="0" fontId="39" fillId="0" borderId="17" xfId="0" applyFont="1" applyBorder="1" applyAlignment="1">
      <alignment horizontal="left" wrapText="1" indent="1"/>
    </xf>
    <xf numFmtId="0" fontId="39" fillId="0" borderId="0" xfId="0" applyFont="1" applyAlignment="1">
      <alignment horizontal="left" indent="1"/>
    </xf>
    <xf numFmtId="0" fontId="38" fillId="0" borderId="0" xfId="0" applyFont="1" applyBorder="1" applyAlignment="1">
      <alignment horizontal="left" vertical="center" wrapText="1" indent="1"/>
    </xf>
    <xf numFmtId="0" fontId="38" fillId="0" borderId="111" xfId="0" applyFont="1" applyBorder="1" applyAlignment="1">
      <alignment horizontal="left" vertical="center" wrapText="1" indent="1"/>
    </xf>
    <xf numFmtId="4" fontId="98" fillId="0" borderId="3" xfId="0" applyNumberFormat="1" applyFont="1" applyBorder="1" applyAlignment="1">
      <alignment horizontal="left" wrapText="1" indent="1"/>
    </xf>
    <xf numFmtId="4" fontId="98" fillId="0" borderId="21" xfId="0" applyNumberFormat="1" applyFont="1" applyBorder="1" applyAlignment="1">
      <alignment horizontal="left" wrapText="1" indent="1"/>
    </xf>
    <xf numFmtId="4" fontId="98" fillId="0" borderId="0" xfId="0" applyNumberFormat="1" applyFont="1" applyFill="1" applyBorder="1" applyAlignment="1">
      <alignment horizontal="left" wrapText="1" indent="1"/>
    </xf>
    <xf numFmtId="0" fontId="95" fillId="0" borderId="20" xfId="0" applyFont="1" applyBorder="1" applyAlignment="1">
      <alignment horizontal="left" vertical="center" indent="1"/>
    </xf>
    <xf numFmtId="0" fontId="41" fillId="0" borderId="9" xfId="0" applyFont="1" applyBorder="1" applyAlignment="1">
      <alignment horizontal="left" vertical="top" wrapText="1" indent="1"/>
    </xf>
    <xf numFmtId="0" fontId="41" fillId="0" borderId="3" xfId="0" applyFont="1" applyBorder="1" applyAlignment="1">
      <alignment horizontal="left" vertical="top" wrapText="1" indent="1"/>
    </xf>
    <xf numFmtId="0" fontId="95" fillId="0" borderId="20" xfId="0" applyFont="1" applyBorder="1" applyAlignment="1">
      <alignment horizontal="left" vertical="center" wrapText="1" indent="1"/>
    </xf>
    <xf numFmtId="0" fontId="41" fillId="0" borderId="11" xfId="0" applyFont="1" applyBorder="1" applyAlignment="1">
      <alignment horizontal="left" vertical="top" wrapText="1" indent="1"/>
    </xf>
    <xf numFmtId="0" fontId="27" fillId="0" borderId="0" xfId="0" applyFont="1" applyAlignment="1" applyProtection="1">
      <alignment vertical="center"/>
      <protection locked="0"/>
    </xf>
    <xf numFmtId="3" fontId="63" fillId="0" borderId="68" xfId="0" applyNumberFormat="1" applyFont="1" applyFill="1" applyBorder="1" applyAlignment="1" applyProtection="1">
      <alignment horizontal="right"/>
    </xf>
    <xf numFmtId="0" fontId="27" fillId="0" borderId="0" xfId="0" applyFont="1" applyBorder="1"/>
    <xf numFmtId="0" fontId="27" fillId="0" borderId="18" xfId="0" applyFont="1" applyBorder="1" applyAlignment="1">
      <alignment horizontal="center"/>
    </xf>
    <xf numFmtId="0" fontId="27" fillId="0" borderId="19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31" fillId="0" borderId="0" xfId="0" applyFont="1" applyBorder="1" applyAlignment="1">
      <alignment horizontal="left" vertical="top" wrapText="1" indent="1"/>
    </xf>
    <xf numFmtId="0" fontId="27" fillId="0" borderId="0" xfId="0" applyFont="1" applyBorder="1" applyAlignment="1">
      <alignment horizontal="left" indent="1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left" indent="1"/>
    </xf>
    <xf numFmtId="0" fontId="27" fillId="0" borderId="0" xfId="0" applyFont="1"/>
    <xf numFmtId="0" fontId="24" fillId="0" borderId="0" xfId="0" applyFont="1" applyAlignment="1">
      <alignment horizontal="center" wrapText="1"/>
    </xf>
    <xf numFmtId="0" fontId="43" fillId="0" borderId="0" xfId="0" applyFont="1" applyBorder="1" applyAlignment="1">
      <alignment vertical="center" wrapText="1"/>
    </xf>
    <xf numFmtId="0" fontId="24" fillId="0" borderId="0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left" vertical="center" wrapText="1" indent="1"/>
    </xf>
    <xf numFmtId="4" fontId="27" fillId="0" borderId="0" xfId="0" applyNumberFormat="1" applyFont="1"/>
    <xf numFmtId="0" fontId="27" fillId="0" borderId="3" xfId="0" applyFont="1" applyBorder="1" applyAlignment="1">
      <alignment horizontal="left" vertical="center" wrapText="1" indent="1"/>
    </xf>
    <xf numFmtId="4" fontId="27" fillId="2" borderId="0" xfId="0" applyNumberFormat="1" applyFont="1" applyFill="1"/>
    <xf numFmtId="4" fontId="122" fillId="0" borderId="0" xfId="0" applyNumberFormat="1" applyFont="1"/>
    <xf numFmtId="0" fontId="27" fillId="2" borderId="3" xfId="0" applyFont="1" applyFill="1" applyBorder="1" applyAlignment="1">
      <alignment horizontal="left" vertical="center" wrapText="1" indent="1"/>
    </xf>
    <xf numFmtId="0" fontId="27" fillId="2" borderId="17" xfId="0" applyFont="1" applyFill="1" applyBorder="1" applyAlignment="1">
      <alignment horizontal="left" vertical="center" wrapText="1" indent="1"/>
    </xf>
    <xf numFmtId="4" fontId="123" fillId="2" borderId="0" xfId="0" applyNumberFormat="1" applyFont="1" applyFill="1"/>
    <xf numFmtId="0" fontId="27" fillId="0" borderId="18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2" borderId="0" xfId="0" applyFont="1" applyFill="1" applyBorder="1" applyAlignment="1">
      <alignment horizontal="left" vertical="top" wrapText="1" indent="1"/>
    </xf>
    <xf numFmtId="4" fontId="27" fillId="0" borderId="0" xfId="0" applyNumberFormat="1" applyFont="1" applyBorder="1" applyAlignment="1">
      <alignment vertical="top" wrapText="1"/>
    </xf>
    <xf numFmtId="4" fontId="0" fillId="2" borderId="0" xfId="0" applyNumberFormat="1" applyFill="1" applyBorder="1"/>
    <xf numFmtId="4" fontId="1" fillId="0" borderId="0" xfId="0" applyNumberFormat="1" applyFont="1" applyBorder="1"/>
    <xf numFmtId="0" fontId="39" fillId="0" borderId="40" xfId="0" applyFont="1" applyBorder="1" applyAlignment="1">
      <alignment horizontal="center"/>
    </xf>
    <xf numFmtId="4" fontId="31" fillId="0" borderId="54" xfId="0" applyNumberFormat="1" applyFont="1" applyBorder="1" applyAlignment="1">
      <alignment vertical="top" wrapText="1"/>
    </xf>
    <xf numFmtId="0" fontId="18" fillId="0" borderId="0" xfId="0" applyFont="1" applyAlignment="1">
      <alignment horizontal="left"/>
    </xf>
    <xf numFmtId="3" fontId="32" fillId="0" borderId="0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3" fontId="2" fillId="0" borderId="17" xfId="0" applyNumberFormat="1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25" xfId="0" applyNumberFormat="1" applyFont="1" applyBorder="1" applyAlignment="1">
      <alignment horizontal="center"/>
    </xf>
    <xf numFmtId="3" fontId="18" fillId="4" borderId="21" xfId="0" applyNumberFormat="1" applyFont="1" applyFill="1" applyBorder="1" applyAlignment="1">
      <alignment horizontal="center"/>
    </xf>
    <xf numFmtId="3" fontId="18" fillId="4" borderId="22" xfId="0" applyNumberFormat="1" applyFont="1" applyFill="1" applyBorder="1" applyAlignment="1">
      <alignment horizontal="center"/>
    </xf>
    <xf numFmtId="3" fontId="51" fillId="4" borderId="21" xfId="1" applyNumberFormat="1" applyFont="1" applyFill="1" applyBorder="1" applyAlignment="1" applyProtection="1">
      <alignment horizontal="center" vertical="center"/>
      <protection locked="0"/>
    </xf>
    <xf numFmtId="3" fontId="51" fillId="4" borderId="22" xfId="1" applyNumberFormat="1" applyFont="1" applyFill="1" applyBorder="1" applyAlignment="1" applyProtection="1">
      <alignment horizontal="center" vertical="center"/>
      <protection locked="0"/>
    </xf>
    <xf numFmtId="3" fontId="50" fillId="4" borderId="21" xfId="1" applyNumberFormat="1" applyFont="1" applyFill="1" applyBorder="1" applyAlignment="1" applyProtection="1">
      <alignment horizontal="center"/>
      <protection locked="0"/>
    </xf>
    <xf numFmtId="3" fontId="50" fillId="4" borderId="22" xfId="1" applyNumberFormat="1" applyFont="1" applyFill="1" applyBorder="1" applyAlignment="1" applyProtection="1">
      <alignment horizontal="center"/>
      <protection locked="0"/>
    </xf>
    <xf numFmtId="3" fontId="2" fillId="0" borderId="0" xfId="0" applyNumberFormat="1" applyFont="1" applyBorder="1" applyAlignment="1">
      <alignment horizontal="center"/>
    </xf>
    <xf numFmtId="3" fontId="2" fillId="0" borderId="54" xfId="0" applyNumberFormat="1" applyFont="1" applyBorder="1" applyAlignment="1">
      <alignment horizontal="center"/>
    </xf>
    <xf numFmtId="3" fontId="18" fillId="3" borderId="20" xfId="0" applyNumberFormat="1" applyFont="1" applyFill="1" applyBorder="1" applyAlignment="1">
      <alignment horizontal="center"/>
    </xf>
    <xf numFmtId="3" fontId="18" fillId="3" borderId="26" xfId="0" applyNumberFormat="1" applyFont="1" applyFill="1" applyBorder="1" applyAlignment="1">
      <alignment horizontal="center"/>
    </xf>
    <xf numFmtId="3" fontId="60" fillId="0" borderId="0" xfId="0" applyNumberFormat="1" applyFont="1" applyAlignment="1">
      <alignment horizontal="center"/>
    </xf>
    <xf numFmtId="3" fontId="49" fillId="0" borderId="106" xfId="0" applyNumberFormat="1" applyFont="1" applyBorder="1" applyAlignment="1">
      <alignment horizontal="center"/>
    </xf>
    <xf numFmtId="3" fontId="87" fillId="0" borderId="106" xfId="0" applyNumberFormat="1" applyFont="1" applyBorder="1" applyAlignment="1">
      <alignment horizontal="center"/>
    </xf>
    <xf numFmtId="3" fontId="58" fillId="0" borderId="0" xfId="0" applyNumberFormat="1" applyFont="1" applyAlignment="1">
      <alignment horizontal="center"/>
    </xf>
    <xf numFmtId="3" fontId="60" fillId="0" borderId="17" xfId="0" applyNumberFormat="1" applyFont="1" applyBorder="1" applyAlignment="1">
      <alignment horizontal="center"/>
    </xf>
    <xf numFmtId="3" fontId="18" fillId="4" borderId="51" xfId="0" applyNumberFormat="1" applyFont="1" applyFill="1" applyBorder="1" applyAlignment="1">
      <alignment horizontal="center"/>
    </xf>
    <xf numFmtId="3" fontId="88" fillId="4" borderId="51" xfId="0" applyNumberFormat="1" applyFont="1" applyFill="1" applyBorder="1" applyAlignment="1">
      <alignment horizontal="center"/>
    </xf>
    <xf numFmtId="3" fontId="51" fillId="4" borderId="65" xfId="1" applyNumberFormat="1" applyFont="1" applyFill="1" applyBorder="1" applyAlignment="1" applyProtection="1">
      <alignment horizontal="center" vertical="center"/>
      <protection locked="0"/>
    </xf>
    <xf numFmtId="3" fontId="89" fillId="4" borderId="65" xfId="1" applyNumberFormat="1" applyFont="1" applyFill="1" applyBorder="1" applyAlignment="1" applyProtection="1">
      <alignment horizontal="center" vertical="center"/>
      <protection locked="0"/>
    </xf>
    <xf numFmtId="3" fontId="2" fillId="0" borderId="66" xfId="0" applyNumberFormat="1" applyFont="1" applyBorder="1" applyAlignment="1">
      <alignment horizontal="center"/>
    </xf>
    <xf numFmtId="3" fontId="60" fillId="0" borderId="0" xfId="0" applyNumberFormat="1" applyFont="1" applyBorder="1" applyAlignment="1">
      <alignment horizontal="center"/>
    </xf>
    <xf numFmtId="3" fontId="50" fillId="4" borderId="65" xfId="1" applyNumberFormat="1" applyFont="1" applyFill="1" applyBorder="1" applyAlignment="1" applyProtection="1">
      <alignment horizontal="center"/>
      <protection locked="0"/>
    </xf>
    <xf numFmtId="3" fontId="90" fillId="4" borderId="65" xfId="1" applyNumberFormat="1" applyFont="1" applyFill="1" applyBorder="1" applyAlignment="1" applyProtection="1">
      <alignment horizontal="center"/>
      <protection locked="0"/>
    </xf>
    <xf numFmtId="3" fontId="18" fillId="4" borderId="65" xfId="0" applyNumberFormat="1" applyFont="1" applyFill="1" applyBorder="1" applyAlignment="1">
      <alignment horizontal="center"/>
    </xf>
    <xf numFmtId="3" fontId="88" fillId="4" borderId="65" xfId="0" applyNumberFormat="1" applyFont="1" applyFill="1" applyBorder="1" applyAlignment="1">
      <alignment horizontal="center"/>
    </xf>
    <xf numFmtId="3" fontId="18" fillId="0" borderId="20" xfId="0" applyNumberFormat="1" applyFont="1" applyFill="1" applyBorder="1" applyAlignment="1">
      <alignment horizontal="center"/>
    </xf>
    <xf numFmtId="3" fontId="18" fillId="0" borderId="26" xfId="0" applyNumberFormat="1" applyFont="1" applyFill="1" applyBorder="1" applyAlignment="1">
      <alignment horizontal="center"/>
    </xf>
    <xf numFmtId="3" fontId="18" fillId="0" borderId="0" xfId="0" applyNumberFormat="1" applyFont="1" applyAlignment="1">
      <alignment horizontal="center"/>
    </xf>
    <xf numFmtId="3" fontId="18" fillId="4" borderId="20" xfId="0" applyNumberFormat="1" applyFont="1" applyFill="1" applyBorder="1" applyAlignment="1">
      <alignment horizontal="center"/>
    </xf>
    <xf numFmtId="3" fontId="51" fillId="4" borderId="20" xfId="1" applyNumberFormat="1" applyFont="1" applyFill="1" applyBorder="1" applyAlignment="1" applyProtection="1">
      <alignment horizontal="center" vertical="center"/>
      <protection locked="0"/>
    </xf>
    <xf numFmtId="3" fontId="50" fillId="4" borderId="20" xfId="1" applyNumberFormat="1" applyFont="1" applyFill="1" applyBorder="1" applyAlignment="1" applyProtection="1">
      <alignment horizontal="center"/>
      <protection locked="0"/>
    </xf>
    <xf numFmtId="3" fontId="13" fillId="0" borderId="0" xfId="0" applyNumberFormat="1" applyFont="1" applyAlignment="1">
      <alignment horizontal="center"/>
    </xf>
    <xf numFmtId="3" fontId="87" fillId="0" borderId="10" xfId="0" applyNumberFormat="1" applyFon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3" fontId="18" fillId="4" borderId="106" xfId="0" applyNumberFormat="1" applyFont="1" applyFill="1" applyBorder="1" applyAlignment="1">
      <alignment horizontal="center"/>
    </xf>
    <xf numFmtId="3" fontId="88" fillId="4" borderId="106" xfId="0" applyNumberFormat="1" applyFont="1" applyFill="1" applyBorder="1" applyAlignment="1">
      <alignment horizontal="center"/>
    </xf>
    <xf numFmtId="3" fontId="18" fillId="3" borderId="65" xfId="0" applyNumberFormat="1" applyFont="1" applyFill="1" applyBorder="1" applyAlignment="1">
      <alignment horizontal="center"/>
    </xf>
    <xf numFmtId="3" fontId="38" fillId="0" borderId="111" xfId="0" applyNumberFormat="1" applyFont="1" applyBorder="1" applyAlignment="1">
      <alignment horizontal="center" vertical="center" wrapText="1"/>
    </xf>
    <xf numFmtId="3" fontId="38" fillId="0" borderId="42" xfId="0" applyNumberFormat="1" applyFont="1" applyBorder="1" applyAlignment="1">
      <alignment horizontal="center" vertical="center" wrapText="1"/>
    </xf>
    <xf numFmtId="3" fontId="38" fillId="0" borderId="0" xfId="0" applyNumberFormat="1" applyFont="1" applyBorder="1" applyAlignment="1">
      <alignment horizontal="center" vertical="center" wrapText="1"/>
    </xf>
    <xf numFmtId="3" fontId="38" fillId="0" borderId="17" xfId="0" applyNumberFormat="1" applyFont="1" applyBorder="1" applyAlignment="1">
      <alignment horizontal="center" wrapText="1"/>
    </xf>
    <xf numFmtId="3" fontId="38" fillId="0" borderId="23" xfId="0" applyNumberFormat="1" applyFont="1" applyBorder="1" applyAlignment="1">
      <alignment horizontal="center" wrapText="1"/>
    </xf>
    <xf numFmtId="3" fontId="39" fillId="0" borderId="3" xfId="0" applyNumberFormat="1" applyFont="1" applyBorder="1" applyAlignment="1">
      <alignment horizontal="center" vertical="center" wrapText="1"/>
    </xf>
    <xf numFmtId="3" fontId="39" fillId="0" borderId="25" xfId="0" applyNumberFormat="1" applyFont="1" applyBorder="1" applyAlignment="1">
      <alignment horizontal="center" vertical="center" wrapText="1"/>
    </xf>
    <xf numFmtId="3" fontId="39" fillId="0" borderId="3" xfId="0" applyNumberFormat="1" applyFont="1" applyBorder="1" applyAlignment="1">
      <alignment horizontal="center" wrapText="1"/>
    </xf>
    <xf numFmtId="3" fontId="39" fillId="0" borderId="25" xfId="0" applyNumberFormat="1" applyFont="1" applyBorder="1" applyAlignment="1">
      <alignment horizontal="center" wrapText="1"/>
    </xf>
    <xf numFmtId="3" fontId="39" fillId="0" borderId="21" xfId="0" applyNumberFormat="1" applyFont="1" applyBorder="1" applyAlignment="1">
      <alignment horizontal="center" wrapText="1"/>
    </xf>
    <xf numFmtId="3" fontId="39" fillId="0" borderId="22" xfId="0" applyNumberFormat="1" applyFont="1" applyBorder="1" applyAlignment="1">
      <alignment horizontal="center" wrapText="1"/>
    </xf>
    <xf numFmtId="3" fontId="0" fillId="0" borderId="0" xfId="0" applyNumberFormat="1" applyAlignment="1">
      <alignment horizontal="center"/>
    </xf>
    <xf numFmtId="167" fontId="24" fillId="0" borderId="0" xfId="0" applyNumberFormat="1" applyFont="1" applyBorder="1" applyAlignment="1">
      <alignment horizontal="center" vertical="center" wrapText="1"/>
    </xf>
    <xf numFmtId="167" fontId="27" fillId="0" borderId="17" xfId="0" applyNumberFormat="1" applyFont="1" applyBorder="1" applyAlignment="1">
      <alignment horizontal="left" vertical="top" wrapText="1" indent="1"/>
    </xf>
    <xf numFmtId="167" fontId="27" fillId="0" borderId="3" xfId="0" applyNumberFormat="1" applyFont="1" applyBorder="1" applyAlignment="1">
      <alignment horizontal="left" vertical="top" wrapText="1" indent="1"/>
    </xf>
    <xf numFmtId="167" fontId="31" fillId="0" borderId="0" xfId="0" applyNumberFormat="1" applyFont="1" applyBorder="1" applyAlignment="1">
      <alignment horizontal="left" vertical="top" wrapText="1" indent="1"/>
    </xf>
    <xf numFmtId="167" fontId="24" fillId="0" borderId="0" xfId="0" applyNumberFormat="1" applyFont="1" applyBorder="1" applyAlignment="1">
      <alignment horizontal="left" indent="1"/>
    </xf>
    <xf numFmtId="167" fontId="27" fillId="0" borderId="0" xfId="0" applyNumberFormat="1" applyFont="1" applyBorder="1" applyAlignment="1">
      <alignment horizontal="left" indent="1"/>
    </xf>
    <xf numFmtId="167" fontId="66" fillId="0" borderId="0" xfId="0" applyNumberFormat="1" applyFont="1"/>
    <xf numFmtId="167" fontId="57" fillId="0" borderId="146" xfId="0" applyNumberFormat="1" applyFont="1" applyBorder="1" applyAlignment="1">
      <alignment horizontal="center" vertical="center" wrapText="1"/>
    </xf>
    <xf numFmtId="167" fontId="2" fillId="0" borderId="51" xfId="0" applyNumberFormat="1" applyFont="1" applyBorder="1" applyAlignment="1">
      <alignment horizontal="center" vertical="center" wrapText="1"/>
    </xf>
    <xf numFmtId="167" fontId="69" fillId="0" borderId="51" xfId="0" applyNumberFormat="1" applyFont="1" applyFill="1" applyBorder="1" applyAlignment="1">
      <alignment horizontal="center" vertical="center" wrapText="1"/>
    </xf>
    <xf numFmtId="167" fontId="91" fillId="0" borderId="51" xfId="0" applyNumberFormat="1" applyFont="1" applyFill="1" applyBorder="1" applyAlignment="1">
      <alignment horizontal="center" vertical="center" wrapText="1"/>
    </xf>
    <xf numFmtId="167" fontId="0" fillId="0" borderId="0" xfId="0" applyNumberFormat="1" applyBorder="1"/>
    <xf numFmtId="167" fontId="66" fillId="0" borderId="0" xfId="0" applyNumberFormat="1" applyFont="1" applyBorder="1"/>
    <xf numFmtId="167" fontId="2" fillId="0" borderId="0" xfId="0" applyNumberFormat="1" applyFont="1"/>
    <xf numFmtId="167" fontId="72" fillId="3" borderId="10" xfId="0" applyNumberFormat="1" applyFont="1" applyFill="1" applyBorder="1"/>
    <xf numFmtId="0" fontId="18" fillId="0" borderId="0" xfId="0" applyFont="1" applyAlignment="1">
      <alignment horizontal="center"/>
    </xf>
    <xf numFmtId="0" fontId="70" fillId="0" borderId="0" xfId="0" applyFont="1"/>
    <xf numFmtId="3" fontId="60" fillId="6" borderId="0" xfId="0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167" fontId="31" fillId="10" borderId="10" xfId="0" applyNumberFormat="1" applyFont="1" applyFill="1" applyBorder="1" applyAlignment="1">
      <alignment horizontal="left" vertical="top" wrapText="1" indent="1"/>
    </xf>
    <xf numFmtId="4" fontId="15" fillId="0" borderId="52" xfId="0" applyNumberFormat="1" applyFont="1" applyBorder="1" applyAlignment="1">
      <alignment horizontal="center"/>
    </xf>
    <xf numFmtId="0" fontId="27" fillId="0" borderId="3" xfId="0" applyFont="1" applyBorder="1" applyAlignment="1">
      <alignment horizontal="left" wrapText="1"/>
    </xf>
    <xf numFmtId="4" fontId="21" fillId="0" borderId="0" xfId="0" applyNumberFormat="1" applyFont="1" applyBorder="1"/>
    <xf numFmtId="4" fontId="27" fillId="0" borderId="0" xfId="0" applyNumberFormat="1" applyFont="1" applyBorder="1"/>
    <xf numFmtId="4" fontId="27" fillId="2" borderId="0" xfId="0" applyNumberFormat="1" applyFont="1" applyFill="1" applyBorder="1"/>
    <xf numFmtId="0" fontId="24" fillId="0" borderId="10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/>
    </xf>
    <xf numFmtId="0" fontId="43" fillId="0" borderId="10" xfId="0" applyFont="1" applyBorder="1" applyAlignment="1">
      <alignment horizontal="left" vertical="center" wrapText="1" indent="1"/>
    </xf>
    <xf numFmtId="0" fontId="43" fillId="0" borderId="10" xfId="0" applyFont="1" applyBorder="1" applyAlignment="1">
      <alignment horizontal="center" wrapText="1"/>
    </xf>
    <xf numFmtId="0" fontId="27" fillId="0" borderId="24" xfId="0" applyFont="1" applyBorder="1" applyAlignment="1">
      <alignment horizontal="center"/>
    </xf>
    <xf numFmtId="0" fontId="27" fillId="0" borderId="21" xfId="0" applyFont="1" applyBorder="1" applyAlignment="1">
      <alignment horizontal="left" vertical="center" wrapText="1" indent="1"/>
    </xf>
    <xf numFmtId="0" fontId="27" fillId="2" borderId="21" xfId="0" applyFont="1" applyFill="1" applyBorder="1" applyAlignment="1">
      <alignment horizontal="left" vertical="center" wrapText="1" indent="1"/>
    </xf>
    <xf numFmtId="0" fontId="27" fillId="0" borderId="39" xfId="0" applyFont="1" applyBorder="1" applyAlignment="1">
      <alignment horizontal="center"/>
    </xf>
    <xf numFmtId="0" fontId="27" fillId="0" borderId="11" xfId="0" applyFont="1" applyBorder="1" applyAlignment="1">
      <alignment horizontal="left" vertical="center" wrapText="1" indent="1"/>
    </xf>
    <xf numFmtId="0" fontId="43" fillId="0" borderId="0" xfId="0" applyFont="1" applyBorder="1" applyAlignment="1">
      <alignment horizontal="center" vertical="center" wrapText="1"/>
    </xf>
    <xf numFmtId="4" fontId="43" fillId="0" borderId="17" xfId="0" applyNumberFormat="1" applyFont="1" applyBorder="1" applyAlignment="1">
      <alignment horizontal="center" vertical="top" wrapText="1"/>
    </xf>
    <xf numFmtId="4" fontId="43" fillId="0" borderId="23" xfId="0" applyNumberFormat="1" applyFont="1" applyBorder="1" applyAlignment="1">
      <alignment horizontal="center" vertical="top" wrapText="1"/>
    </xf>
    <xf numFmtId="4" fontId="43" fillId="0" borderId="3" xfId="0" applyNumberFormat="1" applyFont="1" applyBorder="1" applyAlignment="1">
      <alignment horizontal="center" vertical="top" wrapText="1"/>
    </xf>
    <xf numFmtId="4" fontId="43" fillId="0" borderId="25" xfId="0" applyNumberFormat="1" applyFont="1" applyBorder="1" applyAlignment="1">
      <alignment horizontal="center" vertical="top" wrapText="1"/>
    </xf>
    <xf numFmtId="4" fontId="43" fillId="0" borderId="11" xfId="0" applyNumberFormat="1" applyFont="1" applyBorder="1" applyAlignment="1">
      <alignment horizontal="center" vertical="top" wrapText="1"/>
    </xf>
    <xf numFmtId="4" fontId="43" fillId="0" borderId="60" xfId="0" applyNumberFormat="1" applyFont="1" applyBorder="1" applyAlignment="1">
      <alignment horizontal="center" vertical="top" wrapText="1"/>
    </xf>
    <xf numFmtId="4" fontId="31" fillId="4" borderId="10" xfId="0" applyNumberFormat="1" applyFont="1" applyFill="1" applyBorder="1" applyAlignment="1">
      <alignment horizontal="center"/>
    </xf>
    <xf numFmtId="4" fontId="31" fillId="4" borderId="10" xfId="0" applyNumberFormat="1" applyFont="1" applyFill="1" applyBorder="1" applyAlignment="1">
      <alignment horizontal="center" vertical="top" wrapText="1"/>
    </xf>
    <xf numFmtId="4" fontId="43" fillId="0" borderId="21" xfId="0" applyNumberFormat="1" applyFont="1" applyBorder="1" applyAlignment="1">
      <alignment horizontal="center" vertical="top" wrapText="1"/>
    </xf>
    <xf numFmtId="4" fontId="43" fillId="0" borderId="22" xfId="0" applyNumberFormat="1" applyFont="1" applyBorder="1" applyAlignment="1">
      <alignment horizontal="center" vertical="top" wrapText="1"/>
    </xf>
    <xf numFmtId="4" fontId="31" fillId="4" borderId="10" xfId="0" applyNumberFormat="1" applyFont="1" applyFill="1" applyBorder="1" applyAlignment="1">
      <alignment horizontal="center" wrapText="1"/>
    </xf>
    <xf numFmtId="4" fontId="31" fillId="0" borderId="0" xfId="0" applyNumberFormat="1" applyFont="1" applyBorder="1" applyAlignment="1">
      <alignment horizontal="center"/>
    </xf>
    <xf numFmtId="4" fontId="31" fillId="0" borderId="0" xfId="0" applyNumberFormat="1" applyFont="1" applyBorder="1" applyAlignment="1">
      <alignment horizontal="center" vertical="top" wrapText="1"/>
    </xf>
    <xf numFmtId="4" fontId="43" fillId="0" borderId="0" xfId="0" applyNumberFormat="1" applyFont="1" applyBorder="1" applyAlignment="1">
      <alignment horizontal="center"/>
    </xf>
    <xf numFmtId="4" fontId="27" fillId="0" borderId="0" xfId="0" applyNumberFormat="1" applyFont="1" applyAlignment="1">
      <alignment horizontal="center"/>
    </xf>
    <xf numFmtId="0" fontId="31" fillId="0" borderId="10" xfId="0" applyFont="1" applyBorder="1" applyAlignment="1">
      <alignment horizontal="center" vertical="center" wrapText="1"/>
    </xf>
    <xf numFmtId="0" fontId="27" fillId="2" borderId="11" xfId="0" applyFont="1" applyFill="1" applyBorder="1" applyAlignment="1">
      <alignment horizontal="left" vertical="center" wrapText="1" indent="1"/>
    </xf>
    <xf numFmtId="0" fontId="27" fillId="0" borderId="24" xfId="0" applyFont="1" applyBorder="1" applyAlignment="1">
      <alignment horizontal="center" vertical="center"/>
    </xf>
    <xf numFmtId="0" fontId="27" fillId="4" borderId="52" xfId="0" applyFont="1" applyFill="1" applyBorder="1" applyAlignment="1">
      <alignment horizontal="center"/>
    </xf>
    <xf numFmtId="0" fontId="31" fillId="4" borderId="10" xfId="0" applyFont="1" applyFill="1" applyBorder="1" applyAlignment="1">
      <alignment horizontal="left" vertical="top" wrapText="1" indent="1"/>
    </xf>
    <xf numFmtId="4" fontId="31" fillId="3" borderId="10" xfId="0" applyNumberFormat="1" applyFont="1" applyFill="1" applyBorder="1" applyAlignment="1">
      <alignment horizontal="center"/>
    </xf>
    <xf numFmtId="4" fontId="31" fillId="3" borderId="10" xfId="0" applyNumberFormat="1" applyFont="1" applyFill="1" applyBorder="1" applyAlignment="1">
      <alignment horizontal="center" vertical="top" wrapText="1"/>
    </xf>
    <xf numFmtId="4" fontId="24" fillId="0" borderId="0" xfId="0" applyNumberFormat="1" applyFont="1"/>
    <xf numFmtId="4" fontId="24" fillId="3" borderId="10" xfId="0" applyNumberFormat="1" applyFont="1" applyFill="1" applyBorder="1" applyAlignment="1">
      <alignment horizontal="center"/>
    </xf>
    <xf numFmtId="4" fontId="24" fillId="3" borderId="26" xfId="0" applyNumberFormat="1" applyFont="1" applyFill="1" applyBorder="1" applyAlignment="1">
      <alignment vertical="top" wrapText="1"/>
    </xf>
    <xf numFmtId="0" fontId="27" fillId="0" borderId="11" xfId="0" applyFont="1" applyBorder="1" applyAlignment="1">
      <alignment horizontal="left" wrapText="1"/>
    </xf>
    <xf numFmtId="0" fontId="27" fillId="0" borderId="3" xfId="0" applyFont="1" applyFill="1" applyBorder="1" applyAlignment="1">
      <alignment horizontal="left" wrapText="1" indent="1"/>
    </xf>
    <xf numFmtId="167" fontId="66" fillId="0" borderId="50" xfId="0" applyNumberFormat="1" applyFont="1" applyBorder="1"/>
    <xf numFmtId="167" fontId="27" fillId="0" borderId="3" xfId="0" applyNumberFormat="1" applyFont="1" applyBorder="1" applyAlignment="1">
      <alignment horizontal="center" vertical="center" wrapText="1"/>
    </xf>
    <xf numFmtId="167" fontId="27" fillId="0" borderId="17" xfId="0" applyNumberFormat="1" applyFont="1" applyBorder="1" applyAlignment="1">
      <alignment horizontal="center" vertical="center" wrapText="1"/>
    </xf>
    <xf numFmtId="167" fontId="18" fillId="0" borderId="50" xfId="0" applyNumberFormat="1" applyFont="1" applyBorder="1" applyAlignment="1">
      <alignment horizontal="center" wrapText="1"/>
    </xf>
    <xf numFmtId="167" fontId="66" fillId="0" borderId="0" xfId="0" applyNumberFormat="1" applyFont="1" applyBorder="1" applyAlignment="1">
      <alignment horizontal="center"/>
    </xf>
    <xf numFmtId="167" fontId="24" fillId="3" borderId="26" xfId="0" applyNumberFormat="1" applyFont="1" applyFill="1" applyBorder="1" applyAlignment="1">
      <alignment horizontal="center" wrapText="1"/>
    </xf>
    <xf numFmtId="0" fontId="27" fillId="0" borderId="17" xfId="0" applyFont="1" applyBorder="1" applyAlignment="1">
      <alignment horizontal="left" wrapText="1"/>
    </xf>
    <xf numFmtId="0" fontId="127" fillId="0" borderId="3" xfId="0" applyFont="1" applyBorder="1" applyAlignment="1">
      <alignment horizontal="left"/>
    </xf>
    <xf numFmtId="0" fontId="27" fillId="0" borderId="3" xfId="0" applyFont="1" applyFill="1" applyBorder="1" applyAlignment="1">
      <alignment horizontal="left"/>
    </xf>
    <xf numFmtId="167" fontId="126" fillId="0" borderId="65" xfId="0" applyNumberFormat="1" applyFont="1" applyBorder="1"/>
    <xf numFmtId="4" fontId="8" fillId="0" borderId="26" xfId="0" applyNumberFormat="1" applyFont="1" applyBorder="1"/>
    <xf numFmtId="0" fontId="127" fillId="0" borderId="3" xfId="0" applyFont="1" applyBorder="1"/>
    <xf numFmtId="0" fontId="27" fillId="0" borderId="3" xfId="0" applyFont="1" applyBorder="1" applyAlignment="1">
      <alignment horizontal="left" vertical="center" wrapText="1"/>
    </xf>
    <xf numFmtId="167" fontId="18" fillId="2" borderId="50" xfId="0" applyNumberFormat="1" applyFont="1" applyFill="1" applyBorder="1" applyAlignment="1">
      <alignment wrapText="1"/>
    </xf>
    <xf numFmtId="167" fontId="88" fillId="2" borderId="50" xfId="0" applyNumberFormat="1" applyFont="1" applyFill="1" applyBorder="1" applyAlignment="1">
      <alignment wrapText="1"/>
    </xf>
    <xf numFmtId="4" fontId="24" fillId="2" borderId="51" xfId="0" applyNumberFormat="1" applyFont="1" applyFill="1" applyBorder="1" applyAlignment="1">
      <alignment horizontal="right" wrapText="1"/>
    </xf>
    <xf numFmtId="0" fontId="125" fillId="4" borderId="27" xfId="0" applyFont="1" applyFill="1" applyBorder="1" applyAlignment="1">
      <alignment horizontal="center" vertical="center" wrapText="1"/>
    </xf>
    <xf numFmtId="0" fontId="27" fillId="0" borderId="39" xfId="0" applyFont="1" applyBorder="1" applyAlignment="1">
      <alignment horizontal="center" vertical="center"/>
    </xf>
    <xf numFmtId="167" fontId="27" fillId="0" borderId="33" xfId="0" applyNumberFormat="1" applyFont="1" applyBorder="1" applyAlignment="1">
      <alignment horizontal="center" vertical="center"/>
    </xf>
    <xf numFmtId="167" fontId="26" fillId="0" borderId="18" xfId="0" applyNumberFormat="1" applyFont="1" applyBorder="1" applyAlignment="1">
      <alignment horizontal="center" vertical="center"/>
    </xf>
    <xf numFmtId="167" fontId="124" fillId="0" borderId="23" xfId="0" applyNumberFormat="1" applyFont="1" applyBorder="1" applyAlignment="1">
      <alignment horizontal="center" vertical="center"/>
    </xf>
    <xf numFmtId="167" fontId="26" fillId="0" borderId="23" xfId="0" applyNumberFormat="1" applyFont="1" applyBorder="1" applyAlignment="1">
      <alignment horizontal="center" vertical="center"/>
    </xf>
    <xf numFmtId="167" fontId="27" fillId="0" borderId="8" xfId="0" applyNumberFormat="1" applyFont="1" applyBorder="1" applyAlignment="1">
      <alignment horizontal="center" vertical="center"/>
    </xf>
    <xf numFmtId="167" fontId="26" fillId="0" borderId="19" xfId="0" applyNumberFormat="1" applyFont="1" applyBorder="1" applyAlignment="1">
      <alignment horizontal="center" vertical="center"/>
    </xf>
    <xf numFmtId="167" fontId="124" fillId="0" borderId="25" xfId="0" applyNumberFormat="1" applyFont="1" applyBorder="1" applyAlignment="1">
      <alignment horizontal="center" vertical="center"/>
    </xf>
    <xf numFmtId="167" fontId="26" fillId="0" borderId="25" xfId="0" applyNumberFormat="1" applyFont="1" applyBorder="1" applyAlignment="1">
      <alignment horizontal="center" vertical="center"/>
    </xf>
    <xf numFmtId="167" fontId="26" fillId="0" borderId="19" xfId="0" applyNumberFormat="1" applyFont="1" applyBorder="1" applyAlignment="1">
      <alignment horizontal="center" vertical="center" wrapText="1"/>
    </xf>
    <xf numFmtId="167" fontId="124" fillId="0" borderId="25" xfId="0" applyNumberFormat="1" applyFont="1" applyBorder="1" applyAlignment="1">
      <alignment horizontal="center" vertical="center" wrapText="1"/>
    </xf>
    <xf numFmtId="167" fontId="26" fillId="0" borderId="25" xfId="0" applyNumberFormat="1" applyFont="1" applyBorder="1" applyAlignment="1">
      <alignment horizontal="center" vertical="center" wrapText="1"/>
    </xf>
    <xf numFmtId="167" fontId="24" fillId="4" borderId="21" xfId="0" applyNumberFormat="1" applyFont="1" applyFill="1" applyBorder="1" applyAlignment="1">
      <alignment horizontal="center" wrapText="1"/>
    </xf>
    <xf numFmtId="167" fontId="24" fillId="4" borderId="120" xfId="0" applyNumberFormat="1" applyFont="1" applyFill="1" applyBorder="1" applyAlignment="1">
      <alignment horizontal="center" wrapText="1"/>
    </xf>
    <xf numFmtId="167" fontId="24" fillId="4" borderId="24" xfId="0" applyNumberFormat="1" applyFont="1" applyFill="1" applyBorder="1" applyAlignment="1">
      <alignment horizontal="center" wrapText="1"/>
    </xf>
    <xf numFmtId="167" fontId="111" fillId="4" borderId="22" xfId="0" applyNumberFormat="1" applyFont="1" applyFill="1" applyBorder="1" applyAlignment="1">
      <alignment horizontal="center" wrapText="1"/>
    </xf>
    <xf numFmtId="4" fontId="24" fillId="4" borderId="26" xfId="0" applyNumberFormat="1" applyFont="1" applyFill="1" applyBorder="1" applyAlignment="1">
      <alignment horizontal="center" wrapText="1"/>
    </xf>
    <xf numFmtId="167" fontId="26" fillId="0" borderId="48" xfId="0" applyNumberFormat="1" applyFont="1" applyBorder="1" applyAlignment="1">
      <alignment horizontal="center" wrapText="1"/>
    </xf>
    <xf numFmtId="167" fontId="124" fillId="0" borderId="38" xfId="0" applyNumberFormat="1" applyFont="1" applyBorder="1" applyAlignment="1">
      <alignment horizontal="center" wrapText="1"/>
    </xf>
    <xf numFmtId="4" fontId="8" fillId="0" borderId="38" xfId="0" applyNumberFormat="1" applyFont="1" applyBorder="1" applyAlignment="1">
      <alignment horizontal="center"/>
    </xf>
    <xf numFmtId="167" fontId="26" fillId="0" borderId="19" xfId="0" applyNumberFormat="1" applyFont="1" applyBorder="1" applyAlignment="1">
      <alignment horizontal="center" wrapText="1"/>
    </xf>
    <xf numFmtId="167" fontId="124" fillId="0" borderId="25" xfId="0" applyNumberFormat="1" applyFont="1" applyBorder="1" applyAlignment="1">
      <alignment horizontal="center" wrapText="1"/>
    </xf>
    <xf numFmtId="4" fontId="8" fillId="0" borderId="22" xfId="0" applyNumberFormat="1" applyFont="1" applyBorder="1" applyAlignment="1">
      <alignment horizontal="center"/>
    </xf>
    <xf numFmtId="4" fontId="24" fillId="4" borderId="10" xfId="0" applyNumberFormat="1" applyFont="1" applyFill="1" applyBorder="1" applyAlignment="1">
      <alignment horizontal="center" wrapText="1"/>
    </xf>
    <xf numFmtId="167" fontId="24" fillId="4" borderId="17" xfId="0" applyNumberFormat="1" applyFont="1" applyFill="1" applyBorder="1" applyAlignment="1">
      <alignment horizontal="center" vertical="center" wrapText="1"/>
    </xf>
    <xf numFmtId="167" fontId="24" fillId="4" borderId="49" xfId="0" applyNumberFormat="1" applyFont="1" applyFill="1" applyBorder="1" applyAlignment="1">
      <alignment horizontal="center" vertical="center"/>
    </xf>
    <xf numFmtId="167" fontId="24" fillId="4" borderId="27" xfId="0" applyNumberFormat="1" applyFont="1" applyFill="1" applyBorder="1" applyAlignment="1">
      <alignment horizontal="center" vertical="center" wrapText="1"/>
    </xf>
    <xf numFmtId="4" fontId="111" fillId="4" borderId="26" xfId="0" applyNumberFormat="1" applyFont="1" applyFill="1" applyBorder="1" applyAlignment="1">
      <alignment horizontal="center" vertical="center" wrapText="1"/>
    </xf>
    <xf numFmtId="167" fontId="19" fillId="0" borderId="111" xfId="0" applyNumberFormat="1" applyFont="1" applyBorder="1" applyAlignment="1">
      <alignment horizontal="center"/>
    </xf>
    <xf numFmtId="167" fontId="31" fillId="0" borderId="50" xfId="0" applyNumberFormat="1" applyFont="1" applyBorder="1" applyAlignment="1">
      <alignment horizontal="center" wrapText="1"/>
    </xf>
    <xf numFmtId="0" fontId="40" fillId="0" borderId="0" xfId="0" applyFont="1" applyAlignment="1">
      <alignment horizontal="center" vertical="center" wrapText="1"/>
    </xf>
    <xf numFmtId="167" fontId="31" fillId="0" borderId="0" xfId="0" applyNumberFormat="1" applyFont="1" applyBorder="1" applyAlignment="1">
      <alignment wrapText="1"/>
    </xf>
    <xf numFmtId="167" fontId="31" fillId="0" borderId="10" xfId="0" applyNumberFormat="1" applyFont="1" applyBorder="1" applyAlignment="1">
      <alignment horizontal="center" wrapText="1"/>
    </xf>
    <xf numFmtId="3" fontId="25" fillId="0" borderId="0" xfId="0" applyNumberFormat="1" applyFont="1"/>
    <xf numFmtId="3" fontId="22" fillId="0" borderId="52" xfId="0" applyNumberFormat="1" applyFont="1" applyBorder="1" applyAlignment="1">
      <alignment horizontal="center" wrapText="1"/>
    </xf>
    <xf numFmtId="167" fontId="25" fillId="0" borderId="44" xfId="0" applyNumberFormat="1" applyFont="1" applyBorder="1"/>
    <xf numFmtId="3" fontId="25" fillId="0" borderId="44" xfId="0" applyNumberFormat="1" applyFont="1" applyBorder="1"/>
    <xf numFmtId="3" fontId="26" fillId="0" borderId="18" xfId="0" applyNumberFormat="1" applyFont="1" applyBorder="1" applyAlignment="1">
      <alignment horizontal="center"/>
    </xf>
    <xf numFmtId="167" fontId="26" fillId="0" borderId="17" xfId="0" applyNumberFormat="1" applyFont="1" applyBorder="1" applyAlignment="1">
      <alignment horizontal="center" vertical="top"/>
    </xf>
    <xf numFmtId="3" fontId="26" fillId="0" borderId="19" xfId="0" applyNumberFormat="1" applyFont="1" applyBorder="1" applyAlignment="1">
      <alignment horizontal="center"/>
    </xf>
    <xf numFmtId="167" fontId="26" fillId="0" borderId="3" xfId="0" applyNumberFormat="1" applyFont="1" applyBorder="1" applyAlignment="1">
      <alignment horizontal="center" vertical="top"/>
    </xf>
    <xf numFmtId="3" fontId="26" fillId="0" borderId="39" xfId="0" applyNumberFormat="1" applyFont="1" applyBorder="1" applyAlignment="1">
      <alignment horizontal="center"/>
    </xf>
    <xf numFmtId="167" fontId="26" fillId="0" borderId="21" xfId="0" applyNumberFormat="1" applyFont="1" applyBorder="1" applyAlignment="1">
      <alignment horizontal="center" vertical="top"/>
    </xf>
    <xf numFmtId="167" fontId="26" fillId="0" borderId="11" xfId="0" applyNumberFormat="1" applyFont="1" applyBorder="1" applyAlignment="1">
      <alignment horizontal="center" vertical="top"/>
    </xf>
    <xf numFmtId="167" fontId="18" fillId="4" borderId="10" xfId="0" applyNumberFormat="1" applyFont="1" applyFill="1" applyBorder="1" applyAlignment="1">
      <alignment horizontal="center" vertical="top" wrapText="1"/>
    </xf>
    <xf numFmtId="167" fontId="25" fillId="0" borderId="50" xfId="0" applyNumberFormat="1" applyFont="1" applyBorder="1"/>
    <xf numFmtId="3" fontId="25" fillId="0" borderId="50" xfId="0" applyNumberFormat="1" applyFont="1" applyBorder="1"/>
    <xf numFmtId="167" fontId="26" fillId="0" borderId="50" xfId="0" applyNumberFormat="1" applyFont="1" applyBorder="1" applyAlignment="1">
      <alignment horizontal="center"/>
    </xf>
    <xf numFmtId="167" fontId="26" fillId="0" borderId="9" xfId="0" applyNumberFormat="1" applyFont="1" applyBorder="1" applyAlignment="1">
      <alignment horizontal="center" vertical="top"/>
    </xf>
    <xf numFmtId="167" fontId="26" fillId="0" borderId="45" xfId="0" applyNumberFormat="1" applyFont="1" applyBorder="1" applyAlignment="1">
      <alignment horizontal="center" vertical="top"/>
    </xf>
    <xf numFmtId="3" fontId="22" fillId="0" borderId="52" xfId="0" applyNumberFormat="1" applyFont="1" applyBorder="1" applyAlignment="1">
      <alignment horizontal="center" vertical="top" wrapText="1"/>
    </xf>
    <xf numFmtId="3" fontId="25" fillId="0" borderId="0" xfId="0" applyNumberFormat="1" applyFont="1" applyBorder="1"/>
    <xf numFmtId="167" fontId="26" fillId="0" borderId="54" xfId="0" applyNumberFormat="1" applyFont="1" applyBorder="1" applyAlignment="1">
      <alignment horizontal="center"/>
    </xf>
    <xf numFmtId="3" fontId="26" fillId="4" borderId="10" xfId="0" applyNumberFormat="1" applyFont="1" applyFill="1" applyBorder="1" applyAlignment="1">
      <alignment horizontal="center"/>
    </xf>
    <xf numFmtId="167" fontId="18" fillId="11" borderId="10" xfId="0" applyNumberFormat="1" applyFont="1" applyFill="1" applyBorder="1" applyAlignment="1">
      <alignment horizontal="center" vertical="top" wrapText="1"/>
    </xf>
    <xf numFmtId="0" fontId="107" fillId="0" borderId="0" xfId="0" applyFont="1" applyBorder="1" applyAlignment="1">
      <alignment horizontal="center" vertical="center" wrapText="1"/>
    </xf>
    <xf numFmtId="167" fontId="25" fillId="0" borderId="0" xfId="0" applyNumberFormat="1" applyFont="1" applyBorder="1"/>
    <xf numFmtId="0" fontId="0" fillId="13" borderId="0" xfId="0" applyFill="1"/>
    <xf numFmtId="167" fontId="27" fillId="14" borderId="3" xfId="0" applyNumberFormat="1" applyFont="1" applyFill="1" applyBorder="1" applyAlignment="1">
      <alignment horizontal="left" vertical="top" wrapText="1" indent="1"/>
    </xf>
    <xf numFmtId="0" fontId="0" fillId="14" borderId="0" xfId="0" applyFill="1"/>
    <xf numFmtId="171" fontId="30" fillId="0" borderId="0" xfId="1" applyNumberFormat="1" applyFont="1"/>
    <xf numFmtId="171" fontId="30" fillId="14" borderId="0" xfId="1" applyNumberFormat="1" applyFont="1" applyFill="1"/>
    <xf numFmtId="171" fontId="30" fillId="13" borderId="0" xfId="1" applyNumberFormat="1" applyFont="1" applyFill="1"/>
    <xf numFmtId="167" fontId="55" fillId="0" borderId="0" xfId="0" applyNumberFormat="1" applyFont="1"/>
    <xf numFmtId="3" fontId="55" fillId="0" borderId="0" xfId="0" applyNumberFormat="1" applyFont="1"/>
    <xf numFmtId="9" fontId="128" fillId="0" borderId="0" xfId="3" applyFont="1" applyBorder="1" applyAlignment="1">
      <alignment horizontal="center" vertical="center" wrapText="1"/>
    </xf>
    <xf numFmtId="167" fontId="26" fillId="14" borderId="3" xfId="0" applyNumberFormat="1" applyFont="1" applyFill="1" applyBorder="1" applyAlignment="1">
      <alignment horizontal="center" vertical="top"/>
    </xf>
    <xf numFmtId="167" fontId="26" fillId="0" borderId="183" xfId="0" applyNumberFormat="1" applyFont="1" applyBorder="1" applyAlignment="1">
      <alignment horizontal="center" vertical="top"/>
    </xf>
    <xf numFmtId="167" fontId="18" fillId="4" borderId="47" xfId="0" applyNumberFormat="1" applyFont="1" applyFill="1" applyBorder="1" applyAlignment="1">
      <alignment horizontal="center" vertical="top" wrapText="1"/>
    </xf>
    <xf numFmtId="167" fontId="18" fillId="4" borderId="184" xfId="0" applyNumberFormat="1" applyFont="1" applyFill="1" applyBorder="1" applyAlignment="1">
      <alignment horizontal="center" vertical="top" wrapText="1"/>
    </xf>
    <xf numFmtId="167" fontId="18" fillId="4" borderId="185" xfId="0" applyNumberFormat="1" applyFont="1" applyFill="1" applyBorder="1" applyAlignment="1">
      <alignment horizontal="center" vertical="top" wrapText="1"/>
    </xf>
    <xf numFmtId="167" fontId="18" fillId="4" borderId="186" xfId="0" applyNumberFormat="1" applyFont="1" applyFill="1" applyBorder="1" applyAlignment="1">
      <alignment horizontal="center" vertical="top" wrapText="1"/>
    </xf>
    <xf numFmtId="167" fontId="18" fillId="4" borderId="97" xfId="0" applyNumberFormat="1" applyFont="1" applyFill="1" applyBorder="1" applyAlignment="1">
      <alignment horizontal="center" vertical="top" wrapText="1"/>
    </xf>
    <xf numFmtId="167" fontId="18" fillId="15" borderId="10" xfId="0" applyNumberFormat="1" applyFont="1" applyFill="1" applyBorder="1" applyAlignment="1">
      <alignment horizontal="center" vertical="top" wrapText="1"/>
    </xf>
    <xf numFmtId="167" fontId="18" fillId="11" borderId="10" xfId="0" applyNumberFormat="1" applyFont="1" applyFill="1" applyBorder="1" applyAlignment="1">
      <alignment horizontal="center" vertical="center" wrapText="1"/>
    </xf>
    <xf numFmtId="3" fontId="26" fillId="0" borderId="48" xfId="0" applyNumberFormat="1" applyFont="1" applyBorder="1" applyAlignment="1">
      <alignment horizontal="center"/>
    </xf>
    <xf numFmtId="167" fontId="27" fillId="0" borderId="9" xfId="0" applyNumberFormat="1" applyFont="1" applyBorder="1" applyAlignment="1">
      <alignment horizontal="left" vertical="top" wrapText="1" indent="1"/>
    </xf>
    <xf numFmtId="167" fontId="27" fillId="0" borderId="11" xfId="0" applyNumberFormat="1" applyFont="1" applyBorder="1" applyAlignment="1">
      <alignment horizontal="left" vertical="top" wrapText="1" indent="1"/>
    </xf>
    <xf numFmtId="0" fontId="65" fillId="0" borderId="14" xfId="0" applyFont="1" applyBorder="1" applyAlignment="1" applyProtection="1"/>
    <xf numFmtId="0" fontId="65" fillId="0" borderId="155" xfId="0" applyFont="1" applyBorder="1" applyAlignment="1" applyProtection="1"/>
    <xf numFmtId="0" fontId="65" fillId="0" borderId="156" xfId="0" applyFont="1" applyBorder="1" applyAlignment="1" applyProtection="1"/>
    <xf numFmtId="0" fontId="59" fillId="4" borderId="67" xfId="0" applyFont="1" applyFill="1" applyBorder="1" applyAlignment="1" applyProtection="1">
      <alignment horizontal="center" vertical="center"/>
    </xf>
    <xf numFmtId="0" fontId="59" fillId="4" borderId="68" xfId="0" applyFont="1" applyFill="1" applyBorder="1" applyAlignment="1" applyProtection="1">
      <alignment horizontal="center" vertical="center"/>
    </xf>
    <xf numFmtId="0" fontId="59" fillId="0" borderId="31" xfId="0" applyFont="1" applyBorder="1" applyAlignment="1" applyProtection="1">
      <alignment horizontal="center" vertical="center" wrapText="1"/>
    </xf>
    <xf numFmtId="0" fontId="59" fillId="0" borderId="32" xfId="0" applyFont="1" applyBorder="1" applyAlignment="1" applyProtection="1">
      <alignment horizontal="center" vertical="center" wrapText="1"/>
    </xf>
    <xf numFmtId="0" fontId="59" fillId="0" borderId="158" xfId="0" applyFont="1" applyBorder="1" applyAlignment="1" applyProtection="1">
      <alignment horizontal="center" vertical="center" wrapText="1"/>
    </xf>
    <xf numFmtId="0" fontId="31" fillId="4" borderId="67" xfId="0" applyFont="1" applyFill="1" applyBorder="1" applyAlignment="1" applyProtection="1">
      <alignment horizontal="center" vertical="center" wrapText="1"/>
    </xf>
    <xf numFmtId="0" fontId="31" fillId="4" borderId="68" xfId="0" applyFont="1" applyFill="1" applyBorder="1" applyAlignment="1" applyProtection="1">
      <alignment horizontal="center" vertical="center" wrapText="1"/>
    </xf>
    <xf numFmtId="0" fontId="24" fillId="4" borderId="14" xfId="0" applyFont="1" applyFill="1" applyBorder="1" applyAlignment="1" applyProtection="1">
      <alignment horizontal="center" vertical="center" wrapText="1"/>
    </xf>
    <xf numFmtId="0" fontId="24" fillId="4" borderId="160" xfId="0" applyFont="1" applyFill="1" applyBorder="1" applyAlignment="1" applyProtection="1">
      <alignment horizontal="center" vertical="center" wrapText="1"/>
    </xf>
    <xf numFmtId="0" fontId="59" fillId="4" borderId="67" xfId="0" applyFont="1" applyFill="1" applyBorder="1" applyAlignment="1" applyProtection="1">
      <alignment horizontal="center" vertical="center" wrapText="1"/>
    </xf>
    <xf numFmtId="0" fontId="59" fillId="4" borderId="68" xfId="0" applyFont="1" applyFill="1" applyBorder="1" applyAlignment="1" applyProtection="1">
      <alignment horizontal="center" vertical="center" wrapText="1"/>
    </xf>
    <xf numFmtId="0" fontId="59" fillId="0" borderId="159" xfId="0" applyFont="1" applyBorder="1" applyAlignment="1" applyProtection="1">
      <alignment horizontal="center" vertical="center" wrapText="1"/>
    </xf>
    <xf numFmtId="0" fontId="30" fillId="0" borderId="111" xfId="0" applyFont="1" applyBorder="1" applyAlignment="1" applyProtection="1">
      <alignment vertical="center" wrapText="1"/>
    </xf>
    <xf numFmtId="0" fontId="30" fillId="0" borderId="148" xfId="0" applyFont="1" applyBorder="1" applyAlignment="1" applyProtection="1">
      <alignment vertical="center" wrapText="1"/>
    </xf>
    <xf numFmtId="0" fontId="59" fillId="0" borderId="0" xfId="0" applyFont="1" applyAlignment="1" applyProtection="1">
      <alignment horizontal="center"/>
      <protection locked="0"/>
    </xf>
    <xf numFmtId="0" fontId="30" fillId="0" borderId="0" xfId="0" applyFont="1" applyAlignment="1" applyProtection="1">
      <alignment horizontal="center"/>
      <protection locked="0"/>
    </xf>
    <xf numFmtId="0" fontId="30" fillId="0" borderId="0" xfId="0" applyFont="1" applyProtection="1">
      <protection locked="0"/>
    </xf>
    <xf numFmtId="0" fontId="59" fillId="0" borderId="0" xfId="0" applyFont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30" fillId="0" borderId="32" xfId="0" applyFont="1" applyBorder="1" applyAlignment="1" applyProtection="1">
      <alignment vertical="center" wrapText="1"/>
    </xf>
    <xf numFmtId="0" fontId="30" fillId="0" borderId="158" xfId="0" applyFont="1" applyBorder="1" applyAlignment="1" applyProtection="1">
      <alignment vertical="center" wrapText="1"/>
    </xf>
    <xf numFmtId="0" fontId="26" fillId="0" borderId="0" xfId="0" applyFont="1" applyAlignment="1">
      <alignment horizontal="left" wrapText="1"/>
    </xf>
    <xf numFmtId="0" fontId="22" fillId="3" borderId="52" xfId="0" applyFont="1" applyFill="1" applyBorder="1" applyAlignment="1">
      <alignment horizontal="center"/>
    </xf>
    <xf numFmtId="0" fontId="22" fillId="3" borderId="51" xfId="0" applyFont="1" applyFill="1" applyBorder="1" applyAlignment="1">
      <alignment horizontal="center"/>
    </xf>
    <xf numFmtId="0" fontId="24" fillId="0" borderId="50" xfId="0" applyFont="1" applyBorder="1" applyAlignment="1">
      <alignment horizontal="center" wrapText="1"/>
    </xf>
    <xf numFmtId="0" fontId="125" fillId="4" borderId="24" xfId="0" applyFont="1" applyFill="1" applyBorder="1" applyAlignment="1">
      <alignment horizontal="center" wrapText="1"/>
    </xf>
    <xf numFmtId="0" fontId="125" fillId="4" borderId="21" xfId="0" applyFont="1" applyFill="1" applyBorder="1" applyAlignment="1">
      <alignment horizontal="center" wrapText="1"/>
    </xf>
    <xf numFmtId="0" fontId="24" fillId="2" borderId="50" xfId="0" applyFont="1" applyFill="1" applyBorder="1" applyAlignment="1">
      <alignment horizontal="center" wrapText="1"/>
    </xf>
    <xf numFmtId="0" fontId="18" fillId="0" borderId="50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1" fillId="0" borderId="50" xfId="0" applyFont="1" applyBorder="1" applyAlignment="1">
      <alignment horizontal="center" vertical="center" wrapText="1"/>
    </xf>
    <xf numFmtId="167" fontId="125" fillId="4" borderId="24" xfId="0" applyNumberFormat="1" applyFont="1" applyFill="1" applyBorder="1" applyAlignment="1">
      <alignment horizontal="center" wrapText="1"/>
    </xf>
    <xf numFmtId="167" fontId="125" fillId="4" borderId="21" xfId="0" applyNumberFormat="1" applyFont="1" applyFill="1" applyBorder="1" applyAlignment="1">
      <alignment horizontal="center" wrapText="1"/>
    </xf>
    <xf numFmtId="0" fontId="24" fillId="3" borderId="52" xfId="0" applyFont="1" applyFill="1" applyBorder="1" applyAlignment="1">
      <alignment horizontal="center" vertical="center" wrapText="1"/>
    </xf>
    <xf numFmtId="0" fontId="24" fillId="3" borderId="6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2" fillId="0" borderId="63" xfId="0" applyFont="1" applyBorder="1" applyAlignment="1">
      <alignment horizontal="center" vertical="center"/>
    </xf>
    <xf numFmtId="0" fontId="0" fillId="0" borderId="61" xfId="0" applyBorder="1"/>
    <xf numFmtId="0" fontId="48" fillId="0" borderId="42" xfId="0" applyFont="1" applyBorder="1" applyAlignment="1">
      <alignment horizontal="left" vertical="center" wrapText="1" indent="1"/>
    </xf>
    <xf numFmtId="0" fontId="0" fillId="0" borderId="45" xfId="0" applyBorder="1" applyAlignment="1">
      <alignment horizontal="left" indent="1"/>
    </xf>
    <xf numFmtId="3" fontId="48" fillId="0" borderId="42" xfId="0" applyNumberFormat="1" applyFont="1" applyBorder="1" applyAlignment="1">
      <alignment horizontal="center" vertical="center" wrapText="1"/>
    </xf>
    <xf numFmtId="3" fontId="48" fillId="0" borderId="45" xfId="0" applyNumberFormat="1" applyFont="1" applyBorder="1" applyAlignment="1">
      <alignment horizontal="center" vertical="center" wrapText="1"/>
    </xf>
    <xf numFmtId="0" fontId="52" fillId="4" borderId="161" xfId="0" applyFont="1" applyFill="1" applyBorder="1" applyAlignment="1">
      <alignment horizontal="center" vertical="center" wrapText="1"/>
    </xf>
    <xf numFmtId="0" fontId="0" fillId="0" borderId="121" xfId="0" applyBorder="1"/>
    <xf numFmtId="3" fontId="48" fillId="0" borderId="151" xfId="0" applyNumberFormat="1" applyFont="1" applyBorder="1" applyAlignment="1">
      <alignment horizontal="center" vertical="center" wrapText="1"/>
    </xf>
    <xf numFmtId="3" fontId="48" fillId="0" borderId="106" xfId="0" applyNumberFormat="1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top" wrapText="1"/>
    </xf>
    <xf numFmtId="0" fontId="3" fillId="4" borderId="161" xfId="0" applyFont="1" applyFill="1" applyBorder="1" applyAlignment="1">
      <alignment horizontal="center" vertical="top" wrapText="1"/>
    </xf>
    <xf numFmtId="3" fontId="86" fillId="0" borderId="151" xfId="0" applyNumberFormat="1" applyFont="1" applyBorder="1" applyAlignment="1">
      <alignment horizontal="center" vertical="center" wrapText="1"/>
    </xf>
    <xf numFmtId="3" fontId="86" fillId="0" borderId="106" xfId="0" applyNumberFormat="1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top" wrapText="1"/>
    </xf>
    <xf numFmtId="0" fontId="3" fillId="0" borderId="51" xfId="0" applyFont="1" applyBorder="1" applyAlignment="1">
      <alignment horizontal="center" vertical="top" wrapText="1"/>
    </xf>
    <xf numFmtId="0" fontId="3" fillId="0" borderId="52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52" xfId="0" applyFont="1" applyFill="1" applyBorder="1" applyAlignment="1">
      <alignment horizontal="center" wrapText="1"/>
    </xf>
    <xf numFmtId="0" fontId="0" fillId="0" borderId="65" xfId="0" applyBorder="1"/>
    <xf numFmtId="0" fontId="3" fillId="3" borderId="52" xfId="0" applyFont="1" applyFill="1" applyBorder="1" applyAlignment="1">
      <alignment horizontal="center" wrapText="1"/>
    </xf>
    <xf numFmtId="0" fontId="3" fillId="4" borderId="161" xfId="0" applyFont="1" applyFill="1" applyBorder="1" applyAlignment="1">
      <alignment horizontal="center"/>
    </xf>
    <xf numFmtId="0" fontId="3" fillId="3" borderId="52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 vertical="top" wrapText="1"/>
    </xf>
    <xf numFmtId="0" fontId="3" fillId="4" borderId="21" xfId="0" applyFont="1" applyFill="1" applyBorder="1" applyAlignment="1">
      <alignment horizontal="center" vertical="top" wrapText="1"/>
    </xf>
    <xf numFmtId="0" fontId="3" fillId="0" borderId="4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0" borderId="65" xfId="0" applyFont="1" applyFill="1" applyBorder="1" applyAlignment="1">
      <alignment horizontal="center" wrapText="1"/>
    </xf>
    <xf numFmtId="0" fontId="3" fillId="3" borderId="65" xfId="0" applyFont="1" applyFill="1" applyBorder="1" applyAlignment="1">
      <alignment horizontal="center" wrapText="1"/>
    </xf>
    <xf numFmtId="0" fontId="52" fillId="4" borderId="24" xfId="0" applyFont="1" applyFill="1" applyBorder="1" applyAlignment="1">
      <alignment horizontal="center" vertical="center" wrapText="1"/>
    </xf>
    <xf numFmtId="0" fontId="52" fillId="4" borderId="21" xfId="0" applyFont="1" applyFill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54" xfId="0" applyFont="1" applyBorder="1" applyAlignment="1">
      <alignment horizontal="center" vertical="top" wrapText="1"/>
    </xf>
    <xf numFmtId="3" fontId="0" fillId="0" borderId="45" xfId="0" applyNumberForma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61" xfId="0" applyFont="1" applyBorder="1" applyAlignment="1">
      <alignment horizontal="center" vertical="center"/>
    </xf>
    <xf numFmtId="0" fontId="0" fillId="0" borderId="45" xfId="0" applyBorder="1" applyAlignment="1">
      <alignment horizontal="left" vertical="center" wrapText="1" indent="1"/>
    </xf>
    <xf numFmtId="3" fontId="48" fillId="0" borderId="64" xfId="0" applyNumberFormat="1" applyFont="1" applyBorder="1" applyAlignment="1">
      <alignment horizontal="center" vertical="center" wrapText="1"/>
    </xf>
    <xf numFmtId="3" fontId="48" fillId="0" borderId="62" xfId="0" applyNumberFormat="1" applyFont="1" applyBorder="1" applyAlignment="1">
      <alignment horizontal="center" vertical="center" wrapText="1"/>
    </xf>
    <xf numFmtId="0" fontId="22" fillId="0" borderId="169" xfId="0" applyFont="1" applyBorder="1" applyAlignment="1">
      <alignment horizontal="center" vertical="top" wrapText="1"/>
    </xf>
    <xf numFmtId="0" fontId="22" fillId="0" borderId="103" xfId="0" applyFont="1" applyBorder="1" applyAlignment="1">
      <alignment horizontal="center" vertical="top" wrapText="1"/>
    </xf>
    <xf numFmtId="0" fontId="22" fillId="0" borderId="0" xfId="0" applyFont="1" applyBorder="1" applyAlignment="1">
      <alignment horizontal="center" wrapText="1"/>
    </xf>
    <xf numFmtId="0" fontId="80" fillId="0" borderId="0" xfId="0" applyFont="1" applyBorder="1" applyAlignment="1">
      <alignment wrapText="1"/>
    </xf>
    <xf numFmtId="0" fontId="78" fillId="0" borderId="0" xfId="0" applyFont="1" applyAlignment="1">
      <alignment wrapText="1"/>
    </xf>
    <xf numFmtId="0" fontId="22" fillId="0" borderId="163" xfId="0" applyFont="1" applyBorder="1" applyAlignment="1">
      <alignment horizontal="center" vertical="top" wrapText="1"/>
    </xf>
    <xf numFmtId="0" fontId="22" fillId="0" borderId="164" xfId="0" applyFont="1" applyBorder="1" applyAlignment="1">
      <alignment horizontal="center" vertical="top" wrapText="1"/>
    </xf>
    <xf numFmtId="0" fontId="22" fillId="0" borderId="52" xfId="0" applyFont="1" applyBorder="1" applyAlignment="1">
      <alignment horizontal="center" vertical="center"/>
    </xf>
    <xf numFmtId="0" fontId="22" fillId="0" borderId="170" xfId="0" applyFont="1" applyBorder="1" applyAlignment="1">
      <alignment horizontal="center" vertical="center"/>
    </xf>
    <xf numFmtId="0" fontId="77" fillId="0" borderId="162" xfId="0" applyFont="1" applyBorder="1" applyAlignment="1">
      <alignment horizontal="center" vertical="center" wrapText="1"/>
    </xf>
    <xf numFmtId="0" fontId="22" fillId="0" borderId="152" xfId="0" applyFont="1" applyBorder="1" applyAlignment="1">
      <alignment horizontal="center" wrapText="1"/>
    </xf>
    <xf numFmtId="0" fontId="77" fillId="0" borderId="0" xfId="0" applyFont="1" applyBorder="1" applyAlignment="1">
      <alignment horizontal="center" vertical="center" wrapText="1"/>
    </xf>
    <xf numFmtId="0" fontId="79" fillId="0" borderId="165" xfId="0" applyFont="1" applyBorder="1" applyAlignment="1">
      <alignment horizontal="center" vertical="center"/>
    </xf>
    <xf numFmtId="0" fontId="79" fillId="0" borderId="166" xfId="0" applyFont="1" applyBorder="1" applyAlignment="1">
      <alignment horizontal="center" vertical="center" wrapText="1"/>
    </xf>
    <xf numFmtId="0" fontId="26" fillId="0" borderId="99" xfId="0" applyFont="1" applyBorder="1" applyAlignment="1">
      <alignment horizontal="center" wrapText="1"/>
    </xf>
    <xf numFmtId="0" fontId="16" fillId="0" borderId="162" xfId="0" applyFont="1" applyBorder="1" applyAlignment="1">
      <alignment horizontal="center" vertical="center" wrapText="1"/>
    </xf>
    <xf numFmtId="0" fontId="79" fillId="0" borderId="167" xfId="0" applyFont="1" applyBorder="1" applyAlignment="1">
      <alignment horizontal="center" wrapText="1"/>
    </xf>
    <xf numFmtId="0" fontId="79" fillId="0" borderId="168" xfId="0" applyFont="1" applyBorder="1" applyAlignment="1">
      <alignment horizontal="center" wrapText="1"/>
    </xf>
    <xf numFmtId="0" fontId="66" fillId="0" borderId="52" xfId="0" applyFont="1" applyBorder="1" applyAlignment="1">
      <alignment horizontal="center"/>
    </xf>
    <xf numFmtId="0" fontId="66" fillId="0" borderId="50" xfId="0" applyFont="1" applyBorder="1" applyAlignment="1">
      <alignment horizontal="center"/>
    </xf>
    <xf numFmtId="0" fontId="66" fillId="0" borderId="65" xfId="0" applyFont="1" applyBorder="1" applyAlignment="1">
      <alignment horizontal="center"/>
    </xf>
    <xf numFmtId="0" fontId="58" fillId="3" borderId="178" xfId="0" applyFont="1" applyFill="1" applyBorder="1" applyAlignment="1">
      <alignment horizontal="center" vertical="center"/>
    </xf>
    <xf numFmtId="0" fontId="58" fillId="3" borderId="179" xfId="0" applyFont="1" applyFill="1" applyBorder="1" applyAlignment="1">
      <alignment horizontal="center" vertical="center"/>
    </xf>
    <xf numFmtId="0" fontId="18" fillId="3" borderId="52" xfId="0" applyFont="1" applyFill="1" applyBorder="1" applyAlignment="1">
      <alignment horizontal="center" vertical="center"/>
    </xf>
    <xf numFmtId="0" fontId="18" fillId="3" borderId="50" xfId="0" applyFont="1" applyFill="1" applyBorder="1" applyAlignment="1">
      <alignment horizontal="center" vertical="center"/>
    </xf>
    <xf numFmtId="4" fontId="8" fillId="3" borderId="52" xfId="0" applyNumberFormat="1" applyFont="1" applyFill="1" applyBorder="1" applyAlignment="1">
      <alignment horizontal="center" vertical="center"/>
    </xf>
    <xf numFmtId="4" fontId="8" fillId="3" borderId="50" xfId="0" applyNumberFormat="1" applyFont="1" applyFill="1" applyBorder="1" applyAlignment="1">
      <alignment horizontal="center" vertical="center"/>
    </xf>
    <xf numFmtId="4" fontId="8" fillId="3" borderId="51" xfId="0" applyNumberFormat="1" applyFont="1" applyFill="1" applyBorder="1" applyAlignment="1">
      <alignment horizontal="center" vertical="center"/>
    </xf>
    <xf numFmtId="0" fontId="113" fillId="0" borderId="63" xfId="0" applyFont="1" applyBorder="1" applyAlignment="1">
      <alignment horizontal="center"/>
    </xf>
    <xf numFmtId="0" fontId="113" fillId="0" borderId="42" xfId="0" applyFont="1" applyBorder="1" applyAlignment="1">
      <alignment horizontal="center"/>
    </xf>
    <xf numFmtId="0" fontId="16" fillId="0" borderId="177" xfId="0" applyFont="1" applyBorder="1" applyAlignment="1">
      <alignment horizontal="center" vertical="center" wrapText="1"/>
    </xf>
    <xf numFmtId="0" fontId="16" fillId="0" borderId="132" xfId="0" applyFont="1" applyBorder="1" applyAlignment="1">
      <alignment horizontal="center" vertical="center" wrapText="1"/>
    </xf>
    <xf numFmtId="0" fontId="58" fillId="3" borderId="52" xfId="0" applyFont="1" applyFill="1" applyBorder="1" applyAlignment="1">
      <alignment horizontal="center" vertical="center" wrapText="1"/>
    </xf>
    <xf numFmtId="0" fontId="58" fillId="3" borderId="50" xfId="0" applyFont="1" applyFill="1" applyBorder="1" applyAlignment="1">
      <alignment horizontal="center" vertical="center" wrapText="1"/>
    </xf>
    <xf numFmtId="4" fontId="18" fillId="0" borderId="116" xfId="0" applyNumberFormat="1" applyFont="1" applyBorder="1" applyAlignment="1">
      <alignment horizontal="center"/>
    </xf>
    <xf numFmtId="4" fontId="18" fillId="0" borderId="3" xfId="0" applyNumberFormat="1" applyFont="1" applyBorder="1" applyAlignment="1">
      <alignment horizontal="center"/>
    </xf>
    <xf numFmtId="0" fontId="18" fillId="3" borderId="52" xfId="0" applyFont="1" applyFill="1" applyBorder="1" applyAlignment="1">
      <alignment horizontal="center" vertical="center" wrapText="1"/>
    </xf>
    <xf numFmtId="0" fontId="18" fillId="3" borderId="50" xfId="0" applyFont="1" applyFill="1" applyBorder="1" applyAlignment="1">
      <alignment horizontal="center" vertical="center" wrapText="1"/>
    </xf>
    <xf numFmtId="0" fontId="38" fillId="3" borderId="140" xfId="0" applyFont="1" applyFill="1" applyBorder="1" applyAlignment="1">
      <alignment horizontal="center" vertical="center" wrapText="1"/>
    </xf>
    <xf numFmtId="0" fontId="38" fillId="3" borderId="141" xfId="0" applyFont="1" applyFill="1" applyBorder="1" applyAlignment="1">
      <alignment horizontal="center" vertical="center" wrapText="1"/>
    </xf>
    <xf numFmtId="0" fontId="38" fillId="3" borderId="142" xfId="0" applyFont="1" applyFill="1" applyBorder="1" applyAlignment="1">
      <alignment horizontal="center" vertical="center" wrapText="1"/>
    </xf>
    <xf numFmtId="0" fontId="38" fillId="2" borderId="140" xfId="0" applyFont="1" applyFill="1" applyBorder="1" applyAlignment="1">
      <alignment horizontal="center" vertical="center" wrapText="1"/>
    </xf>
    <xf numFmtId="0" fontId="38" fillId="2" borderId="141" xfId="0" applyFont="1" applyFill="1" applyBorder="1" applyAlignment="1">
      <alignment horizontal="center" vertical="center" wrapText="1"/>
    </xf>
    <xf numFmtId="0" fontId="38" fillId="2" borderId="142" xfId="0" applyFont="1" applyFill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" fontId="81" fillId="0" borderId="116" xfId="0" applyNumberFormat="1" applyFont="1" applyBorder="1" applyAlignment="1">
      <alignment horizontal="center"/>
    </xf>
    <xf numFmtId="4" fontId="81" fillId="0" borderId="3" xfId="0" applyNumberFormat="1" applyFont="1" applyBorder="1" applyAlignment="1">
      <alignment horizontal="center"/>
    </xf>
    <xf numFmtId="0" fontId="96" fillId="0" borderId="50" xfId="0" applyFont="1" applyBorder="1" applyAlignment="1">
      <alignment horizontal="center" vertical="center"/>
    </xf>
    <xf numFmtId="0" fontId="38" fillId="3" borderId="15" xfId="0" applyFont="1" applyFill="1" applyBorder="1" applyAlignment="1">
      <alignment horizontal="center" vertical="center" wrapText="1"/>
    </xf>
    <xf numFmtId="0" fontId="38" fillId="3" borderId="16" xfId="0" applyFont="1" applyFill="1" applyBorder="1" applyAlignment="1">
      <alignment horizontal="center" vertical="center" wrapText="1"/>
    </xf>
    <xf numFmtId="0" fontId="38" fillId="3" borderId="174" xfId="0" applyFont="1" applyFill="1" applyBorder="1" applyAlignment="1">
      <alignment horizontal="center" vertical="center" wrapText="1"/>
    </xf>
    <xf numFmtId="0" fontId="38" fillId="2" borderId="175" xfId="0" applyFont="1" applyFill="1" applyBorder="1" applyAlignment="1">
      <alignment horizontal="center" vertical="center" wrapText="1"/>
    </xf>
    <xf numFmtId="0" fontId="38" fillId="2" borderId="176" xfId="0" applyFont="1" applyFill="1" applyBorder="1" applyAlignment="1">
      <alignment horizontal="center" vertical="center" wrapText="1"/>
    </xf>
    <xf numFmtId="0" fontId="38" fillId="0" borderId="140" xfId="0" applyFont="1" applyFill="1" applyBorder="1" applyAlignment="1">
      <alignment horizontal="center" vertical="center" wrapText="1"/>
    </xf>
    <xf numFmtId="0" fontId="38" fillId="0" borderId="141" xfId="0" applyFont="1" applyFill="1" applyBorder="1" applyAlignment="1">
      <alignment horizontal="center" vertical="center" wrapText="1"/>
    </xf>
    <xf numFmtId="0" fontId="38" fillId="0" borderId="142" xfId="0" applyFont="1" applyFill="1" applyBorder="1" applyAlignment="1">
      <alignment horizontal="center" vertical="center" wrapText="1"/>
    </xf>
    <xf numFmtId="0" fontId="99" fillId="3" borderId="51" xfId="0" applyFont="1" applyFill="1" applyBorder="1" applyAlignment="1">
      <alignment horizontal="center" vertical="center" wrapText="1"/>
    </xf>
    <xf numFmtId="0" fontId="99" fillId="3" borderId="10" xfId="0" applyFont="1" applyFill="1" applyBorder="1" applyAlignment="1">
      <alignment horizontal="center" vertical="center" wrapText="1"/>
    </xf>
    <xf numFmtId="0" fontId="99" fillId="3" borderId="52" xfId="0" applyFont="1" applyFill="1" applyBorder="1" applyAlignment="1">
      <alignment horizontal="center" vertical="center" wrapText="1"/>
    </xf>
    <xf numFmtId="0" fontId="38" fillId="3" borderId="173" xfId="0" applyFont="1" applyFill="1" applyBorder="1" applyAlignment="1">
      <alignment horizontal="center" vertical="center" wrapText="1"/>
    </xf>
    <xf numFmtId="0" fontId="106" fillId="6" borderId="32" xfId="0" applyFont="1" applyFill="1" applyBorder="1" applyAlignment="1">
      <alignment horizontal="center" vertical="center" wrapText="1"/>
    </xf>
    <xf numFmtId="0" fontId="99" fillId="2" borderId="140" xfId="0" applyFont="1" applyFill="1" applyBorder="1" applyAlignment="1">
      <alignment horizontal="center" vertical="center" wrapText="1"/>
    </xf>
    <xf numFmtId="0" fontId="99" fillId="2" borderId="141" xfId="0" applyFont="1" applyFill="1" applyBorder="1" applyAlignment="1">
      <alignment horizontal="center" vertical="center" wrapText="1"/>
    </xf>
    <xf numFmtId="0" fontId="99" fillId="2" borderId="142" xfId="0" applyFont="1" applyFill="1" applyBorder="1" applyAlignment="1">
      <alignment horizontal="center" vertical="center" wrapText="1"/>
    </xf>
    <xf numFmtId="0" fontId="99" fillId="3" borderId="140" xfId="0" applyFont="1" applyFill="1" applyBorder="1" applyAlignment="1">
      <alignment horizontal="center" vertical="center" wrapText="1"/>
    </xf>
    <xf numFmtId="0" fontId="99" fillId="3" borderId="141" xfId="0" applyFont="1" applyFill="1" applyBorder="1" applyAlignment="1">
      <alignment horizontal="center" vertical="center" wrapText="1"/>
    </xf>
    <xf numFmtId="0" fontId="99" fillId="3" borderId="142" xfId="0" applyFont="1" applyFill="1" applyBorder="1" applyAlignment="1">
      <alignment horizontal="center" vertical="center" wrapText="1"/>
    </xf>
    <xf numFmtId="0" fontId="18" fillId="2" borderId="153" xfId="0" applyFont="1" applyFill="1" applyBorder="1" applyAlignment="1">
      <alignment horizontal="center" vertical="center" wrapText="1"/>
    </xf>
    <xf numFmtId="0" fontId="18" fillId="2" borderId="154" xfId="0" applyFont="1" applyFill="1" applyBorder="1" applyAlignment="1">
      <alignment horizontal="center" vertical="center" wrapText="1"/>
    </xf>
    <xf numFmtId="0" fontId="17" fillId="2" borderId="171" xfId="0" applyFont="1" applyFill="1" applyBorder="1" applyAlignment="1">
      <alignment horizontal="center" vertical="center" wrapText="1"/>
    </xf>
    <xf numFmtId="0" fontId="17" fillId="2" borderId="172" xfId="0" applyFont="1" applyFill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wrapText="1"/>
    </xf>
    <xf numFmtId="0" fontId="2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3" fillId="0" borderId="18" xfId="0" applyFont="1" applyBorder="1" applyAlignment="1">
      <alignment horizontal="center" vertical="center"/>
    </xf>
    <xf numFmtId="0" fontId="43" fillId="0" borderId="19" xfId="0" applyFont="1" applyBorder="1" applyAlignment="1">
      <alignment horizontal="center" vertical="center"/>
    </xf>
    <xf numFmtId="0" fontId="32" fillId="0" borderId="42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43" fillId="0" borderId="17" xfId="0" applyFont="1" applyBorder="1" applyAlignment="1">
      <alignment horizontal="center"/>
    </xf>
    <xf numFmtId="0" fontId="22" fillId="0" borderId="23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/>
    </xf>
    <xf numFmtId="0" fontId="63" fillId="4" borderId="24" xfId="0" applyFont="1" applyFill="1" applyBorder="1" applyAlignment="1">
      <alignment horizontal="center"/>
    </xf>
    <xf numFmtId="0" fontId="63" fillId="4" borderId="21" xfId="0" applyFont="1" applyFill="1" applyBorder="1" applyAlignment="1">
      <alignment horizontal="center"/>
    </xf>
    <xf numFmtId="0" fontId="63" fillId="3" borderId="27" xfId="0" applyFont="1" applyFill="1" applyBorder="1" applyAlignment="1">
      <alignment horizontal="center"/>
    </xf>
    <xf numFmtId="0" fontId="63" fillId="3" borderId="20" xfId="0" applyFont="1" applyFill="1" applyBorder="1" applyAlignment="1">
      <alignment horizontal="center"/>
    </xf>
    <xf numFmtId="0" fontId="31" fillId="4" borderId="27" xfId="0" applyFont="1" applyFill="1" applyBorder="1" applyAlignment="1">
      <alignment horizontal="center" vertical="center" wrapText="1"/>
    </xf>
    <xf numFmtId="0" fontId="31" fillId="4" borderId="20" xfId="0" applyFont="1" applyFill="1" applyBorder="1" applyAlignment="1">
      <alignment horizontal="center" vertical="center" wrapText="1"/>
    </xf>
    <xf numFmtId="0" fontId="31" fillId="4" borderId="24" xfId="0" applyFont="1" applyFill="1" applyBorder="1" applyAlignment="1">
      <alignment horizontal="center" vertical="center" wrapText="1"/>
    </xf>
    <xf numFmtId="0" fontId="31" fillId="4" borderId="21" xfId="0" applyFont="1" applyFill="1" applyBorder="1" applyAlignment="1">
      <alignment horizontal="center" vertical="center" wrapText="1"/>
    </xf>
    <xf numFmtId="0" fontId="63" fillId="0" borderId="44" xfId="0" applyFont="1" applyBorder="1" applyAlignment="1">
      <alignment horizontal="left"/>
    </xf>
    <xf numFmtId="0" fontId="22" fillId="0" borderId="44" xfId="0" applyFont="1" applyBorder="1" applyAlignment="1">
      <alignment horizontal="center" vertical="center" wrapText="1"/>
    </xf>
    <xf numFmtId="4" fontId="28" fillId="0" borderId="3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left" wrapText="1"/>
    </xf>
    <xf numFmtId="0" fontId="17" fillId="0" borderId="44" xfId="0" applyFont="1" applyBorder="1" applyAlignment="1">
      <alignment horizontal="left" wrapText="1"/>
    </xf>
    <xf numFmtId="0" fontId="17" fillId="4" borderId="24" xfId="0" applyFont="1" applyFill="1" applyBorder="1" applyAlignment="1">
      <alignment horizontal="center" vertical="top" wrapText="1"/>
    </xf>
    <xf numFmtId="0" fontId="17" fillId="4" borderId="21" xfId="0" applyFont="1" applyFill="1" applyBorder="1" applyAlignment="1">
      <alignment horizontal="center" vertical="top" wrapText="1"/>
    </xf>
    <xf numFmtId="0" fontId="17" fillId="3" borderId="52" xfId="0" applyFont="1" applyFill="1" applyBorder="1" applyAlignment="1">
      <alignment horizontal="center"/>
    </xf>
    <xf numFmtId="0" fontId="17" fillId="3" borderId="51" xfId="0" applyFont="1" applyFill="1" applyBorder="1" applyAlignment="1">
      <alignment horizontal="center"/>
    </xf>
    <xf numFmtId="0" fontId="22" fillId="0" borderId="33" xfId="0" applyFont="1" applyBorder="1" applyAlignment="1">
      <alignment horizontal="left" vertical="center" wrapText="1" indent="1"/>
    </xf>
    <xf numFmtId="0" fontId="22" fillId="0" borderId="8" xfId="0" applyFont="1" applyBorder="1" applyAlignment="1">
      <alignment horizontal="left" vertical="center" wrapText="1" indent="1"/>
    </xf>
    <xf numFmtId="0" fontId="22" fillId="0" borderId="120" xfId="0" applyFont="1" applyBorder="1" applyAlignment="1">
      <alignment horizontal="left" vertical="center" wrapText="1" indent="1"/>
    </xf>
    <xf numFmtId="0" fontId="31" fillId="0" borderId="18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16" fillId="0" borderId="18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2" fillId="0" borderId="145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7" fillId="0" borderId="44" xfId="0" applyFont="1" applyBorder="1" applyAlignment="1">
      <alignment horizontal="left"/>
    </xf>
    <xf numFmtId="0" fontId="16" fillId="0" borderId="3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top" wrapText="1"/>
    </xf>
    <xf numFmtId="0" fontId="3" fillId="4" borderId="20" xfId="0" applyFont="1" applyFill="1" applyBorder="1" applyAlignment="1">
      <alignment horizontal="center" vertical="top" wrapText="1"/>
    </xf>
    <xf numFmtId="0" fontId="3" fillId="4" borderId="27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52" fillId="4" borderId="52" xfId="0" applyFont="1" applyFill="1" applyBorder="1" applyAlignment="1">
      <alignment horizontal="center" vertical="center" wrapText="1"/>
    </xf>
    <xf numFmtId="0" fontId="52" fillId="4" borderId="65" xfId="0" applyFont="1" applyFill="1" applyBorder="1" applyAlignment="1">
      <alignment horizontal="center" vertical="center" wrapText="1"/>
    </xf>
    <xf numFmtId="0" fontId="48" fillId="0" borderId="64" xfId="0" applyFont="1" applyBorder="1" applyAlignment="1">
      <alignment horizontal="center" vertical="center" wrapText="1"/>
    </xf>
    <xf numFmtId="0" fontId="48" fillId="0" borderId="62" xfId="0" applyFont="1" applyBorder="1" applyAlignment="1">
      <alignment horizontal="center" vertical="center" wrapText="1"/>
    </xf>
    <xf numFmtId="0" fontId="48" fillId="0" borderId="42" xfId="0" applyFont="1" applyBorder="1" applyAlignment="1">
      <alignment horizontal="center" vertical="center" wrapText="1"/>
    </xf>
    <xf numFmtId="0" fontId="48" fillId="0" borderId="45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31" fillId="4" borderId="10" xfId="0" applyFont="1" applyFill="1" applyBorder="1" applyAlignment="1">
      <alignment horizontal="center" vertical="top" wrapText="1"/>
    </xf>
    <xf numFmtId="0" fontId="31" fillId="0" borderId="50" xfId="0" applyFont="1" applyBorder="1" applyAlignment="1">
      <alignment horizontal="center" wrapText="1"/>
    </xf>
    <xf numFmtId="0" fontId="27" fillId="0" borderId="0" xfId="0" applyFont="1" applyAlignment="1">
      <alignment horizontal="left" wrapText="1"/>
    </xf>
    <xf numFmtId="0" fontId="31" fillId="3" borderId="10" xfId="0" applyFont="1" applyFill="1" applyBorder="1" applyAlignment="1">
      <alignment horizontal="center"/>
    </xf>
    <xf numFmtId="0" fontId="31" fillId="0" borderId="10" xfId="0" applyFont="1" applyBorder="1" applyAlignment="1">
      <alignment horizont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left" vertical="center" wrapText="1" indent="1"/>
    </xf>
    <xf numFmtId="0" fontId="24" fillId="0" borderId="10" xfId="0" applyFont="1" applyBorder="1" applyAlignment="1">
      <alignment horizontal="center" vertical="center" wrapText="1"/>
    </xf>
    <xf numFmtId="0" fontId="38" fillId="0" borderId="0" xfId="0" applyFont="1" applyAlignment="1">
      <alignment horizontal="center" wrapText="1"/>
    </xf>
    <xf numFmtId="0" fontId="38" fillId="0" borderId="0" xfId="0" applyFont="1" applyAlignment="1">
      <alignment horizontal="center" vertical="center" wrapText="1"/>
    </xf>
    <xf numFmtId="0" fontId="32" fillId="0" borderId="111" xfId="0" applyFont="1" applyBorder="1" applyAlignment="1">
      <alignment horizontal="center" vertical="center" wrapText="1"/>
    </xf>
    <xf numFmtId="0" fontId="38" fillId="0" borderId="63" xfId="0" applyFont="1" applyBorder="1" applyAlignment="1">
      <alignment horizontal="center" vertical="center"/>
    </xf>
    <xf numFmtId="0" fontId="38" fillId="0" borderId="61" xfId="0" applyFont="1" applyBorder="1" applyAlignment="1">
      <alignment horizontal="center" vertical="center"/>
    </xf>
    <xf numFmtId="0" fontId="38" fillId="0" borderId="42" xfId="0" applyFont="1" applyBorder="1" applyAlignment="1">
      <alignment horizontal="left" vertical="center" wrapText="1" indent="1"/>
    </xf>
    <xf numFmtId="0" fontId="38" fillId="0" borderId="45" xfId="0" applyFont="1" applyBorder="1" applyAlignment="1">
      <alignment horizontal="left" vertical="center" wrapText="1" indent="1"/>
    </xf>
    <xf numFmtId="0" fontId="38" fillId="0" borderId="64" xfId="0" applyFont="1" applyBorder="1" applyAlignment="1">
      <alignment horizontal="center" vertical="center" wrapText="1"/>
    </xf>
    <xf numFmtId="0" fontId="38" fillId="0" borderId="62" xfId="0" applyFont="1" applyBorder="1" applyAlignment="1">
      <alignment horizontal="center" vertical="center" wrapText="1"/>
    </xf>
    <xf numFmtId="0" fontId="42" fillId="0" borderId="50" xfId="0" applyFont="1" applyBorder="1" applyAlignment="1">
      <alignment horizontal="center" wrapText="1"/>
    </xf>
    <xf numFmtId="0" fontId="42" fillId="4" borderId="52" xfId="0" applyFont="1" applyFill="1" applyBorder="1" applyAlignment="1">
      <alignment horizontal="center" vertical="top" wrapText="1"/>
    </xf>
    <xf numFmtId="0" fontId="42" fillId="4" borderId="65" xfId="0" applyFont="1" applyFill="1" applyBorder="1" applyAlignment="1">
      <alignment horizontal="center" vertical="top" wrapText="1"/>
    </xf>
    <xf numFmtId="0" fontId="42" fillId="3" borderId="52" xfId="0" applyFont="1" applyFill="1" applyBorder="1" applyAlignment="1">
      <alignment horizontal="center"/>
    </xf>
    <xf numFmtId="0" fontId="42" fillId="3" borderId="65" xfId="0" applyFont="1" applyFill="1" applyBorder="1" applyAlignment="1">
      <alignment horizontal="center"/>
    </xf>
    <xf numFmtId="0" fontId="42" fillId="0" borderId="52" xfId="0" applyFont="1" applyBorder="1" applyAlignment="1">
      <alignment horizontal="center" wrapText="1"/>
    </xf>
    <xf numFmtId="0" fontId="42" fillId="0" borderId="51" xfId="0" applyFont="1" applyBorder="1" applyAlignment="1">
      <alignment horizontal="center" wrapText="1"/>
    </xf>
    <xf numFmtId="0" fontId="42" fillId="4" borderId="24" xfId="0" applyFont="1" applyFill="1" applyBorder="1" applyAlignment="1">
      <alignment horizontal="center" vertical="top" wrapText="1"/>
    </xf>
    <xf numFmtId="0" fontId="42" fillId="4" borderId="21" xfId="0" applyFont="1" applyFill="1" applyBorder="1" applyAlignment="1">
      <alignment horizontal="center" vertical="top" wrapText="1"/>
    </xf>
    <xf numFmtId="0" fontId="38" fillId="0" borderId="18" xfId="0" applyFont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17" xfId="0" applyFont="1" applyBorder="1" applyAlignment="1">
      <alignment horizontal="left" vertical="center" wrapText="1" indent="1"/>
    </xf>
    <xf numFmtId="0" fontId="38" fillId="0" borderId="11" xfId="0" applyFont="1" applyBorder="1" applyAlignment="1">
      <alignment horizontal="left" vertical="center" wrapText="1" indent="1"/>
    </xf>
    <xf numFmtId="0" fontId="38" fillId="0" borderId="17" xfId="0" applyFont="1" applyBorder="1" applyAlignment="1">
      <alignment horizontal="center" vertical="center" wrapText="1"/>
    </xf>
    <xf numFmtId="0" fontId="38" fillId="0" borderId="23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 wrapText="1"/>
    </xf>
    <xf numFmtId="0" fontId="48" fillId="0" borderId="180" xfId="0" applyFont="1" applyBorder="1" applyAlignment="1">
      <alignment horizontal="center" vertical="center" wrapText="1"/>
    </xf>
    <xf numFmtId="0" fontId="48" fillId="0" borderId="157" xfId="0" applyFont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81" xfId="0" applyFont="1" applyFill="1" applyBorder="1" applyAlignment="1">
      <alignment horizontal="center" vertical="center" wrapText="1"/>
    </xf>
    <xf numFmtId="0" fontId="3" fillId="3" borderId="147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4" borderId="147" xfId="0" applyFont="1" applyFill="1" applyBorder="1" applyAlignment="1">
      <alignment horizontal="center" vertical="top" wrapText="1"/>
    </xf>
    <xf numFmtId="0" fontId="3" fillId="4" borderId="28" xfId="0" applyFont="1" applyFill="1" applyBorder="1" applyAlignment="1">
      <alignment horizontal="center" vertical="top" wrapText="1"/>
    </xf>
    <xf numFmtId="0" fontId="3" fillId="4" borderId="14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2" fillId="0" borderId="44" xfId="0" applyFont="1" applyBorder="1" applyAlignment="1">
      <alignment horizontal="center" wrapText="1"/>
    </xf>
    <xf numFmtId="0" fontId="0" fillId="0" borderId="44" xfId="0" applyBorder="1" applyAlignment="1"/>
    <xf numFmtId="0" fontId="40" fillId="0" borderId="0" xfId="0" applyFont="1" applyBorder="1" applyAlignment="1">
      <alignment horizontal="center" wrapText="1"/>
    </xf>
    <xf numFmtId="0" fontId="40" fillId="0" borderId="111" xfId="0" applyFont="1" applyBorder="1" applyAlignment="1">
      <alignment horizontal="right" wrapText="1"/>
    </xf>
    <xf numFmtId="0" fontId="31" fillId="4" borderId="27" xfId="0" applyFont="1" applyFill="1" applyBorder="1" applyAlignment="1">
      <alignment horizontal="center" vertical="top" wrapText="1"/>
    </xf>
    <xf numFmtId="0" fontId="31" fillId="4" borderId="20" xfId="0" applyFont="1" applyFill="1" applyBorder="1" applyAlignment="1">
      <alignment horizontal="center" vertical="top" wrapText="1"/>
    </xf>
    <xf numFmtId="0" fontId="0" fillId="0" borderId="50" xfId="0" applyBorder="1" applyAlignment="1"/>
    <xf numFmtId="0" fontId="31" fillId="4" borderId="52" xfId="0" applyFont="1" applyFill="1" applyBorder="1" applyAlignment="1">
      <alignment horizontal="center" vertical="top" wrapText="1"/>
    </xf>
    <xf numFmtId="0" fontId="31" fillId="4" borderId="65" xfId="0" applyFont="1" applyFill="1" applyBorder="1" applyAlignment="1">
      <alignment horizontal="center" vertical="top" wrapText="1"/>
    </xf>
    <xf numFmtId="0" fontId="31" fillId="4" borderId="27" xfId="0" applyFont="1" applyFill="1" applyBorder="1" applyAlignment="1">
      <alignment vertical="center" wrapText="1"/>
    </xf>
    <xf numFmtId="0" fontId="31" fillId="4" borderId="20" xfId="0" applyFont="1" applyFill="1" applyBorder="1" applyAlignment="1">
      <alignment vertical="center" wrapText="1"/>
    </xf>
    <xf numFmtId="0" fontId="42" fillId="0" borderId="111" xfId="0" applyFont="1" applyBorder="1" applyAlignment="1">
      <alignment horizontal="center" wrapText="1"/>
    </xf>
    <xf numFmtId="0" fontId="42" fillId="0" borderId="0" xfId="0" applyFont="1" applyAlignment="1">
      <alignment wrapText="1"/>
    </xf>
    <xf numFmtId="0" fontId="42" fillId="4" borderId="27" xfId="0" applyFont="1" applyFill="1" applyBorder="1" applyAlignment="1">
      <alignment horizontal="center"/>
    </xf>
    <xf numFmtId="0" fontId="42" fillId="4" borderId="20" xfId="0" applyFont="1" applyFill="1" applyBorder="1" applyAlignment="1">
      <alignment horizontal="center"/>
    </xf>
    <xf numFmtId="3" fontId="22" fillId="12" borderId="10" xfId="0" applyNumberFormat="1" applyFont="1" applyFill="1" applyBorder="1" applyAlignment="1">
      <alignment horizontal="center" vertical="top" wrapText="1"/>
    </xf>
    <xf numFmtId="3" fontId="22" fillId="4" borderId="10" xfId="0" applyNumberFormat="1" applyFont="1" applyFill="1" applyBorder="1" applyAlignment="1">
      <alignment horizontal="center" vertical="top" wrapText="1"/>
    </xf>
    <xf numFmtId="0" fontId="18" fillId="11" borderId="10" xfId="0" applyNumberFormat="1" applyFont="1" applyFill="1" applyBorder="1" applyAlignment="1">
      <alignment horizontal="center" vertical="center"/>
    </xf>
    <xf numFmtId="167" fontId="31" fillId="10" borderId="52" xfId="0" applyNumberFormat="1" applyFont="1" applyFill="1" applyBorder="1" applyAlignment="1">
      <alignment horizontal="center" vertical="top" wrapText="1"/>
    </xf>
    <xf numFmtId="167" fontId="31" fillId="10" borderId="51" xfId="0" applyNumberFormat="1" applyFont="1" applyFill="1" applyBorder="1" applyAlignment="1">
      <alignment horizontal="center" vertical="top" wrapText="1"/>
    </xf>
    <xf numFmtId="3" fontId="22" fillId="11" borderId="10" xfId="0" applyNumberFormat="1" applyFont="1" applyFill="1" applyBorder="1" applyAlignment="1">
      <alignment horizontal="center" vertical="center"/>
    </xf>
    <xf numFmtId="0" fontId="107" fillId="0" borderId="0" xfId="0" applyFont="1" applyBorder="1" applyAlignment="1">
      <alignment horizontal="center" vertical="center" wrapText="1"/>
    </xf>
    <xf numFmtId="3" fontId="18" fillId="11" borderId="10" xfId="0" applyNumberFormat="1" applyFont="1" applyFill="1" applyBorder="1" applyAlignment="1">
      <alignment horizontal="center" vertical="center"/>
    </xf>
    <xf numFmtId="167" fontId="107" fillId="11" borderId="10" xfId="0" applyNumberFormat="1" applyFont="1" applyFill="1" applyBorder="1" applyAlignment="1">
      <alignment horizontal="center" vertical="center" wrapText="1"/>
    </xf>
    <xf numFmtId="3" fontId="18" fillId="0" borderId="111" xfId="0" applyNumberFormat="1" applyFont="1" applyBorder="1" applyAlignment="1">
      <alignment horizontal="right"/>
    </xf>
    <xf numFmtId="167" fontId="18" fillId="11" borderId="46" xfId="0" applyNumberFormat="1" applyFont="1" applyFill="1" applyBorder="1" applyAlignment="1">
      <alignment horizontal="center" vertical="center" wrapText="1"/>
    </xf>
    <xf numFmtId="167" fontId="18" fillId="11" borderId="136" xfId="0" applyNumberFormat="1" applyFont="1" applyFill="1" applyBorder="1" applyAlignment="1">
      <alignment horizontal="center" vertical="center" wrapText="1"/>
    </xf>
    <xf numFmtId="167" fontId="18" fillId="11" borderId="47" xfId="0" applyNumberFormat="1" applyFont="1" applyFill="1" applyBorder="1" applyAlignment="1">
      <alignment horizontal="center" vertical="center" wrapText="1"/>
    </xf>
    <xf numFmtId="167" fontId="18" fillId="11" borderId="10" xfId="0" applyNumberFormat="1" applyFont="1" applyFill="1" applyBorder="1" applyAlignment="1">
      <alignment horizontal="center" vertical="center" wrapText="1"/>
    </xf>
    <xf numFmtId="167" fontId="18" fillId="11" borderId="52" xfId="0" applyNumberFormat="1" applyFont="1" applyFill="1" applyBorder="1" applyAlignment="1">
      <alignment horizontal="center" vertical="center" wrapText="1"/>
    </xf>
    <xf numFmtId="167" fontId="18" fillId="11" borderId="51" xfId="0" applyNumberFormat="1" applyFont="1" applyFill="1" applyBorder="1" applyAlignment="1">
      <alignment horizontal="center" vertical="center" wrapText="1"/>
    </xf>
    <xf numFmtId="0" fontId="40" fillId="0" borderId="18" xfId="0" applyFont="1" applyBorder="1" applyAlignment="1">
      <alignment horizontal="center" wrapText="1"/>
    </xf>
    <xf numFmtId="0" fontId="40" fillId="0" borderId="17" xfId="0" applyFont="1" applyBorder="1" applyAlignment="1">
      <alignment horizontal="center" wrapText="1"/>
    </xf>
    <xf numFmtId="3" fontId="16" fillId="0" borderId="111" xfId="0" applyNumberFormat="1" applyFont="1" applyBorder="1" applyAlignment="1">
      <alignment horizontal="center" vertical="center" wrapText="1"/>
    </xf>
    <xf numFmtId="4" fontId="98" fillId="0" borderId="177" xfId="0" applyNumberFormat="1" applyFont="1" applyBorder="1" applyAlignment="1">
      <alignment horizontal="left" wrapText="1"/>
    </xf>
    <xf numFmtId="4" fontId="98" fillId="0" borderId="132" xfId="0" applyNumberFormat="1" applyFont="1" applyBorder="1" applyAlignment="1">
      <alignment horizontal="left" wrapText="1"/>
    </xf>
    <xf numFmtId="4" fontId="98" fillId="0" borderId="149" xfId="0" applyNumberFormat="1" applyFont="1" applyBorder="1" applyAlignment="1">
      <alignment horizontal="left" wrapText="1"/>
    </xf>
    <xf numFmtId="0" fontId="42" fillId="0" borderId="24" xfId="0" applyFont="1" applyBorder="1" applyAlignment="1">
      <alignment horizontal="center" vertical="top" wrapText="1"/>
    </xf>
    <xf numFmtId="0" fontId="42" fillId="0" borderId="21" xfId="0" applyFont="1" applyBorder="1" applyAlignment="1">
      <alignment horizontal="center" vertical="top" wrapText="1"/>
    </xf>
    <xf numFmtId="0" fontId="42" fillId="0" borderId="27" xfId="0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0" fillId="0" borderId="111" xfId="0" applyFont="1" applyBorder="1" applyAlignment="1">
      <alignment horizontal="center" wrapText="1"/>
    </xf>
    <xf numFmtId="0" fontId="18" fillId="0" borderId="42" xfId="0" applyFont="1" applyBorder="1" applyAlignment="1">
      <alignment horizontal="left" vertical="center" wrapText="1" indent="1"/>
    </xf>
    <xf numFmtId="0" fontId="18" fillId="0" borderId="45" xfId="0" applyFont="1" applyBorder="1" applyAlignment="1">
      <alignment horizontal="left" vertical="center" wrapText="1" indent="1"/>
    </xf>
    <xf numFmtId="0" fontId="27" fillId="0" borderId="42" xfId="0" applyFont="1" applyBorder="1" applyAlignment="1">
      <alignment horizontal="center" vertical="center" wrapText="1"/>
    </xf>
    <xf numFmtId="0" fontId="27" fillId="0" borderId="45" xfId="0" applyFont="1" applyBorder="1" applyAlignment="1">
      <alignment horizontal="center" vertical="center" wrapText="1"/>
    </xf>
    <xf numFmtId="0" fontId="41" fillId="0" borderId="42" xfId="0" applyFont="1" applyBorder="1" applyAlignment="1">
      <alignment horizontal="center" wrapText="1"/>
    </xf>
    <xf numFmtId="0" fontId="41" fillId="0" borderId="45" xfId="0" applyFont="1" applyBorder="1" applyAlignment="1">
      <alignment horizontal="center" wrapText="1"/>
    </xf>
    <xf numFmtId="0" fontId="40" fillId="0" borderId="64" xfId="0" applyFont="1" applyBorder="1" applyAlignment="1">
      <alignment horizontal="center" wrapText="1"/>
    </xf>
    <xf numFmtId="0" fontId="40" fillId="0" borderId="62" xfId="0" applyFont="1" applyBorder="1" applyAlignment="1">
      <alignment horizontal="center" wrapText="1"/>
    </xf>
    <xf numFmtId="0" fontId="42" fillId="3" borderId="27" xfId="0" applyFont="1" applyFill="1" applyBorder="1" applyAlignment="1">
      <alignment horizontal="center"/>
    </xf>
    <xf numFmtId="0" fontId="42" fillId="3" borderId="20" xfId="0" applyFont="1" applyFill="1" applyBorder="1" applyAlignment="1">
      <alignment horizontal="center"/>
    </xf>
    <xf numFmtId="0" fontId="86" fillId="0" borderId="64" xfId="0" applyFont="1" applyBorder="1" applyAlignment="1">
      <alignment horizontal="center" vertical="center" wrapText="1"/>
    </xf>
    <xf numFmtId="0" fontId="86" fillId="0" borderId="62" xfId="0" applyFont="1" applyBorder="1" applyAlignment="1">
      <alignment horizontal="center" vertical="center" wrapText="1"/>
    </xf>
    <xf numFmtId="0" fontId="31" fillId="4" borderId="24" xfId="0" applyFont="1" applyFill="1" applyBorder="1" applyAlignment="1">
      <alignment horizontal="center" vertical="top" wrapText="1"/>
    </xf>
    <xf numFmtId="0" fontId="31" fillId="4" borderId="21" xfId="0" applyFont="1" applyFill="1" applyBorder="1" applyAlignment="1">
      <alignment horizontal="center" vertical="top" wrapText="1"/>
    </xf>
    <xf numFmtId="0" fontId="31" fillId="4" borderId="24" xfId="0" applyFont="1" applyFill="1" applyBorder="1" applyAlignment="1">
      <alignment vertical="center" wrapText="1"/>
    </xf>
    <xf numFmtId="0" fontId="31" fillId="4" borderId="21" xfId="0" applyFont="1" applyFill="1" applyBorder="1" applyAlignment="1">
      <alignment vertical="center" wrapText="1"/>
    </xf>
    <xf numFmtId="0" fontId="31" fillId="4" borderId="52" xfId="0" applyFont="1" applyFill="1" applyBorder="1" applyAlignment="1">
      <alignment horizontal="center" vertical="center" wrapText="1"/>
    </xf>
    <xf numFmtId="0" fontId="31" fillId="4" borderId="51" xfId="0" applyFont="1" applyFill="1" applyBorder="1" applyAlignment="1">
      <alignment horizontal="center" vertical="center" wrapText="1"/>
    </xf>
    <xf numFmtId="0" fontId="42" fillId="4" borderId="24" xfId="0" applyFont="1" applyFill="1" applyBorder="1" applyAlignment="1">
      <alignment horizontal="center" vertical="center"/>
    </xf>
    <xf numFmtId="0" fontId="42" fillId="4" borderId="21" xfId="0" applyFont="1" applyFill="1" applyBorder="1" applyAlignment="1">
      <alignment horizontal="center" vertical="center"/>
    </xf>
    <xf numFmtId="0" fontId="39" fillId="0" borderId="0" xfId="0" applyFont="1" applyAlignment="1">
      <alignment horizontal="center" wrapText="1"/>
    </xf>
    <xf numFmtId="0" fontId="0" fillId="0" borderId="0" xfId="0" applyAlignment="1"/>
    <xf numFmtId="0" fontId="26" fillId="0" borderId="111" xfId="0" applyFont="1" applyBorder="1" applyAlignment="1">
      <alignment horizontal="center" wrapText="1"/>
    </xf>
    <xf numFmtId="0" fontId="39" fillId="0" borderId="150" xfId="0" applyFont="1" applyBorder="1" applyAlignment="1">
      <alignment horizontal="center" vertical="center"/>
    </xf>
    <xf numFmtId="0" fontId="45" fillId="0" borderId="182" xfId="0" applyFont="1" applyBorder="1" applyAlignment="1">
      <alignment horizontal="center" vertical="center"/>
    </xf>
    <xf numFmtId="0" fontId="39" fillId="0" borderId="150" xfId="0" applyFont="1" applyBorder="1" applyAlignment="1">
      <alignment horizontal="left" vertical="center" wrapText="1" indent="1"/>
    </xf>
    <xf numFmtId="0" fontId="39" fillId="0" borderId="182" xfId="0" applyFont="1" applyBorder="1" applyAlignment="1">
      <alignment horizontal="left" vertical="center" wrapText="1" indent="1"/>
    </xf>
    <xf numFmtId="0" fontId="27" fillId="0" borderId="17" xfId="0" applyFont="1" applyBorder="1" applyAlignment="1">
      <alignment horizontal="center" vertical="center" wrapText="1"/>
    </xf>
    <xf numFmtId="0" fontId="39" fillId="0" borderId="23" xfId="0" applyFont="1" applyBorder="1" applyAlignment="1">
      <alignment horizontal="center" vertical="center" wrapText="1"/>
    </xf>
    <xf numFmtId="0" fontId="45" fillId="0" borderId="60" xfId="0" applyFont="1" applyBorder="1" applyAlignment="1">
      <alignment horizontal="center" vertical="center" wrapText="1"/>
    </xf>
    <xf numFmtId="0" fontId="39" fillId="0" borderId="18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0" fontId="39" fillId="0" borderId="17" xfId="0" applyFont="1" applyBorder="1" applyAlignment="1">
      <alignment horizontal="left" vertical="center" wrapText="1" indent="1"/>
    </xf>
    <xf numFmtId="0" fontId="39" fillId="0" borderId="11" xfId="0" applyFont="1" applyBorder="1" applyAlignment="1">
      <alignment horizontal="left" vertical="center" indent="1"/>
    </xf>
    <xf numFmtId="0" fontId="39" fillId="0" borderId="64" xfId="0" applyFont="1" applyBorder="1" applyAlignment="1">
      <alignment horizontal="center" vertical="center" wrapText="1"/>
    </xf>
    <xf numFmtId="0" fontId="39" fillId="0" borderId="62" xfId="0" applyFont="1" applyBorder="1" applyAlignment="1">
      <alignment horizontal="center" vertical="center" wrapText="1"/>
    </xf>
  </cellXfs>
  <cellStyles count="5">
    <cellStyle name="Обычный" xfId="0" builtinId="0"/>
    <cellStyle name="Процентный" xfId="3" builtinId="5"/>
    <cellStyle name="Финансовый" xfId="1" builtinId="3"/>
    <cellStyle name="Финансовый 5" xfId="4"/>
    <cellStyle name="Финансовый_репорт1-по респуб-без количество" xfId="2"/>
  </cellStyles>
  <dxfs count="6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1076325</xdr:colOff>
      <xdr:row>80</xdr:row>
      <xdr:rowOff>238125</xdr:rowOff>
    </xdr:from>
    <xdr:to>
      <xdr:col>7</xdr:col>
      <xdr:colOff>1190625</xdr:colOff>
      <xdr:row>81</xdr:row>
      <xdr:rowOff>9525</xdr:rowOff>
    </xdr:to>
    <xdr:sp macro="" textlink="">
      <xdr:nvSpPr>
        <xdr:cNvPr id="2619" name="Text Box 1">
          <a:extLst>
            <a:ext uri="{FF2B5EF4-FFF2-40B4-BE49-F238E27FC236}">
              <a16:creationId xmlns="" xmlns:a16="http://schemas.microsoft.com/office/drawing/2014/main" id="{00000000-0008-0000-0600-00003B0A0000}"/>
            </a:ext>
          </a:extLst>
        </xdr:cNvPr>
        <xdr:cNvSpPr txBox="1">
          <a:spLocks noChangeArrowheads="1"/>
        </xdr:cNvSpPr>
      </xdr:nvSpPr>
      <xdr:spPr bwMode="auto">
        <a:xfrm>
          <a:off x="9791700" y="180784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1076325</xdr:colOff>
      <xdr:row>80</xdr:row>
      <xdr:rowOff>238125</xdr:rowOff>
    </xdr:from>
    <xdr:to>
      <xdr:col>7</xdr:col>
      <xdr:colOff>1190625</xdr:colOff>
      <xdr:row>81</xdr:row>
      <xdr:rowOff>9525</xdr:rowOff>
    </xdr:to>
    <xdr:sp macro="" textlink="">
      <xdr:nvSpPr>
        <xdr:cNvPr id="2620" name="Text Box 2">
          <a:extLst>
            <a:ext uri="{FF2B5EF4-FFF2-40B4-BE49-F238E27FC236}">
              <a16:creationId xmlns="" xmlns:a16="http://schemas.microsoft.com/office/drawing/2014/main" id="{00000000-0008-0000-0600-00003C0A0000}"/>
            </a:ext>
          </a:extLst>
        </xdr:cNvPr>
        <xdr:cNvSpPr txBox="1">
          <a:spLocks noChangeArrowheads="1"/>
        </xdr:cNvSpPr>
      </xdr:nvSpPr>
      <xdr:spPr bwMode="auto">
        <a:xfrm>
          <a:off x="9791700" y="180784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O_Abdusalomov/Local%20Settings/Temporary%20Internet%20Files/OLKD/&#1063;&#1091;&#1078;&#1080;&#1077;%20&#1092;&#1072;&#1081;&#1083;&#1099;%20&#1103;&#1085;&#1074;&#1072;&#1088;&#1080;%202008/&#1050;&#1088;&#1077;&#1076;&#1080;&#1090;%20&#1048;&#1085;&#1074;&#1077;&#1089;&#109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O_Abdusalomov/Local%20Settings/Temporary%20Internet%20Files/OLKD/&#1073;&#1077;&#1079;%20&#1053;&#1041;&#1060;&#1054;&#1044;&#1077;&#1082;&#1072;&#1073;&#1088;%20-&#1084;&#1080;&#1082;&#1088;&#1086;&#1082;&#1088;&#1077;&#1076;2%20&#1086;&#1089;&#1085;&#1086;&#1074;&#1085;&#1086;&#108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O_Abdusalomov/Local%20Settings/Temporary%20Internet%20Files/OLKD/&#1053;&#1041;&#1058;%20&#1071;&#1085;&#1074;&#1072;&#1088;&#1080;%202008%20%20&#1089;%20&#1093;&#1083;&#1086;&#1087;&#1082;&#1086;&#1074;&#1099;&#1084;%20&#1089;&#1077;&#1082;&#1090;&#1086;&#1088;&#1086;&#1084;2(&#1050;&#1054;&#1055;&#1048;&#1071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F_Sanginov/&#1056;&#1072;&#1073;&#1086;&#1095;&#1080;&#1081;%20&#1089;&#1090;&#1086;&#1083;/&#1044;&#1077;&#1082;&#1072;&#1073;&#1088;&#1080;%202006/&#1073;&#1077;&#1079;%20&#1053;&#1041;&#1060;&#1054;%20&#1044;&#1077;&#1082;&#1072;&#1073;&#1088;%202006%20&#1075;&#1086;&#1076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RYSTAL_PERSIST"/>
      <sheetName val="MC.1"/>
      <sheetName val="MC.2"/>
      <sheetName val=" П_Р_О_В_Е_Р_К_А "/>
    </sheetNames>
    <sheetDataSet>
      <sheetData sheetId="0" refreshError="1"/>
      <sheetData sheetId="1" refreshError="1"/>
      <sheetData sheetId="2" refreshError="1"/>
      <sheetData sheetId="3">
        <row r="57">
          <cell r="G57">
            <v>103840</v>
          </cell>
        </row>
        <row r="58">
          <cell r="G58">
            <v>60437</v>
          </cell>
        </row>
        <row r="59">
          <cell r="G59">
            <v>0</v>
          </cell>
        </row>
        <row r="60">
          <cell r="G60">
            <v>177249</v>
          </cell>
        </row>
        <row r="61">
          <cell r="G61">
            <v>138134</v>
          </cell>
        </row>
        <row r="62">
          <cell r="G62">
            <v>0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81">
          <cell r="G81">
            <v>0</v>
          </cell>
        </row>
        <row r="82">
          <cell r="G82">
            <v>27202</v>
          </cell>
        </row>
        <row r="83">
          <cell r="G83">
            <v>0</v>
          </cell>
        </row>
        <row r="84">
          <cell r="G84">
            <v>38542</v>
          </cell>
        </row>
        <row r="85">
          <cell r="G85">
            <v>0</v>
          </cell>
        </row>
        <row r="86">
          <cell r="G86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0</v>
          </cell>
        </row>
        <row r="94">
          <cell r="G9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1"/>
      <sheetName val="Лист1"/>
      <sheetName val="Лист2"/>
      <sheetName val="Лист3"/>
      <sheetName val="Лист4"/>
      <sheetName val="Лист5"/>
      <sheetName val="Лист6"/>
      <sheetName val="Лист7"/>
      <sheetName val="департ"/>
      <sheetName val="Лист9"/>
      <sheetName val="Лист10"/>
      <sheetName val="Лист13"/>
      <sheetName val="Лист14"/>
      <sheetName val="Лист15"/>
      <sheetName val="Лист12"/>
      <sheetName val="Лист16"/>
      <sheetName val="Лист17"/>
      <sheetName val="Лист18"/>
      <sheetName val="Лист19"/>
      <sheetName val="Лист20"/>
      <sheetName val="Все ФО"/>
      <sheetName val="Без КБ и КТ"/>
      <sheetName val="Кредит Инвест"/>
      <sheetName val="Чужие"/>
      <sheetName val="Cведен банков"/>
      <sheetName val="НБТ2007"/>
      <sheetName val="Дурнамо"/>
      <sheetName val="Прогноз"/>
      <sheetName val="бонк 2006"/>
      <sheetName val="бонк (срав 2006-2007"/>
      <sheetName val="бонк"/>
      <sheetName val="Бонки влож (общий)"/>
      <sheetName val="Район (пог+выд)"/>
      <sheetName val="Общ свод район (пог+выд)"/>
      <sheetName val="Карзи хурд (пог+выд)"/>
      <sheetName val="район"/>
      <sheetName val="общий свод по районам "/>
      <sheetName val="Карзи хурд"/>
      <sheetName val="Район (выдача)"/>
      <sheetName val="общ свод район(выдача)"/>
      <sheetName val="Карзи хурд (выдача)"/>
      <sheetName val="Свод куҳистон(хурд)"/>
      <sheetName val="Маълумот бонк ҷам қарз"/>
      <sheetName val="СВОД по районам"/>
      <sheetName val="Для печати по банкам"/>
      <sheetName val="НБТ 2006"/>
      <sheetName val="По месяқам (район)"/>
      <sheetName val="2006 Район"/>
      <sheetName val="2006 Кӯҳистон(Общ)"/>
      <sheetName val="2006 - 2007Общий район "/>
      <sheetName val="Кӯҳистон"/>
      <sheetName val="Кӯҳистон (Общий)"/>
      <sheetName val="Минтақа Ҷумҳурӣ"/>
      <sheetName val="По месяцам"/>
      <sheetName val="Кредит Инв (карзи хурд)"/>
      <sheetName val="Хлопковый сектор"/>
      <sheetName val="район(пог+выд)"/>
      <sheetName val="общий свод по районам(пог+выд) "/>
      <sheetName val="Карзи хурд "/>
      <sheetName val="Хлопков сект2"/>
      <sheetName val="2006-2007 (сравнение)"/>
      <sheetName val="2006 бонк"/>
      <sheetName val="Бонк влож (сверка статистикой)"/>
    </sheetNames>
    <sheetDataSet>
      <sheetData sheetId="0">
        <row r="89">
          <cell r="AE89">
            <v>0</v>
          </cell>
          <cell r="AJ89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Все ФО"/>
      <sheetName val="Без КБ и КТ"/>
      <sheetName val="Кредит Инв (карзи хурд)"/>
      <sheetName val="Хлопковый сектор"/>
      <sheetName val="Хлопков сект2"/>
      <sheetName val="2006-2007 (сравнение)"/>
      <sheetName val="2006 бонк"/>
      <sheetName val="бонк"/>
      <sheetName val="Бонки влож (общий)"/>
      <sheetName val="Бонк влож (сверка статистикой)"/>
      <sheetName val="Cведен банков"/>
      <sheetName val="НБТ2007"/>
      <sheetName val="Лист1"/>
      <sheetName val="район(пог+выд)"/>
      <sheetName val="общий свод по районам(пог+выд) "/>
      <sheetName val="Лист2"/>
      <sheetName val="Карзи хурд (пог+выд)"/>
      <sheetName val="Свод куҳистон(хурд)"/>
      <sheetName val="район"/>
      <sheetName val="общий свод по районам "/>
      <sheetName val="Карзи хурд "/>
      <sheetName val="Маълумот бонк ҷам қарз"/>
      <sheetName val="СВОД по районам"/>
      <sheetName val="Для печати по банкам"/>
      <sheetName val="НБТ 2006"/>
      <sheetName val="По месяқам (район)"/>
      <sheetName val="По месяцам"/>
      <sheetName val="2006 Район"/>
      <sheetName val="2006 Кӯҳистон (общий)"/>
      <sheetName val="2006-2007 Общий район(срав)"/>
      <sheetName val="Свод по регионам"/>
      <sheetName val="Кӯҳистон"/>
      <sheetName val="Кӯҳистон (Общий)"/>
      <sheetName val="Лист3"/>
      <sheetName val="Минтақа Ҷумҳурӣ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D7">
            <v>118841765.23999999</v>
          </cell>
          <cell r="E7">
            <v>0</v>
          </cell>
          <cell r="F7">
            <v>0</v>
          </cell>
          <cell r="G7">
            <v>118841765.23999999</v>
          </cell>
          <cell r="H7">
            <v>0</v>
          </cell>
          <cell r="I7">
            <v>0</v>
          </cell>
        </row>
        <row r="8">
          <cell r="D8">
            <v>110429018</v>
          </cell>
          <cell r="E8">
            <v>299918664</v>
          </cell>
          <cell r="F8">
            <v>149404131</v>
          </cell>
          <cell r="G8">
            <v>260943551</v>
          </cell>
          <cell r="H8">
            <v>1485456</v>
          </cell>
          <cell r="I8">
            <v>0</v>
          </cell>
        </row>
        <row r="10">
          <cell r="I10">
            <v>0</v>
          </cell>
        </row>
        <row r="11">
          <cell r="I11">
            <v>0</v>
          </cell>
        </row>
        <row r="15">
          <cell r="I15">
            <v>0</v>
          </cell>
        </row>
        <row r="20">
          <cell r="D20">
            <v>4944030</v>
          </cell>
          <cell r="E20">
            <v>2050253</v>
          </cell>
          <cell r="F20">
            <v>3252989.66</v>
          </cell>
          <cell r="H20">
            <v>1408</v>
          </cell>
          <cell r="I20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Все ФО"/>
      <sheetName val="Без КБ и КТ"/>
      <sheetName val="Кредит Инвест"/>
      <sheetName val="Микрокред по организ"/>
      <sheetName val="Чужие"/>
      <sheetName val="Cведен банков"/>
      <sheetName val="НБТ2006"/>
      <sheetName val="Дурнамо"/>
      <sheetName val="Прогноз"/>
      <sheetName val="Бонк +қарз хурд"/>
      <sheetName val="бонк"/>
      <sheetName val="Бонки влож (общий)"/>
      <sheetName val="Район (пог+выд)"/>
      <sheetName val="Общ свод район (пог+выд)"/>
      <sheetName val="Карзи хурд (пог+выд)"/>
      <sheetName val="район"/>
      <sheetName val="общий свод по районам "/>
      <sheetName val="Карзи хурд"/>
      <sheetName val="Свод куҳистон(хурд)"/>
      <sheetName val="Лист1"/>
      <sheetName val="Маълумот бонк ҷам қарз"/>
      <sheetName val="СВОД по районам"/>
      <sheetName val="Для печати по банкам"/>
      <sheetName val="НБТ 2006"/>
      <sheetName val="По месяқам (район)"/>
      <sheetName val="По месяцам"/>
      <sheetName val="Кӯҳистон"/>
      <sheetName val="Кӯҳистон (Общий)"/>
      <sheetName val="Лист2"/>
      <sheetName val="Микрокред по регион"/>
      <sheetName val="Минтақа Ҷумҳурӣ"/>
      <sheetName val="Хлопковый сектор"/>
      <sheetName val="Район бе пахтакори"/>
      <sheetName val="Бонк бе пахтакори"/>
      <sheetName val="Лист3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 refreshError="1"/>
      <sheetData sheetId="11"/>
      <sheetData sheetId="12" refreshError="1">
        <row r="17">
          <cell r="G17">
            <v>18832.775205000005</v>
          </cell>
        </row>
        <row r="24">
          <cell r="G24">
            <v>14898.811854999998</v>
          </cell>
        </row>
        <row r="34">
          <cell r="G34">
            <v>160890.68941168999</v>
          </cell>
        </row>
        <row r="61">
          <cell r="G61">
            <v>1242924.8350998599</v>
          </cell>
        </row>
        <row r="81">
          <cell r="G81">
            <v>533461.76381615503</v>
          </cell>
        </row>
        <row r="87">
          <cell r="G87">
            <v>522401.50529170496</v>
          </cell>
        </row>
      </sheetData>
      <sheetData sheetId="13" refreshError="1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5">
    <tabColor indexed="27"/>
  </sheetPr>
  <dimension ref="B1:N120"/>
  <sheetViews>
    <sheetView topLeftCell="H34" zoomScale="75" workbookViewId="0">
      <selection activeCell="H54" sqref="H54"/>
    </sheetView>
  </sheetViews>
  <sheetFormatPr defaultColWidth="9.140625" defaultRowHeight="21"/>
  <cols>
    <col min="1" max="1" width="2" style="211" customWidth="1"/>
    <col min="2" max="2" width="20.85546875" style="212" hidden="1" customWidth="1"/>
    <col min="3" max="3" width="18" style="212" hidden="1" customWidth="1"/>
    <col min="4" max="4" width="5.140625" style="211" customWidth="1"/>
    <col min="5" max="5" width="38.42578125" style="211" customWidth="1"/>
    <col min="6" max="6" width="35" style="211" customWidth="1"/>
    <col min="7" max="7" width="38.42578125" style="211" customWidth="1"/>
    <col min="8" max="8" width="43.85546875" style="211" customWidth="1"/>
    <col min="9" max="9" width="33.85546875" style="211" customWidth="1"/>
    <col min="10" max="10" width="37.5703125" style="211" customWidth="1"/>
    <col min="11" max="11" width="24.85546875" style="211" customWidth="1"/>
    <col min="12" max="12" width="32.85546875" style="211" customWidth="1"/>
    <col min="13" max="16384" width="9.140625" style="211"/>
  </cols>
  <sheetData>
    <row r="1" spans="2:14">
      <c r="I1" s="213"/>
      <c r="J1" s="213"/>
      <c r="K1" s="213"/>
      <c r="L1" s="214"/>
    </row>
    <row r="3" spans="2:14" ht="22.5">
      <c r="D3" s="1116" t="s">
        <v>275</v>
      </c>
      <c r="E3" s="1117"/>
      <c r="F3" s="1117"/>
      <c r="G3" s="1117"/>
      <c r="H3" s="1117"/>
      <c r="I3" s="1117"/>
      <c r="J3" s="1117"/>
      <c r="K3" s="1117"/>
      <c r="L3" s="1117"/>
    </row>
    <row r="4" spans="2:14" ht="22.5">
      <c r="D4" s="1116" t="s">
        <v>276</v>
      </c>
      <c r="E4" s="1118"/>
      <c r="F4" s="1118"/>
      <c r="G4" s="1118"/>
      <c r="H4" s="1118"/>
      <c r="I4" s="1118"/>
      <c r="J4" s="1118"/>
      <c r="K4" s="1118"/>
      <c r="L4" s="1118"/>
    </row>
    <row r="5" spans="2:14">
      <c r="D5" s="1119" t="s">
        <v>277</v>
      </c>
      <c r="E5" s="1120"/>
      <c r="F5" s="1120"/>
      <c r="G5" s="1120"/>
      <c r="H5" s="1120"/>
      <c r="I5" s="1120"/>
      <c r="J5" s="1120"/>
      <c r="K5" s="1120"/>
      <c r="L5" s="1120"/>
    </row>
    <row r="6" spans="2:14" ht="22.5">
      <c r="D6" s="1116" t="s">
        <v>454</v>
      </c>
      <c r="E6" s="1121"/>
      <c r="F6" s="1121"/>
      <c r="G6" s="1121"/>
      <c r="H6" s="1121"/>
      <c r="I6" s="1121"/>
      <c r="J6" s="1121"/>
      <c r="K6" s="1121"/>
      <c r="L6" s="1121"/>
    </row>
    <row r="7" spans="2:14" ht="22.5">
      <c r="D7" s="215"/>
      <c r="E7" s="216"/>
      <c r="F7" s="216"/>
      <c r="G7" s="217"/>
      <c r="H7" s="217"/>
      <c r="I7" s="217"/>
      <c r="J7" s="217"/>
      <c r="K7" s="217"/>
      <c r="L7" s="217"/>
      <c r="M7" s="217"/>
      <c r="N7" s="217"/>
    </row>
    <row r="8" spans="2:14" ht="22.5">
      <c r="D8" s="215"/>
      <c r="E8" s="216"/>
      <c r="F8" s="218"/>
      <c r="G8" s="218"/>
      <c r="H8" s="218"/>
      <c r="I8" s="218"/>
      <c r="J8" s="218"/>
      <c r="K8" s="218"/>
      <c r="L8" s="215"/>
    </row>
    <row r="9" spans="2:14" ht="22.5">
      <c r="B9" s="212">
        <f>IF(C9=0,1,0)</f>
        <v>1</v>
      </c>
      <c r="C9" s="212">
        <f>MOD(MONTH(L9),3)</f>
        <v>0</v>
      </c>
      <c r="D9" s="215"/>
      <c r="E9" s="216"/>
      <c r="F9" s="218"/>
      <c r="G9" s="218"/>
      <c r="H9" s="219"/>
      <c r="I9" s="855" t="s">
        <v>455</v>
      </c>
      <c r="J9" s="219"/>
      <c r="K9" s="219"/>
      <c r="L9" s="221">
        <v>39538</v>
      </c>
    </row>
    <row r="10" spans="2:14" ht="22.5">
      <c r="D10" s="215"/>
      <c r="E10" s="215"/>
      <c r="F10" s="215"/>
      <c r="G10" s="215"/>
      <c r="H10" s="215"/>
      <c r="I10" s="215"/>
      <c r="J10" s="215"/>
      <c r="K10" s="215"/>
      <c r="L10" s="215"/>
    </row>
    <row r="11" spans="2:14" ht="23.25" thickBot="1">
      <c r="D11" s="215"/>
      <c r="E11" s="215"/>
      <c r="F11" s="215"/>
      <c r="G11" s="215"/>
      <c r="H11" s="222"/>
      <c r="I11" s="222"/>
      <c r="J11" s="222"/>
      <c r="K11" s="222"/>
      <c r="L11" s="222" t="s">
        <v>0</v>
      </c>
    </row>
    <row r="12" spans="2:14" ht="22.5">
      <c r="D12" s="223" t="s">
        <v>80</v>
      </c>
      <c r="E12" s="657" t="s">
        <v>2</v>
      </c>
      <c r="F12" s="657" t="s">
        <v>1</v>
      </c>
      <c r="G12" s="657" t="s">
        <v>279</v>
      </c>
      <c r="H12" s="657" t="s">
        <v>280</v>
      </c>
      <c r="I12" s="657" t="s">
        <v>1</v>
      </c>
      <c r="J12" s="657" t="s">
        <v>281</v>
      </c>
      <c r="K12" s="657"/>
      <c r="L12" s="658"/>
    </row>
    <row r="13" spans="2:14" ht="22.5">
      <c r="B13" s="224">
        <v>39408</v>
      </c>
      <c r="C13" s="225">
        <v>0.73263888888888884</v>
      </c>
      <c r="D13" s="226"/>
      <c r="E13" s="659" t="s">
        <v>3</v>
      </c>
      <c r="F13" s="659" t="s">
        <v>456</v>
      </c>
      <c r="G13" s="659" t="s">
        <v>282</v>
      </c>
      <c r="H13" s="659" t="s">
        <v>283</v>
      </c>
      <c r="I13" s="659" t="s">
        <v>457</v>
      </c>
      <c r="J13" s="659" t="s">
        <v>282</v>
      </c>
      <c r="K13" s="659" t="s">
        <v>262</v>
      </c>
      <c r="L13" s="660" t="s">
        <v>284</v>
      </c>
    </row>
    <row r="14" spans="2:14" ht="23.25" thickBot="1">
      <c r="D14" s="226"/>
      <c r="E14" s="659"/>
      <c r="F14" s="659"/>
      <c r="G14" s="659" t="s">
        <v>458</v>
      </c>
      <c r="H14" s="659" t="s">
        <v>458</v>
      </c>
      <c r="I14" s="659"/>
      <c r="J14" s="659" t="s">
        <v>459</v>
      </c>
      <c r="K14" s="659"/>
      <c r="L14" s="660" t="s">
        <v>285</v>
      </c>
    </row>
    <row r="15" spans="2:14" ht="23.25" thickBot="1">
      <c r="D15" s="227">
        <v>1</v>
      </c>
      <c r="E15" s="228">
        <v>2</v>
      </c>
      <c r="F15" s="228">
        <v>3</v>
      </c>
      <c r="G15" s="228">
        <v>4</v>
      </c>
      <c r="H15" s="228">
        <v>5</v>
      </c>
      <c r="I15" s="228">
        <v>6</v>
      </c>
      <c r="J15" s="228">
        <v>7</v>
      </c>
      <c r="K15" s="228">
        <v>8</v>
      </c>
      <c r="L15" s="229">
        <v>9</v>
      </c>
    </row>
    <row r="16" spans="2:14" ht="39.950000000000003" customHeight="1">
      <c r="D16" s="1113" t="s">
        <v>76</v>
      </c>
      <c r="E16" s="1114"/>
      <c r="F16" s="1114"/>
      <c r="G16" s="1114"/>
      <c r="H16" s="1114"/>
      <c r="I16" s="1114"/>
      <c r="J16" s="1114"/>
      <c r="K16" s="1114"/>
      <c r="L16" s="1115"/>
    </row>
    <row r="17" spans="2:12" ht="22.5">
      <c r="B17" s="230">
        <v>0</v>
      </c>
      <c r="C17" s="231" t="s">
        <v>286</v>
      </c>
      <c r="D17" s="232">
        <v>1</v>
      </c>
      <c r="E17" s="233" t="s">
        <v>199</v>
      </c>
      <c r="F17" s="234"/>
      <c r="G17" s="234"/>
      <c r="H17" s="234"/>
      <c r="I17" s="235">
        <f t="shared" ref="I17:I24" si="0">F17+G17-H17</f>
        <v>0</v>
      </c>
      <c r="J17" s="236"/>
      <c r="K17" s="236"/>
      <c r="L17" s="237">
        <f t="shared" ref="L17:L24" si="1">I17+K17</f>
        <v>0</v>
      </c>
    </row>
    <row r="18" spans="2:12" ht="22.5">
      <c r="B18" s="230">
        <v>0</v>
      </c>
      <c r="C18" s="231" t="s">
        <v>287</v>
      </c>
      <c r="D18" s="232">
        <v>2</v>
      </c>
      <c r="E18" s="233" t="s">
        <v>200</v>
      </c>
      <c r="F18" s="234"/>
      <c r="G18" s="234"/>
      <c r="H18" s="234"/>
      <c r="I18" s="235">
        <f t="shared" si="0"/>
        <v>0</v>
      </c>
      <c r="J18" s="236"/>
      <c r="K18" s="236"/>
      <c r="L18" s="237">
        <f t="shared" si="1"/>
        <v>0</v>
      </c>
    </row>
    <row r="19" spans="2:12" ht="22.5">
      <c r="B19" s="230">
        <v>0</v>
      </c>
      <c r="C19" s="231" t="s">
        <v>288</v>
      </c>
      <c r="D19" s="232">
        <v>3</v>
      </c>
      <c r="E19" s="233" t="s">
        <v>201</v>
      </c>
      <c r="F19" s="234"/>
      <c r="G19" s="234"/>
      <c r="H19" s="234"/>
      <c r="I19" s="235">
        <f t="shared" si="0"/>
        <v>0</v>
      </c>
      <c r="J19" s="236"/>
      <c r="K19" s="236"/>
      <c r="L19" s="237">
        <f t="shared" si="1"/>
        <v>0</v>
      </c>
    </row>
    <row r="20" spans="2:12" ht="22.5">
      <c r="B20" s="230">
        <v>0</v>
      </c>
      <c r="C20" s="231" t="s">
        <v>289</v>
      </c>
      <c r="D20" s="232">
        <v>4</v>
      </c>
      <c r="E20" s="233" t="s">
        <v>202</v>
      </c>
      <c r="F20" s="234"/>
      <c r="G20" s="234"/>
      <c r="H20" s="234"/>
      <c r="I20" s="235">
        <f t="shared" si="0"/>
        <v>0</v>
      </c>
      <c r="J20" s="236"/>
      <c r="K20" s="236"/>
      <c r="L20" s="237">
        <f t="shared" si="1"/>
        <v>0</v>
      </c>
    </row>
    <row r="21" spans="2:12" ht="22.5">
      <c r="B21" s="230">
        <v>0</v>
      </c>
      <c r="C21" s="231" t="s">
        <v>290</v>
      </c>
      <c r="D21" s="232">
        <v>5</v>
      </c>
      <c r="E21" s="233" t="s">
        <v>203</v>
      </c>
      <c r="F21" s="234"/>
      <c r="G21" s="234"/>
      <c r="H21" s="234"/>
      <c r="I21" s="235">
        <f t="shared" si="0"/>
        <v>0</v>
      </c>
      <c r="J21" s="236"/>
      <c r="K21" s="236"/>
      <c r="L21" s="237">
        <f t="shared" si="1"/>
        <v>0</v>
      </c>
    </row>
    <row r="22" spans="2:12" ht="22.5">
      <c r="C22" s="231" t="s">
        <v>291</v>
      </c>
      <c r="D22" s="232">
        <v>6</v>
      </c>
      <c r="E22" s="233" t="s">
        <v>204</v>
      </c>
      <c r="F22" s="234"/>
      <c r="G22" s="234"/>
      <c r="H22" s="234"/>
      <c r="I22" s="235">
        <f t="shared" si="0"/>
        <v>0</v>
      </c>
      <c r="J22" s="236"/>
      <c r="K22" s="236"/>
      <c r="L22" s="237">
        <f t="shared" si="1"/>
        <v>0</v>
      </c>
    </row>
    <row r="23" spans="2:12" ht="22.5">
      <c r="C23" s="231" t="s">
        <v>292</v>
      </c>
      <c r="D23" s="232">
        <v>7</v>
      </c>
      <c r="E23" s="233" t="s">
        <v>68</v>
      </c>
      <c r="F23" s="234"/>
      <c r="G23" s="234"/>
      <c r="H23" s="234"/>
      <c r="I23" s="235">
        <f t="shared" si="0"/>
        <v>0</v>
      </c>
      <c r="J23" s="236"/>
      <c r="K23" s="236"/>
      <c r="L23" s="237">
        <f t="shared" si="1"/>
        <v>0</v>
      </c>
    </row>
    <row r="24" spans="2:12" ht="23.25" thickBot="1">
      <c r="C24" s="231" t="s">
        <v>293</v>
      </c>
      <c r="D24" s="238">
        <v>8</v>
      </c>
      <c r="E24" s="239" t="s">
        <v>214</v>
      </c>
      <c r="F24" s="240"/>
      <c r="G24" s="240"/>
      <c r="H24" s="240"/>
      <c r="I24" s="235">
        <f t="shared" si="0"/>
        <v>0</v>
      </c>
      <c r="J24" s="241"/>
      <c r="K24" s="241"/>
      <c r="L24" s="237">
        <f t="shared" si="1"/>
        <v>0</v>
      </c>
    </row>
    <row r="25" spans="2:12" ht="42.75" customHeight="1" thickBot="1">
      <c r="D25" s="1111" t="s">
        <v>294</v>
      </c>
      <c r="E25" s="1112"/>
      <c r="F25" s="242">
        <f t="shared" ref="F25:L25" si="2">SUM(F17:F24)</f>
        <v>0</v>
      </c>
      <c r="G25" s="242">
        <f t="shared" si="2"/>
        <v>0</v>
      </c>
      <c r="H25" s="242">
        <f t="shared" si="2"/>
        <v>0</v>
      </c>
      <c r="I25" s="242">
        <f t="shared" si="2"/>
        <v>0</v>
      </c>
      <c r="J25" s="242">
        <f t="shared" si="2"/>
        <v>0</v>
      </c>
      <c r="K25" s="242">
        <f t="shared" si="2"/>
        <v>0</v>
      </c>
      <c r="L25" s="243">
        <f t="shared" si="2"/>
        <v>0</v>
      </c>
    </row>
    <row r="26" spans="2:12" ht="39.950000000000003" customHeight="1">
      <c r="D26" s="1113" t="s">
        <v>269</v>
      </c>
      <c r="E26" s="1114"/>
      <c r="F26" s="1114"/>
      <c r="G26" s="1114"/>
      <c r="H26" s="1114"/>
      <c r="I26" s="1114"/>
      <c r="J26" s="1114"/>
      <c r="K26" s="1114"/>
      <c r="L26" s="1115"/>
    </row>
    <row r="27" spans="2:12" ht="22.5">
      <c r="B27" s="230">
        <v>0</v>
      </c>
      <c r="C27" s="231" t="s">
        <v>295</v>
      </c>
      <c r="D27" s="232">
        <v>9</v>
      </c>
      <c r="E27" s="233" t="s">
        <v>190</v>
      </c>
      <c r="F27" s="234"/>
      <c r="G27" s="234"/>
      <c r="H27" s="234"/>
      <c r="I27" s="235">
        <f>F27+G27-H27</f>
        <v>0</v>
      </c>
      <c r="J27" s="236"/>
      <c r="K27" s="236"/>
      <c r="L27" s="237">
        <f>I27+K27</f>
        <v>0</v>
      </c>
    </row>
    <row r="28" spans="2:12" ht="22.5">
      <c r="B28" s="230">
        <v>0</v>
      </c>
      <c r="C28" s="231" t="s">
        <v>296</v>
      </c>
      <c r="D28" s="232">
        <v>10</v>
      </c>
      <c r="E28" s="233" t="s">
        <v>191</v>
      </c>
      <c r="F28" s="234"/>
      <c r="G28" s="234"/>
      <c r="H28" s="234"/>
      <c r="I28" s="235">
        <f>F28+G28-H28</f>
        <v>0</v>
      </c>
      <c r="J28" s="236"/>
      <c r="K28" s="236"/>
      <c r="L28" s="237">
        <f>I28+K28</f>
        <v>0</v>
      </c>
    </row>
    <row r="29" spans="2:12" ht="22.5">
      <c r="B29" s="230">
        <v>0</v>
      </c>
      <c r="C29" s="231" t="s">
        <v>297</v>
      </c>
      <c r="D29" s="232">
        <v>11</v>
      </c>
      <c r="E29" s="233" t="s">
        <v>192</v>
      </c>
      <c r="F29" s="244"/>
      <c r="G29" s="234"/>
      <c r="H29" s="234"/>
      <c r="I29" s="235">
        <f>F29+G29-H29</f>
        <v>0</v>
      </c>
      <c r="J29" s="236"/>
      <c r="K29" s="236"/>
      <c r="L29" s="237">
        <f>I29+K29</f>
        <v>0</v>
      </c>
    </row>
    <row r="30" spans="2:12" ht="22.5">
      <c r="B30" s="230">
        <v>0</v>
      </c>
      <c r="C30" s="231" t="s">
        <v>298</v>
      </c>
      <c r="D30" s="232">
        <v>12</v>
      </c>
      <c r="E30" s="233" t="s">
        <v>193</v>
      </c>
      <c r="F30" s="234"/>
      <c r="G30" s="234"/>
      <c r="H30" s="234"/>
      <c r="I30" s="235">
        <f>F30+G30-H30</f>
        <v>0</v>
      </c>
      <c r="J30" s="236"/>
      <c r="K30" s="236"/>
      <c r="L30" s="237">
        <f>I30+K30</f>
        <v>0</v>
      </c>
    </row>
    <row r="31" spans="2:12" ht="23.25" thickBot="1">
      <c r="B31" s="230">
        <v>0</v>
      </c>
      <c r="C31" s="231" t="s">
        <v>299</v>
      </c>
      <c r="D31" s="238">
        <v>13</v>
      </c>
      <c r="E31" s="239" t="s">
        <v>205</v>
      </c>
      <c r="F31" s="240"/>
      <c r="G31" s="240"/>
      <c r="H31" s="240"/>
      <c r="I31" s="235">
        <f>F31+G31-H31</f>
        <v>0</v>
      </c>
      <c r="J31" s="241"/>
      <c r="K31" s="241"/>
      <c r="L31" s="237">
        <f>I31+K31</f>
        <v>0</v>
      </c>
    </row>
    <row r="32" spans="2:12" ht="48.75" customHeight="1" thickBot="1">
      <c r="C32" s="211"/>
      <c r="D32" s="1111" t="s">
        <v>300</v>
      </c>
      <c r="E32" s="1112"/>
      <c r="F32" s="242">
        <f t="shared" ref="F32:L32" si="3">SUM(F27:F31)</f>
        <v>0</v>
      </c>
      <c r="G32" s="242">
        <f t="shared" si="3"/>
        <v>0</v>
      </c>
      <c r="H32" s="242">
        <f t="shared" si="3"/>
        <v>0</v>
      </c>
      <c r="I32" s="242">
        <f t="shared" si="3"/>
        <v>0</v>
      </c>
      <c r="J32" s="242">
        <f t="shared" si="3"/>
        <v>0</v>
      </c>
      <c r="K32" s="242">
        <f t="shared" si="3"/>
        <v>0</v>
      </c>
      <c r="L32" s="243">
        <f t="shared" si="3"/>
        <v>0</v>
      </c>
    </row>
    <row r="33" spans="2:12" ht="40.5" customHeight="1">
      <c r="C33" s="231"/>
      <c r="D33" s="1104" t="s">
        <v>301</v>
      </c>
      <c r="E33" s="1122"/>
      <c r="F33" s="1122"/>
      <c r="G33" s="1122"/>
      <c r="H33" s="1122"/>
      <c r="I33" s="1122"/>
      <c r="J33" s="1122"/>
      <c r="K33" s="1122"/>
      <c r="L33" s="1123"/>
    </row>
    <row r="34" spans="2:12" ht="22.5">
      <c r="B34" s="230">
        <v>0</v>
      </c>
      <c r="C34" s="231" t="s">
        <v>302</v>
      </c>
      <c r="D34" s="232">
        <v>14</v>
      </c>
      <c r="E34" s="233" t="s">
        <v>194</v>
      </c>
      <c r="F34" s="234"/>
      <c r="G34" s="234"/>
      <c r="H34" s="234"/>
      <c r="I34" s="235">
        <f t="shared" ref="I34:I41" si="4">F34+G34-H34</f>
        <v>0</v>
      </c>
      <c r="J34" s="236"/>
      <c r="K34" s="236"/>
      <c r="L34" s="237">
        <f t="shared" ref="L34:L41" si="5">I34+K34</f>
        <v>0</v>
      </c>
    </row>
    <row r="35" spans="2:12" ht="22.5">
      <c r="B35" s="230">
        <v>0</v>
      </c>
      <c r="C35" s="231" t="s">
        <v>303</v>
      </c>
      <c r="D35" s="232">
        <v>15</v>
      </c>
      <c r="E35" s="233" t="s">
        <v>195</v>
      </c>
      <c r="F35" s="234"/>
      <c r="G35" s="234"/>
      <c r="H35" s="234"/>
      <c r="I35" s="235">
        <f t="shared" si="4"/>
        <v>0</v>
      </c>
      <c r="J35" s="236"/>
      <c r="K35" s="236"/>
      <c r="L35" s="237">
        <f t="shared" si="5"/>
        <v>0</v>
      </c>
    </row>
    <row r="36" spans="2:12" ht="22.5">
      <c r="B36" s="230">
        <v>0</v>
      </c>
      <c r="C36" s="231" t="s">
        <v>304</v>
      </c>
      <c r="D36" s="232">
        <v>16</v>
      </c>
      <c r="E36" s="233" t="s">
        <v>196</v>
      </c>
      <c r="F36" s="234"/>
      <c r="G36" s="234"/>
      <c r="H36" s="234"/>
      <c r="I36" s="235">
        <f t="shared" si="4"/>
        <v>0</v>
      </c>
      <c r="J36" s="236"/>
      <c r="K36" s="236"/>
      <c r="L36" s="237">
        <f t="shared" si="5"/>
        <v>0</v>
      </c>
    </row>
    <row r="37" spans="2:12" ht="22.5">
      <c r="B37" s="230">
        <v>0</v>
      </c>
      <c r="C37" s="231" t="s">
        <v>305</v>
      </c>
      <c r="D37" s="232">
        <v>17</v>
      </c>
      <c r="E37" s="233" t="s">
        <v>212</v>
      </c>
      <c r="F37" s="234"/>
      <c r="G37" s="234"/>
      <c r="H37" s="234"/>
      <c r="I37" s="235">
        <f t="shared" si="4"/>
        <v>0</v>
      </c>
      <c r="J37" s="236"/>
      <c r="K37" s="236"/>
      <c r="L37" s="237">
        <f t="shared" si="5"/>
        <v>0</v>
      </c>
    </row>
    <row r="38" spans="2:12" ht="21" customHeight="1">
      <c r="B38" s="230">
        <v>0</v>
      </c>
      <c r="C38" s="231" t="s">
        <v>306</v>
      </c>
      <c r="D38" s="232">
        <v>18</v>
      </c>
      <c r="E38" s="233" t="s">
        <v>197</v>
      </c>
      <c r="F38" s="234"/>
      <c r="G38" s="234"/>
      <c r="H38" s="234"/>
      <c r="I38" s="235">
        <f t="shared" si="4"/>
        <v>0</v>
      </c>
      <c r="J38" s="236"/>
      <c r="K38" s="236"/>
      <c r="L38" s="237">
        <f t="shared" si="5"/>
        <v>0</v>
      </c>
    </row>
    <row r="39" spans="2:12" ht="22.5">
      <c r="C39" s="231" t="s">
        <v>307</v>
      </c>
      <c r="D39" s="232">
        <v>19</v>
      </c>
      <c r="E39" s="233" t="s">
        <v>60</v>
      </c>
      <c r="F39" s="234"/>
      <c r="G39" s="234"/>
      <c r="H39" s="234"/>
      <c r="I39" s="235">
        <f t="shared" si="4"/>
        <v>0</v>
      </c>
      <c r="J39" s="236"/>
      <c r="K39" s="236"/>
      <c r="L39" s="237">
        <f t="shared" si="5"/>
        <v>0</v>
      </c>
    </row>
    <row r="40" spans="2:12" ht="22.5">
      <c r="C40" s="231" t="s">
        <v>308</v>
      </c>
      <c r="D40" s="232">
        <v>20</v>
      </c>
      <c r="E40" s="233" t="s">
        <v>198</v>
      </c>
      <c r="F40" s="234"/>
      <c r="G40" s="234"/>
      <c r="H40" s="234"/>
      <c r="I40" s="235">
        <f t="shared" si="4"/>
        <v>0</v>
      </c>
      <c r="J40" s="236"/>
      <c r="K40" s="236"/>
      <c r="L40" s="237">
        <f t="shared" si="5"/>
        <v>0</v>
      </c>
    </row>
    <row r="41" spans="2:12" ht="23.25" thickBot="1">
      <c r="C41" s="231" t="s">
        <v>309</v>
      </c>
      <c r="D41" s="238">
        <v>21</v>
      </c>
      <c r="E41" s="239" t="s">
        <v>78</v>
      </c>
      <c r="F41" s="240"/>
      <c r="G41" s="240"/>
      <c r="H41" s="240"/>
      <c r="I41" s="235">
        <f t="shared" si="4"/>
        <v>0</v>
      </c>
      <c r="J41" s="241"/>
      <c r="K41" s="241"/>
      <c r="L41" s="237">
        <f t="shared" si="5"/>
        <v>0</v>
      </c>
    </row>
    <row r="42" spans="2:12" ht="47.25" customHeight="1" thickBot="1">
      <c r="C42" s="211"/>
      <c r="D42" s="1111" t="s">
        <v>310</v>
      </c>
      <c r="E42" s="1112"/>
      <c r="F42" s="242">
        <f t="shared" ref="F42:L42" si="6">SUM(F34:F41)</f>
        <v>0</v>
      </c>
      <c r="G42" s="242">
        <f t="shared" si="6"/>
        <v>0</v>
      </c>
      <c r="H42" s="242">
        <f t="shared" si="6"/>
        <v>0</v>
      </c>
      <c r="I42" s="242">
        <f t="shared" si="6"/>
        <v>0</v>
      </c>
      <c r="J42" s="242">
        <f t="shared" si="6"/>
        <v>0</v>
      </c>
      <c r="K42" s="242">
        <f t="shared" si="6"/>
        <v>0</v>
      </c>
      <c r="L42" s="243">
        <f t="shared" si="6"/>
        <v>0</v>
      </c>
    </row>
    <row r="43" spans="2:12" ht="45.75" customHeight="1">
      <c r="D43" s="1104" t="s">
        <v>72</v>
      </c>
      <c r="E43" s="1105"/>
      <c r="F43" s="1105"/>
      <c r="G43" s="1105"/>
      <c r="H43" s="1105"/>
      <c r="I43" s="1105"/>
      <c r="J43" s="1105"/>
      <c r="K43" s="1105"/>
      <c r="L43" s="1106"/>
    </row>
    <row r="44" spans="2:12" ht="22.5" customHeight="1">
      <c r="B44" s="230">
        <v>101848</v>
      </c>
      <c r="C44" s="231" t="s">
        <v>311</v>
      </c>
      <c r="D44" s="245">
        <f>D41+1</f>
        <v>22</v>
      </c>
      <c r="E44" s="246" t="s">
        <v>444</v>
      </c>
      <c r="F44" s="234"/>
      <c r="G44" s="234"/>
      <c r="H44" s="234"/>
      <c r="I44" s="235">
        <f t="shared" ref="I44:I55" si="7">F44+G44-H44</f>
        <v>0</v>
      </c>
      <c r="J44" s="236"/>
      <c r="K44" s="236"/>
      <c r="L44" s="237">
        <f t="shared" ref="L44:L68" si="8">I44+K44</f>
        <v>0</v>
      </c>
    </row>
    <row r="45" spans="2:12" ht="22.5">
      <c r="B45" s="230">
        <v>17</v>
      </c>
      <c r="C45" s="231" t="s">
        <v>312</v>
      </c>
      <c r="D45" s="245">
        <f t="shared" ref="D45:D68" si="9">D44+1</f>
        <v>23</v>
      </c>
      <c r="E45" s="246" t="s">
        <v>31</v>
      </c>
      <c r="F45" s="234"/>
      <c r="G45" s="234"/>
      <c r="H45" s="234"/>
      <c r="I45" s="235">
        <f t="shared" si="7"/>
        <v>0</v>
      </c>
      <c r="J45" s="236"/>
      <c r="K45" s="236"/>
      <c r="L45" s="237">
        <f t="shared" si="8"/>
        <v>0</v>
      </c>
    </row>
    <row r="46" spans="2:12" ht="22.5">
      <c r="B46" s="230">
        <v>163390</v>
      </c>
      <c r="C46" s="231" t="s">
        <v>313</v>
      </c>
      <c r="D46" s="245">
        <f t="shared" si="9"/>
        <v>24</v>
      </c>
      <c r="E46" s="247" t="s">
        <v>440</v>
      </c>
      <c r="F46" s="234"/>
      <c r="G46" s="234"/>
      <c r="H46" s="234"/>
      <c r="I46" s="235">
        <f t="shared" si="7"/>
        <v>0</v>
      </c>
      <c r="J46" s="236"/>
      <c r="K46" s="236"/>
      <c r="L46" s="237">
        <f t="shared" si="8"/>
        <v>0</v>
      </c>
    </row>
    <row r="47" spans="2:12" ht="22.5">
      <c r="B47" s="230">
        <v>37636</v>
      </c>
      <c r="C47" s="231" t="s">
        <v>314</v>
      </c>
      <c r="D47" s="245">
        <f t="shared" si="9"/>
        <v>25</v>
      </c>
      <c r="E47" s="247" t="s">
        <v>44</v>
      </c>
      <c r="F47" s="234"/>
      <c r="G47" s="234"/>
      <c r="H47" s="234"/>
      <c r="I47" s="235">
        <f t="shared" si="7"/>
        <v>0</v>
      </c>
      <c r="J47" s="236"/>
      <c r="K47" s="236"/>
      <c r="L47" s="237">
        <f t="shared" si="8"/>
        <v>0</v>
      </c>
    </row>
    <row r="48" spans="2:12" ht="23.25" customHeight="1">
      <c r="B48" s="230">
        <v>0</v>
      </c>
      <c r="C48" s="231" t="s">
        <v>315</v>
      </c>
      <c r="D48" s="245">
        <f t="shared" si="9"/>
        <v>26</v>
      </c>
      <c r="E48" s="247" t="s">
        <v>28</v>
      </c>
      <c r="F48" s="234"/>
      <c r="G48" s="234"/>
      <c r="H48" s="234"/>
      <c r="I48" s="235">
        <f t="shared" si="7"/>
        <v>0</v>
      </c>
      <c r="J48" s="236"/>
      <c r="K48" s="236"/>
      <c r="L48" s="237">
        <f t="shared" si="8"/>
        <v>0</v>
      </c>
    </row>
    <row r="49" spans="3:12" ht="21" customHeight="1">
      <c r="C49" s="231" t="s">
        <v>316</v>
      </c>
      <c r="D49" s="245">
        <f t="shared" si="9"/>
        <v>27</v>
      </c>
      <c r="E49" s="247" t="s">
        <v>449</v>
      </c>
      <c r="F49" s="234"/>
      <c r="G49" s="234"/>
      <c r="H49" s="234"/>
      <c r="I49" s="235">
        <f t="shared" si="7"/>
        <v>0</v>
      </c>
      <c r="J49" s="236"/>
      <c r="K49" s="236"/>
      <c r="L49" s="237">
        <f t="shared" si="8"/>
        <v>0</v>
      </c>
    </row>
    <row r="50" spans="3:12" ht="22.5">
      <c r="C50" s="231" t="s">
        <v>317</v>
      </c>
      <c r="D50" s="245">
        <f t="shared" si="9"/>
        <v>28</v>
      </c>
      <c r="E50" s="247" t="s">
        <v>142</v>
      </c>
      <c r="F50" s="234"/>
      <c r="G50" s="234"/>
      <c r="H50" s="234"/>
      <c r="I50" s="235">
        <f t="shared" si="7"/>
        <v>0</v>
      </c>
      <c r="J50" s="236"/>
      <c r="K50" s="236"/>
      <c r="L50" s="237">
        <f t="shared" si="8"/>
        <v>0</v>
      </c>
    </row>
    <row r="51" spans="3:12" ht="22.5">
      <c r="C51" s="231" t="s">
        <v>318</v>
      </c>
      <c r="D51" s="245">
        <f t="shared" si="9"/>
        <v>29</v>
      </c>
      <c r="E51" s="247" t="s">
        <v>143</v>
      </c>
      <c r="F51" s="234"/>
      <c r="G51" s="234"/>
      <c r="H51" s="234"/>
      <c r="I51" s="235">
        <f t="shared" si="7"/>
        <v>0</v>
      </c>
      <c r="J51" s="236"/>
      <c r="K51" s="236"/>
      <c r="L51" s="237">
        <f t="shared" si="8"/>
        <v>0</v>
      </c>
    </row>
    <row r="52" spans="3:12" ht="22.5">
      <c r="C52" s="231" t="s">
        <v>319</v>
      </c>
      <c r="D52" s="245">
        <f t="shared" si="9"/>
        <v>30</v>
      </c>
      <c r="E52" s="247" t="s">
        <v>4</v>
      </c>
      <c r="F52" s="234"/>
      <c r="G52" s="234"/>
      <c r="H52" s="234"/>
      <c r="I52" s="235">
        <f t="shared" si="7"/>
        <v>0</v>
      </c>
      <c r="J52" s="236"/>
      <c r="K52" s="236"/>
      <c r="L52" s="237">
        <f t="shared" si="8"/>
        <v>0</v>
      </c>
    </row>
    <row r="53" spans="3:12" ht="22.5">
      <c r="C53" s="231" t="s">
        <v>320</v>
      </c>
      <c r="D53" s="245">
        <f t="shared" si="9"/>
        <v>31</v>
      </c>
      <c r="E53" s="247" t="s">
        <v>29</v>
      </c>
      <c r="F53" s="234"/>
      <c r="G53" s="234"/>
      <c r="H53" s="234"/>
      <c r="I53" s="235">
        <f t="shared" si="7"/>
        <v>0</v>
      </c>
      <c r="J53" s="236"/>
      <c r="K53" s="236"/>
      <c r="L53" s="237">
        <f t="shared" si="8"/>
        <v>0</v>
      </c>
    </row>
    <row r="54" spans="3:12" ht="22.5">
      <c r="C54" s="231" t="s">
        <v>321</v>
      </c>
      <c r="D54" s="245">
        <f t="shared" si="9"/>
        <v>32</v>
      </c>
      <c r="E54" s="247" t="s">
        <v>30</v>
      </c>
      <c r="F54" s="234">
        <v>1678340</v>
      </c>
      <c r="G54" s="234">
        <v>243221</v>
      </c>
      <c r="H54" s="234">
        <v>144417</v>
      </c>
      <c r="I54" s="235">
        <f t="shared" si="7"/>
        <v>1777144</v>
      </c>
      <c r="J54" s="236"/>
      <c r="K54" s="236"/>
      <c r="L54" s="237">
        <f t="shared" si="8"/>
        <v>1777144</v>
      </c>
    </row>
    <row r="55" spans="3:12" ht="22.5">
      <c r="C55" s="231" t="s">
        <v>322</v>
      </c>
      <c r="D55" s="245">
        <f t="shared" si="9"/>
        <v>33</v>
      </c>
      <c r="E55" s="247" t="s">
        <v>32</v>
      </c>
      <c r="F55" s="234"/>
      <c r="G55" s="234"/>
      <c r="H55" s="234"/>
      <c r="I55" s="235">
        <f t="shared" si="7"/>
        <v>0</v>
      </c>
      <c r="J55" s="236"/>
      <c r="K55" s="236"/>
      <c r="L55" s="237">
        <f t="shared" si="8"/>
        <v>0</v>
      </c>
    </row>
    <row r="56" spans="3:12" ht="22.5">
      <c r="C56" s="231" t="s">
        <v>323</v>
      </c>
      <c r="D56" s="245">
        <f t="shared" si="9"/>
        <v>34</v>
      </c>
      <c r="E56" s="247" t="s">
        <v>443</v>
      </c>
      <c r="F56" s="234"/>
      <c r="G56" s="234"/>
      <c r="H56" s="234"/>
      <c r="I56" s="235"/>
      <c r="J56" s="236"/>
      <c r="K56" s="236"/>
      <c r="L56" s="237">
        <f t="shared" si="8"/>
        <v>0</v>
      </c>
    </row>
    <row r="57" spans="3:12" ht="22.5">
      <c r="C57" s="231" t="s">
        <v>324</v>
      </c>
      <c r="D57" s="245">
        <f t="shared" si="9"/>
        <v>35</v>
      </c>
      <c r="E57" s="247" t="s">
        <v>34</v>
      </c>
      <c r="F57" s="234"/>
      <c r="G57" s="234"/>
      <c r="H57" s="234"/>
      <c r="I57" s="235">
        <f t="shared" ref="I57:I68" si="10">F57+G57-H57</f>
        <v>0</v>
      </c>
      <c r="J57" s="236"/>
      <c r="K57" s="236"/>
      <c r="L57" s="237">
        <f t="shared" si="8"/>
        <v>0</v>
      </c>
    </row>
    <row r="58" spans="3:12" ht="22.5">
      <c r="C58" s="231" t="s">
        <v>325</v>
      </c>
      <c r="D58" s="245">
        <f t="shared" si="9"/>
        <v>36</v>
      </c>
      <c r="E58" s="247" t="s">
        <v>209</v>
      </c>
      <c r="F58" s="234"/>
      <c r="G58" s="234"/>
      <c r="H58" s="234"/>
      <c r="I58" s="235">
        <f t="shared" si="10"/>
        <v>0</v>
      </c>
      <c r="J58" s="236"/>
      <c r="K58" s="236"/>
      <c r="L58" s="237">
        <f t="shared" si="8"/>
        <v>0</v>
      </c>
    </row>
    <row r="59" spans="3:12" ht="22.5">
      <c r="C59" s="231" t="s">
        <v>326</v>
      </c>
      <c r="D59" s="245">
        <f t="shared" si="9"/>
        <v>37</v>
      </c>
      <c r="E59" s="247" t="s">
        <v>35</v>
      </c>
      <c r="F59" s="234"/>
      <c r="G59" s="234"/>
      <c r="H59" s="234"/>
      <c r="I59" s="235">
        <f t="shared" si="10"/>
        <v>0</v>
      </c>
      <c r="J59" s="236"/>
      <c r="K59" s="236"/>
      <c r="L59" s="237">
        <f t="shared" si="8"/>
        <v>0</v>
      </c>
    </row>
    <row r="60" spans="3:12" ht="22.5">
      <c r="C60" s="231" t="s">
        <v>327</v>
      </c>
      <c r="D60" s="245">
        <f t="shared" si="9"/>
        <v>38</v>
      </c>
      <c r="E60" s="247" t="s">
        <v>144</v>
      </c>
      <c r="F60" s="234"/>
      <c r="G60" s="234"/>
      <c r="H60" s="234"/>
      <c r="I60" s="235">
        <f t="shared" si="10"/>
        <v>0</v>
      </c>
      <c r="J60" s="236"/>
      <c r="K60" s="236"/>
      <c r="L60" s="237">
        <f t="shared" si="8"/>
        <v>0</v>
      </c>
    </row>
    <row r="61" spans="3:12" ht="22.5">
      <c r="C61" s="231" t="s">
        <v>328</v>
      </c>
      <c r="D61" s="245">
        <f t="shared" si="9"/>
        <v>39</v>
      </c>
      <c r="E61" s="247" t="s">
        <v>38</v>
      </c>
      <c r="F61" s="234"/>
      <c r="G61" s="234"/>
      <c r="H61" s="234"/>
      <c r="I61" s="235">
        <f t="shared" si="10"/>
        <v>0</v>
      </c>
      <c r="J61" s="236"/>
      <c r="K61" s="236"/>
      <c r="L61" s="237">
        <f t="shared" si="8"/>
        <v>0</v>
      </c>
    </row>
    <row r="62" spans="3:12" ht="22.5">
      <c r="C62" s="231" t="s">
        <v>329</v>
      </c>
      <c r="D62" s="245">
        <f t="shared" si="9"/>
        <v>40</v>
      </c>
      <c r="E62" s="247" t="s">
        <v>39</v>
      </c>
      <c r="F62" s="234"/>
      <c r="G62" s="234"/>
      <c r="H62" s="234"/>
      <c r="I62" s="235">
        <f t="shared" si="10"/>
        <v>0</v>
      </c>
      <c r="J62" s="236"/>
      <c r="K62" s="236"/>
      <c r="L62" s="237">
        <f t="shared" si="8"/>
        <v>0</v>
      </c>
    </row>
    <row r="63" spans="3:12" ht="22.5">
      <c r="C63" s="231" t="s">
        <v>330</v>
      </c>
      <c r="D63" s="245">
        <f t="shared" si="9"/>
        <v>41</v>
      </c>
      <c r="E63" s="247" t="s">
        <v>40</v>
      </c>
      <c r="F63" s="234"/>
      <c r="G63" s="234"/>
      <c r="H63" s="234"/>
      <c r="I63" s="235">
        <f t="shared" si="10"/>
        <v>0</v>
      </c>
      <c r="J63" s="236"/>
      <c r="K63" s="236"/>
      <c r="L63" s="237">
        <f t="shared" si="8"/>
        <v>0</v>
      </c>
    </row>
    <row r="64" spans="3:12" ht="22.5">
      <c r="C64" s="231" t="s">
        <v>331</v>
      </c>
      <c r="D64" s="245">
        <f t="shared" si="9"/>
        <v>42</v>
      </c>
      <c r="E64" s="247" t="s">
        <v>42</v>
      </c>
      <c r="F64" s="234"/>
      <c r="G64" s="234"/>
      <c r="H64" s="234"/>
      <c r="I64" s="235">
        <f t="shared" si="10"/>
        <v>0</v>
      </c>
      <c r="J64" s="236"/>
      <c r="K64" s="236"/>
      <c r="L64" s="237">
        <f t="shared" si="8"/>
        <v>0</v>
      </c>
    </row>
    <row r="65" spans="2:12" ht="22.5">
      <c r="C65" s="231" t="s">
        <v>332</v>
      </c>
      <c r="D65" s="245">
        <f t="shared" si="9"/>
        <v>43</v>
      </c>
      <c r="E65" s="247" t="s">
        <v>43</v>
      </c>
      <c r="F65" s="234"/>
      <c r="G65" s="234"/>
      <c r="H65" s="234"/>
      <c r="I65" s="235">
        <f t="shared" si="10"/>
        <v>0</v>
      </c>
      <c r="J65" s="236"/>
      <c r="K65" s="236"/>
      <c r="L65" s="237">
        <f t="shared" si="8"/>
        <v>0</v>
      </c>
    </row>
    <row r="66" spans="2:12" ht="22.5">
      <c r="C66" s="231" t="s">
        <v>333</v>
      </c>
      <c r="D66" s="245">
        <f t="shared" si="9"/>
        <v>44</v>
      </c>
      <c r="E66" s="247" t="s">
        <v>45</v>
      </c>
      <c r="F66" s="234"/>
      <c r="G66" s="234"/>
      <c r="H66" s="234"/>
      <c r="I66" s="235">
        <f t="shared" si="10"/>
        <v>0</v>
      </c>
      <c r="J66" s="236"/>
      <c r="K66" s="236"/>
      <c r="L66" s="237">
        <f t="shared" si="8"/>
        <v>0</v>
      </c>
    </row>
    <row r="67" spans="2:12" ht="22.5">
      <c r="C67" s="231" t="s">
        <v>334</v>
      </c>
      <c r="D67" s="245">
        <f t="shared" si="9"/>
        <v>45</v>
      </c>
      <c r="E67" s="247" t="s">
        <v>442</v>
      </c>
      <c r="F67" s="234"/>
      <c r="G67" s="234"/>
      <c r="H67" s="234"/>
      <c r="I67" s="235">
        <f t="shared" si="10"/>
        <v>0</v>
      </c>
      <c r="J67" s="236"/>
      <c r="K67" s="236"/>
      <c r="L67" s="237">
        <f t="shared" si="8"/>
        <v>0</v>
      </c>
    </row>
    <row r="68" spans="2:12" ht="23.25" thickBot="1">
      <c r="C68" s="231" t="s">
        <v>335</v>
      </c>
      <c r="D68" s="248">
        <f t="shared" si="9"/>
        <v>46</v>
      </c>
      <c r="E68" s="249" t="s">
        <v>47</v>
      </c>
      <c r="F68" s="240"/>
      <c r="G68" s="240"/>
      <c r="H68" s="240"/>
      <c r="I68" s="235">
        <f t="shared" si="10"/>
        <v>0</v>
      </c>
      <c r="J68" s="241"/>
      <c r="K68" s="241"/>
      <c r="L68" s="237">
        <f t="shared" si="8"/>
        <v>0</v>
      </c>
    </row>
    <row r="69" spans="2:12" s="212" customFormat="1" ht="39.75" customHeight="1" thickBot="1">
      <c r="D69" s="1107" t="s">
        <v>336</v>
      </c>
      <c r="E69" s="1108"/>
      <c r="F69" s="856">
        <f t="shared" ref="F69:L69" si="11">SUM(F44:F68)</f>
        <v>1678340</v>
      </c>
      <c r="G69" s="242">
        <f t="shared" si="11"/>
        <v>243221</v>
      </c>
      <c r="H69" s="242">
        <f t="shared" si="11"/>
        <v>144417</v>
      </c>
      <c r="I69" s="242">
        <f t="shared" si="11"/>
        <v>1777144</v>
      </c>
      <c r="J69" s="242">
        <f t="shared" si="11"/>
        <v>0</v>
      </c>
      <c r="K69" s="242">
        <f t="shared" si="11"/>
        <v>0</v>
      </c>
      <c r="L69" s="243">
        <f t="shared" si="11"/>
        <v>1777144</v>
      </c>
    </row>
    <row r="70" spans="2:12" ht="39.950000000000003" customHeight="1">
      <c r="D70" s="1104" t="s">
        <v>74</v>
      </c>
      <c r="E70" s="1105"/>
      <c r="F70" s="1105"/>
      <c r="G70" s="1105"/>
      <c r="H70" s="1105"/>
      <c r="I70" s="1105"/>
      <c r="J70" s="1105"/>
      <c r="K70" s="1105"/>
      <c r="L70" s="1106"/>
    </row>
    <row r="71" spans="2:12" ht="22.5">
      <c r="B71" s="230">
        <v>0</v>
      </c>
      <c r="C71" s="231" t="s">
        <v>337</v>
      </c>
      <c r="D71" s="245">
        <f>D68+1</f>
        <v>47</v>
      </c>
      <c r="E71" s="250" t="s">
        <v>5</v>
      </c>
      <c r="F71" s="234"/>
      <c r="G71" s="251"/>
      <c r="H71" s="251"/>
      <c r="I71" s="235">
        <f t="shared" ref="I71:I88" si="12">F71+G71-H71</f>
        <v>0</v>
      </c>
      <c r="J71" s="252"/>
      <c r="K71" s="252"/>
      <c r="L71" s="237">
        <f t="shared" ref="L71:L88" si="13">I71+K71</f>
        <v>0</v>
      </c>
    </row>
    <row r="72" spans="2:12" ht="22.5">
      <c r="B72" s="230">
        <v>0</v>
      </c>
      <c r="C72" s="231" t="s">
        <v>338</v>
      </c>
      <c r="D72" s="245">
        <f t="shared" ref="D72:D88" si="14">D71+1</f>
        <v>48</v>
      </c>
      <c r="E72" s="250" t="s">
        <v>111</v>
      </c>
      <c r="F72" s="234"/>
      <c r="G72" s="253"/>
      <c r="H72" s="253"/>
      <c r="I72" s="235">
        <f t="shared" si="12"/>
        <v>0</v>
      </c>
      <c r="J72" s="252"/>
      <c r="K72" s="252"/>
      <c r="L72" s="237">
        <f t="shared" si="13"/>
        <v>0</v>
      </c>
    </row>
    <row r="73" spans="2:12" ht="22.5">
      <c r="B73" s="230">
        <v>0</v>
      </c>
      <c r="C73" s="231" t="s">
        <v>339</v>
      </c>
      <c r="D73" s="245">
        <f t="shared" si="14"/>
        <v>49</v>
      </c>
      <c r="E73" s="250" t="s">
        <v>112</v>
      </c>
      <c r="F73" s="234"/>
      <c r="G73" s="253"/>
      <c r="H73" s="253"/>
      <c r="I73" s="235">
        <f t="shared" si="12"/>
        <v>0</v>
      </c>
      <c r="J73" s="252"/>
      <c r="K73" s="252"/>
      <c r="L73" s="237">
        <f t="shared" si="13"/>
        <v>0</v>
      </c>
    </row>
    <row r="74" spans="2:12" ht="22.5">
      <c r="B74" s="230">
        <v>0</v>
      </c>
      <c r="C74" s="231" t="s">
        <v>340</v>
      </c>
      <c r="D74" s="245">
        <f t="shared" si="14"/>
        <v>50</v>
      </c>
      <c r="E74" s="254" t="s">
        <v>242</v>
      </c>
      <c r="F74" s="234"/>
      <c r="G74" s="253"/>
      <c r="H74" s="253"/>
      <c r="I74" s="235">
        <f t="shared" si="12"/>
        <v>0</v>
      </c>
      <c r="J74" s="252"/>
      <c r="K74" s="252"/>
      <c r="L74" s="237">
        <f t="shared" si="13"/>
        <v>0</v>
      </c>
    </row>
    <row r="75" spans="2:12" ht="23.25" customHeight="1">
      <c r="B75" s="230">
        <v>0</v>
      </c>
      <c r="C75" s="231" t="s">
        <v>341</v>
      </c>
      <c r="D75" s="245">
        <f t="shared" si="14"/>
        <v>51</v>
      </c>
      <c r="E75" s="254" t="s">
        <v>129</v>
      </c>
      <c r="F75" s="234"/>
      <c r="G75" s="253"/>
      <c r="H75" s="253"/>
      <c r="I75" s="235">
        <f t="shared" si="12"/>
        <v>0</v>
      </c>
      <c r="J75" s="252"/>
      <c r="K75" s="252"/>
      <c r="L75" s="237">
        <f t="shared" si="13"/>
        <v>0</v>
      </c>
    </row>
    <row r="76" spans="2:12" ht="21" customHeight="1">
      <c r="C76" s="231" t="s">
        <v>342</v>
      </c>
      <c r="D76" s="245">
        <f t="shared" si="14"/>
        <v>52</v>
      </c>
      <c r="E76" s="254" t="s">
        <v>145</v>
      </c>
      <c r="F76" s="234"/>
      <c r="G76" s="253"/>
      <c r="H76" s="253"/>
      <c r="I76" s="235">
        <f t="shared" si="12"/>
        <v>0</v>
      </c>
      <c r="J76" s="252"/>
      <c r="K76" s="252"/>
      <c r="L76" s="237">
        <f t="shared" si="13"/>
        <v>0</v>
      </c>
    </row>
    <row r="77" spans="2:12" ht="22.5">
      <c r="C77" s="231" t="s">
        <v>343</v>
      </c>
      <c r="D77" s="245">
        <f t="shared" si="14"/>
        <v>53</v>
      </c>
      <c r="E77" s="254" t="s">
        <v>146</v>
      </c>
      <c r="F77" s="234"/>
      <c r="G77" s="253"/>
      <c r="H77" s="253"/>
      <c r="I77" s="235">
        <f t="shared" si="12"/>
        <v>0</v>
      </c>
      <c r="J77" s="252"/>
      <c r="K77" s="252"/>
      <c r="L77" s="237">
        <f t="shared" si="13"/>
        <v>0</v>
      </c>
    </row>
    <row r="78" spans="2:12" ht="22.5">
      <c r="C78" s="231" t="s">
        <v>344</v>
      </c>
      <c r="D78" s="245">
        <f t="shared" si="14"/>
        <v>54</v>
      </c>
      <c r="E78" s="254" t="s">
        <v>147</v>
      </c>
      <c r="F78" s="234"/>
      <c r="G78" s="251"/>
      <c r="H78" s="251"/>
      <c r="I78" s="235">
        <f t="shared" si="12"/>
        <v>0</v>
      </c>
      <c r="J78" s="252"/>
      <c r="K78" s="252"/>
      <c r="L78" s="237">
        <f t="shared" si="13"/>
        <v>0</v>
      </c>
    </row>
    <row r="79" spans="2:12" ht="22.5">
      <c r="C79" s="231" t="s">
        <v>345</v>
      </c>
      <c r="D79" s="245">
        <f t="shared" si="14"/>
        <v>55</v>
      </c>
      <c r="E79" s="250" t="s">
        <v>17</v>
      </c>
      <c r="F79" s="234"/>
      <c r="G79" s="251"/>
      <c r="H79" s="251"/>
      <c r="I79" s="235">
        <f t="shared" si="12"/>
        <v>0</v>
      </c>
      <c r="J79" s="252"/>
      <c r="K79" s="252"/>
      <c r="L79" s="237">
        <f t="shared" si="13"/>
        <v>0</v>
      </c>
    </row>
    <row r="80" spans="2:12" ht="22.5">
      <c r="C80" s="231" t="s">
        <v>346</v>
      </c>
      <c r="D80" s="245">
        <f t="shared" si="14"/>
        <v>56</v>
      </c>
      <c r="E80" s="250" t="s">
        <v>18</v>
      </c>
      <c r="F80" s="234"/>
      <c r="G80" s="253"/>
      <c r="H80" s="253"/>
      <c r="I80" s="235">
        <f t="shared" si="12"/>
        <v>0</v>
      </c>
      <c r="J80" s="252"/>
      <c r="K80" s="252"/>
      <c r="L80" s="237">
        <f t="shared" si="13"/>
        <v>0</v>
      </c>
    </row>
    <row r="81" spans="2:12" ht="22.5">
      <c r="C81" s="231" t="s">
        <v>347</v>
      </c>
      <c r="D81" s="245">
        <f t="shared" si="14"/>
        <v>57</v>
      </c>
      <c r="E81" s="250" t="s">
        <v>19</v>
      </c>
      <c r="F81" s="234"/>
      <c r="G81" s="253"/>
      <c r="H81" s="253"/>
      <c r="I81" s="235">
        <f t="shared" si="12"/>
        <v>0</v>
      </c>
      <c r="J81" s="252"/>
      <c r="K81" s="252"/>
      <c r="L81" s="237">
        <f t="shared" si="13"/>
        <v>0</v>
      </c>
    </row>
    <row r="82" spans="2:12" ht="22.5">
      <c r="C82" s="231" t="s">
        <v>348</v>
      </c>
      <c r="D82" s="245">
        <f t="shared" si="14"/>
        <v>58</v>
      </c>
      <c r="E82" s="250" t="s">
        <v>20</v>
      </c>
      <c r="F82" s="234"/>
      <c r="G82" s="253"/>
      <c r="H82" s="253"/>
      <c r="I82" s="235">
        <f t="shared" si="12"/>
        <v>0</v>
      </c>
      <c r="J82" s="252"/>
      <c r="K82" s="252"/>
      <c r="L82" s="237">
        <f t="shared" si="13"/>
        <v>0</v>
      </c>
    </row>
    <row r="83" spans="2:12" ht="22.5">
      <c r="C83" s="231" t="s">
        <v>349</v>
      </c>
      <c r="D83" s="245">
        <f t="shared" si="14"/>
        <v>59</v>
      </c>
      <c r="E83" s="250" t="s">
        <v>9</v>
      </c>
      <c r="F83" s="234"/>
      <c r="G83" s="253"/>
      <c r="H83" s="253"/>
      <c r="I83" s="235">
        <f t="shared" si="12"/>
        <v>0</v>
      </c>
      <c r="J83" s="252"/>
      <c r="K83" s="252"/>
      <c r="L83" s="237">
        <f t="shared" si="13"/>
        <v>0</v>
      </c>
    </row>
    <row r="84" spans="2:12" ht="22.5">
      <c r="C84" s="231" t="s">
        <v>350</v>
      </c>
      <c r="D84" s="245">
        <f t="shared" si="14"/>
        <v>60</v>
      </c>
      <c r="E84" s="250" t="s">
        <v>115</v>
      </c>
      <c r="F84" s="234"/>
      <c r="G84" s="253"/>
      <c r="H84" s="253"/>
      <c r="I84" s="235">
        <f t="shared" si="12"/>
        <v>0</v>
      </c>
      <c r="J84" s="252"/>
      <c r="K84" s="252"/>
      <c r="L84" s="237">
        <f t="shared" si="13"/>
        <v>0</v>
      </c>
    </row>
    <row r="85" spans="2:12" ht="22.5">
      <c r="C85" s="231" t="s">
        <v>351</v>
      </c>
      <c r="D85" s="245">
        <f t="shared" si="14"/>
        <v>61</v>
      </c>
      <c r="E85" s="250" t="s">
        <v>11</v>
      </c>
      <c r="F85" s="234"/>
      <c r="G85" s="253"/>
      <c r="H85" s="253"/>
      <c r="I85" s="235">
        <f t="shared" si="12"/>
        <v>0</v>
      </c>
      <c r="J85" s="252"/>
      <c r="K85" s="252"/>
      <c r="L85" s="237">
        <f t="shared" si="13"/>
        <v>0</v>
      </c>
    </row>
    <row r="86" spans="2:12" ht="22.5">
      <c r="C86" s="231" t="s">
        <v>352</v>
      </c>
      <c r="D86" s="245">
        <f t="shared" si="14"/>
        <v>62</v>
      </c>
      <c r="E86" s="250" t="s">
        <v>13</v>
      </c>
      <c r="F86" s="234"/>
      <c r="G86" s="253"/>
      <c r="H86" s="253"/>
      <c r="I86" s="235">
        <f t="shared" si="12"/>
        <v>0</v>
      </c>
      <c r="J86" s="252"/>
      <c r="K86" s="252"/>
      <c r="L86" s="237">
        <f t="shared" si="13"/>
        <v>0</v>
      </c>
    </row>
    <row r="87" spans="2:12" ht="22.5">
      <c r="C87" s="231" t="s">
        <v>353</v>
      </c>
      <c r="D87" s="245">
        <f t="shared" si="14"/>
        <v>63</v>
      </c>
      <c r="E87" s="250" t="s">
        <v>14</v>
      </c>
      <c r="F87" s="234"/>
      <c r="G87" s="253"/>
      <c r="H87" s="253"/>
      <c r="I87" s="235">
        <f t="shared" si="12"/>
        <v>0</v>
      </c>
      <c r="J87" s="252"/>
      <c r="K87" s="252"/>
      <c r="L87" s="237">
        <f t="shared" si="13"/>
        <v>0</v>
      </c>
    </row>
    <row r="88" spans="2:12" ht="23.25" thickBot="1">
      <c r="C88" s="231" t="s">
        <v>354</v>
      </c>
      <c r="D88" s="248">
        <f t="shared" si="14"/>
        <v>64</v>
      </c>
      <c r="E88" s="254" t="s">
        <v>15</v>
      </c>
      <c r="F88" s="240"/>
      <c r="G88" s="255"/>
      <c r="H88" s="255"/>
      <c r="I88" s="235">
        <f t="shared" si="12"/>
        <v>0</v>
      </c>
      <c r="J88" s="256"/>
      <c r="K88" s="256"/>
      <c r="L88" s="237">
        <f t="shared" si="13"/>
        <v>0</v>
      </c>
    </row>
    <row r="89" spans="2:12" ht="44.25" customHeight="1" thickBot="1">
      <c r="D89" s="1107" t="s">
        <v>116</v>
      </c>
      <c r="E89" s="1108"/>
      <c r="F89" s="242">
        <f t="shared" ref="F89:L89" si="15">SUM(F71:F88)</f>
        <v>0</v>
      </c>
      <c r="G89" s="242">
        <f t="shared" si="15"/>
        <v>0</v>
      </c>
      <c r="H89" s="242">
        <f t="shared" si="15"/>
        <v>0</v>
      </c>
      <c r="I89" s="242">
        <f t="shared" si="15"/>
        <v>0</v>
      </c>
      <c r="J89" s="242">
        <f t="shared" si="15"/>
        <v>0</v>
      </c>
      <c r="K89" s="242">
        <f t="shared" si="15"/>
        <v>0</v>
      </c>
      <c r="L89" s="243">
        <f t="shared" si="15"/>
        <v>0</v>
      </c>
    </row>
    <row r="90" spans="2:12" ht="35.25" customHeight="1">
      <c r="B90" s="230">
        <v>0</v>
      </c>
      <c r="D90" s="1104" t="s">
        <v>7</v>
      </c>
      <c r="E90" s="1105"/>
      <c r="F90" s="1105"/>
      <c r="G90" s="1105"/>
      <c r="H90" s="1105"/>
      <c r="I90" s="1105"/>
      <c r="J90" s="1105"/>
      <c r="K90" s="1105"/>
      <c r="L90" s="1106"/>
    </row>
    <row r="91" spans="2:12" ht="22.5">
      <c r="B91" s="230">
        <v>0</v>
      </c>
      <c r="C91" s="231" t="s">
        <v>355</v>
      </c>
      <c r="D91" s="257">
        <f>D88+1</f>
        <v>65</v>
      </c>
      <c r="E91" s="233" t="s">
        <v>161</v>
      </c>
      <c r="F91" s="253"/>
      <c r="G91" s="253"/>
      <c r="H91" s="253"/>
      <c r="I91" s="235">
        <f>F91+G91-H91</f>
        <v>0</v>
      </c>
      <c r="J91" s="252"/>
      <c r="K91" s="252"/>
      <c r="L91" s="237">
        <f>I91+K91</f>
        <v>0</v>
      </c>
    </row>
    <row r="92" spans="2:12" ht="22.5">
      <c r="B92" s="230">
        <v>0</v>
      </c>
      <c r="C92" s="231" t="s">
        <v>356</v>
      </c>
      <c r="D92" s="257">
        <f>D91+1</f>
        <v>66</v>
      </c>
      <c r="E92" s="233" t="s">
        <v>162</v>
      </c>
      <c r="F92" s="253"/>
      <c r="G92" s="253"/>
      <c r="H92" s="253"/>
      <c r="I92" s="235">
        <f>F92+G92-H92</f>
        <v>0</v>
      </c>
      <c r="J92" s="252"/>
      <c r="K92" s="252"/>
      <c r="L92" s="237">
        <f>I92+K92</f>
        <v>0</v>
      </c>
    </row>
    <row r="93" spans="2:12" ht="22.5">
      <c r="B93" s="230">
        <v>0</v>
      </c>
      <c r="C93" s="231" t="s">
        <v>357</v>
      </c>
      <c r="D93" s="257">
        <f>D92+1</f>
        <v>67</v>
      </c>
      <c r="E93" s="233" t="s">
        <v>24</v>
      </c>
      <c r="F93" s="253"/>
      <c r="G93" s="253"/>
      <c r="H93" s="253"/>
      <c r="I93" s="235">
        <f>F93+G93-H93</f>
        <v>0</v>
      </c>
      <c r="J93" s="252"/>
      <c r="K93" s="252"/>
      <c r="L93" s="237">
        <f>I93+K93</f>
        <v>0</v>
      </c>
    </row>
    <row r="94" spans="2:12" ht="23.25" thickBot="1">
      <c r="B94" s="230">
        <v>0</v>
      </c>
      <c r="C94" s="231" t="s">
        <v>358</v>
      </c>
      <c r="D94" s="258">
        <f>D93+1</f>
        <v>68</v>
      </c>
      <c r="E94" s="239" t="s">
        <v>163</v>
      </c>
      <c r="F94" s="259"/>
      <c r="G94" s="259"/>
      <c r="H94" s="259"/>
      <c r="I94" s="235">
        <f>F94+G94-H94</f>
        <v>0</v>
      </c>
      <c r="J94" s="256"/>
      <c r="K94" s="256"/>
      <c r="L94" s="237">
        <f>I94+K94</f>
        <v>0</v>
      </c>
    </row>
    <row r="95" spans="2:12" ht="38.25" customHeight="1" thickBot="1">
      <c r="D95" s="1109" t="s">
        <v>359</v>
      </c>
      <c r="E95" s="1110"/>
      <c r="F95" s="242">
        <f t="shared" ref="F95:L95" si="16">SUM(F91:F94)</f>
        <v>0</v>
      </c>
      <c r="G95" s="242">
        <f t="shared" si="16"/>
        <v>0</v>
      </c>
      <c r="H95" s="242">
        <f t="shared" si="16"/>
        <v>0</v>
      </c>
      <c r="I95" s="242">
        <f t="shared" si="16"/>
        <v>0</v>
      </c>
      <c r="J95" s="242">
        <f t="shared" si="16"/>
        <v>0</v>
      </c>
      <c r="K95" s="242">
        <f t="shared" si="16"/>
        <v>0</v>
      </c>
      <c r="L95" s="243">
        <f t="shared" si="16"/>
        <v>0</v>
      </c>
    </row>
    <row r="96" spans="2:12" ht="21" customHeight="1" thickBot="1">
      <c r="D96" s="1099"/>
      <c r="E96" s="1100"/>
      <c r="F96" s="1100"/>
      <c r="G96" s="1100"/>
      <c r="H96" s="1100"/>
      <c r="I96" s="1100"/>
      <c r="J96" s="1100"/>
      <c r="K96" s="1100"/>
      <c r="L96" s="1101"/>
    </row>
    <row r="97" spans="4:12" ht="35.25" customHeight="1" thickBot="1">
      <c r="D97" s="1102" t="s">
        <v>77</v>
      </c>
      <c r="E97" s="1103"/>
      <c r="F97" s="242">
        <f t="shared" ref="F97:L97" si="17">F25+F32+F42+F69+F89+F95</f>
        <v>1678340</v>
      </c>
      <c r="G97" s="242">
        <f t="shared" si="17"/>
        <v>243221</v>
      </c>
      <c r="H97" s="242">
        <f t="shared" si="17"/>
        <v>144417</v>
      </c>
      <c r="I97" s="242">
        <f t="shared" si="17"/>
        <v>1777144</v>
      </c>
      <c r="J97" s="242">
        <f t="shared" si="17"/>
        <v>0</v>
      </c>
      <c r="K97" s="242">
        <f t="shared" si="17"/>
        <v>0</v>
      </c>
      <c r="L97" s="243">
        <f t="shared" si="17"/>
        <v>1777144</v>
      </c>
    </row>
    <row r="98" spans="4:12" ht="22.5">
      <c r="D98" s="260"/>
      <c r="E98" s="260"/>
      <c r="F98" s="260"/>
      <c r="G98" s="260"/>
      <c r="H98" s="260"/>
      <c r="I98" s="260"/>
      <c r="J98" s="260"/>
      <c r="K98" s="260"/>
      <c r="L98" s="260"/>
    </row>
    <row r="99" spans="4:12">
      <c r="D99" s="261"/>
      <c r="E99" s="261"/>
      <c r="F99" s="261"/>
      <c r="G99" s="261"/>
      <c r="H99" s="261"/>
      <c r="I99" s="261"/>
      <c r="J99" s="261"/>
      <c r="K99" s="261"/>
      <c r="L99" s="261"/>
    </row>
    <row r="100" spans="4:12">
      <c r="D100" s="261"/>
      <c r="E100" s="261"/>
      <c r="F100" s="261"/>
      <c r="G100" s="261"/>
      <c r="H100" s="261"/>
      <c r="I100" s="261"/>
      <c r="J100" s="261"/>
      <c r="K100" s="261"/>
      <c r="L100" s="261"/>
    </row>
    <row r="101" spans="4:12">
      <c r="D101" s="261"/>
      <c r="E101" s="261"/>
      <c r="F101" s="261"/>
      <c r="G101" s="261"/>
      <c r="H101" s="261"/>
      <c r="I101" s="261"/>
      <c r="J101" s="261"/>
      <c r="K101" s="261"/>
      <c r="L101" s="261"/>
    </row>
    <row r="102" spans="4:12">
      <c r="D102" s="261"/>
      <c r="E102" s="261"/>
      <c r="F102" s="261"/>
      <c r="G102" s="261"/>
      <c r="H102" s="261"/>
      <c r="I102" s="261"/>
      <c r="J102" s="261"/>
      <c r="K102" s="261"/>
      <c r="L102" s="261"/>
    </row>
    <row r="103" spans="4:12">
      <c r="D103" s="261"/>
      <c r="E103" s="261"/>
      <c r="F103" s="261"/>
      <c r="G103" s="261"/>
      <c r="H103" s="261"/>
      <c r="I103" s="261"/>
      <c r="J103" s="261"/>
      <c r="K103" s="261"/>
      <c r="L103" s="261"/>
    </row>
    <row r="104" spans="4:12">
      <c r="D104" s="261"/>
      <c r="E104" s="261"/>
      <c r="F104" s="261"/>
      <c r="G104" s="261"/>
      <c r="H104" s="261"/>
      <c r="I104" s="261"/>
      <c r="J104" s="261"/>
      <c r="K104" s="261"/>
      <c r="L104" s="261"/>
    </row>
    <row r="105" spans="4:12">
      <c r="D105" s="261"/>
      <c r="E105" s="261"/>
      <c r="F105" s="261"/>
      <c r="G105" s="261"/>
      <c r="H105" s="261"/>
      <c r="I105" s="261"/>
      <c r="J105" s="261"/>
      <c r="K105" s="261"/>
      <c r="L105" s="261"/>
    </row>
    <row r="106" spans="4:12">
      <c r="D106" s="261"/>
      <c r="E106" s="261"/>
      <c r="F106" s="261"/>
      <c r="G106" s="261"/>
      <c r="H106" s="261"/>
      <c r="I106" s="261"/>
      <c r="J106" s="261"/>
      <c r="K106" s="261"/>
      <c r="L106" s="261"/>
    </row>
    <row r="107" spans="4:12">
      <c r="D107" s="261"/>
      <c r="E107" s="261"/>
      <c r="F107" s="261"/>
      <c r="G107" s="261"/>
      <c r="H107" s="261"/>
      <c r="I107" s="261"/>
      <c r="J107" s="261"/>
      <c r="K107" s="261"/>
      <c r="L107" s="261"/>
    </row>
    <row r="108" spans="4:12">
      <c r="D108" s="261"/>
      <c r="E108" s="261"/>
      <c r="F108" s="261"/>
      <c r="G108" s="261"/>
      <c r="H108" s="261"/>
      <c r="I108" s="261"/>
      <c r="J108" s="261"/>
      <c r="K108" s="261"/>
      <c r="L108" s="261"/>
    </row>
    <row r="109" spans="4:12">
      <c r="D109" s="261"/>
      <c r="E109" s="261"/>
      <c r="F109" s="261"/>
      <c r="G109" s="261"/>
      <c r="H109" s="261"/>
      <c r="I109" s="261"/>
      <c r="J109" s="261"/>
      <c r="K109" s="261"/>
      <c r="L109" s="261"/>
    </row>
    <row r="110" spans="4:12">
      <c r="D110" s="261"/>
      <c r="E110" s="261"/>
      <c r="F110" s="261"/>
      <c r="G110" s="261"/>
      <c r="H110" s="261"/>
      <c r="I110" s="261"/>
      <c r="J110" s="261"/>
      <c r="K110" s="261"/>
      <c r="L110" s="261"/>
    </row>
    <row r="111" spans="4:12">
      <c r="D111" s="261"/>
      <c r="E111" s="261"/>
      <c r="F111" s="261"/>
      <c r="G111" s="261"/>
      <c r="H111" s="261"/>
      <c r="I111" s="261"/>
      <c r="J111" s="261"/>
      <c r="K111" s="261"/>
      <c r="L111" s="261"/>
    </row>
    <row r="112" spans="4:12">
      <c r="D112" s="261"/>
      <c r="E112" s="261"/>
      <c r="F112" s="261"/>
      <c r="G112" s="261"/>
      <c r="H112" s="261"/>
      <c r="I112" s="261"/>
      <c r="J112" s="261"/>
      <c r="K112" s="261"/>
      <c r="L112" s="261"/>
    </row>
    <row r="113" spans="4:12">
      <c r="D113" s="261"/>
      <c r="E113" s="261"/>
      <c r="F113" s="261"/>
      <c r="G113" s="261"/>
      <c r="H113" s="261"/>
      <c r="I113" s="261"/>
      <c r="J113" s="261"/>
      <c r="K113" s="261"/>
      <c r="L113" s="261"/>
    </row>
    <row r="114" spans="4:12">
      <c r="D114" s="261"/>
      <c r="E114" s="261"/>
      <c r="F114" s="261"/>
      <c r="G114" s="261"/>
      <c r="H114" s="261"/>
      <c r="I114" s="261"/>
      <c r="J114" s="261"/>
      <c r="K114" s="261"/>
      <c r="L114" s="261"/>
    </row>
    <row r="115" spans="4:12">
      <c r="D115" s="261"/>
      <c r="E115" s="261"/>
      <c r="F115" s="261"/>
      <c r="G115" s="261"/>
      <c r="H115" s="261"/>
      <c r="I115" s="261"/>
      <c r="J115" s="261"/>
      <c r="K115" s="261"/>
      <c r="L115" s="261"/>
    </row>
    <row r="116" spans="4:12">
      <c r="D116" s="261"/>
      <c r="E116" s="261"/>
      <c r="F116" s="261"/>
      <c r="G116" s="261"/>
      <c r="H116" s="261"/>
      <c r="I116" s="261"/>
      <c r="J116" s="261"/>
      <c r="K116" s="261"/>
      <c r="L116" s="261"/>
    </row>
    <row r="117" spans="4:12">
      <c r="D117" s="261"/>
      <c r="E117" s="261"/>
      <c r="F117" s="261"/>
      <c r="G117" s="261"/>
      <c r="H117" s="261"/>
      <c r="I117" s="261"/>
      <c r="J117" s="261"/>
      <c r="K117" s="261"/>
      <c r="L117" s="261"/>
    </row>
    <row r="118" spans="4:12">
      <c r="D118" s="261"/>
      <c r="E118" s="261"/>
      <c r="F118" s="261"/>
      <c r="G118" s="261"/>
      <c r="H118" s="261"/>
      <c r="I118" s="261"/>
      <c r="J118" s="261"/>
      <c r="K118" s="261"/>
      <c r="L118" s="261"/>
    </row>
    <row r="119" spans="4:12">
      <c r="D119" s="261"/>
      <c r="E119" s="261"/>
      <c r="F119" s="261"/>
      <c r="G119" s="261"/>
      <c r="H119" s="261"/>
      <c r="I119" s="261"/>
      <c r="J119" s="261"/>
      <c r="K119" s="261"/>
      <c r="L119" s="261"/>
    </row>
    <row r="120" spans="4:12">
      <c r="D120" s="261"/>
      <c r="E120" s="261"/>
      <c r="F120" s="261"/>
      <c r="G120" s="261"/>
      <c r="H120" s="261"/>
      <c r="I120" s="261"/>
      <c r="J120" s="261"/>
      <c r="K120" s="261"/>
      <c r="L120" s="261"/>
    </row>
  </sheetData>
  <mergeCells count="18">
    <mergeCell ref="D3:L3"/>
    <mergeCell ref="D4:L4"/>
    <mergeCell ref="D5:L5"/>
    <mergeCell ref="D6:L6"/>
    <mergeCell ref="D33:L33"/>
    <mergeCell ref="D42:E42"/>
    <mergeCell ref="D43:L43"/>
    <mergeCell ref="D69:E69"/>
    <mergeCell ref="D16:L16"/>
    <mergeCell ref="D25:E25"/>
    <mergeCell ref="D26:L26"/>
    <mergeCell ref="D32:E32"/>
    <mergeCell ref="D96:L96"/>
    <mergeCell ref="D97:E97"/>
    <mergeCell ref="D70:L70"/>
    <mergeCell ref="D89:E89"/>
    <mergeCell ref="D90:L90"/>
    <mergeCell ref="D95:E95"/>
  </mergeCells>
  <phoneticPr fontId="10" type="noConversion"/>
  <conditionalFormatting sqref="F69">
    <cfRule type="cellIs" dxfId="59" priority="1" stopIfTrue="1" operator="notEqual">
      <formula>$B$44</formula>
    </cfRule>
  </conditionalFormatting>
  <conditionalFormatting sqref="G69">
    <cfRule type="cellIs" dxfId="58" priority="2" stopIfTrue="1" operator="notEqual">
      <formula>$B$46</formula>
    </cfRule>
  </conditionalFormatting>
  <conditionalFormatting sqref="H69">
    <cfRule type="cellIs" dxfId="57" priority="3" stopIfTrue="1" operator="notEqual">
      <formula>$B$47</formula>
    </cfRule>
  </conditionalFormatting>
  <conditionalFormatting sqref="J69">
    <cfRule type="cellIs" dxfId="56" priority="4" stopIfTrue="1" operator="notEqual">
      <formula>$B$45</formula>
    </cfRule>
  </conditionalFormatting>
  <conditionalFormatting sqref="K69">
    <cfRule type="cellIs" dxfId="55" priority="5" stopIfTrue="1" operator="notEqual">
      <formula>$B$48</formula>
    </cfRule>
  </conditionalFormatting>
  <conditionalFormatting sqref="F89">
    <cfRule type="cellIs" dxfId="54" priority="6" stopIfTrue="1" operator="notEqual">
      <formula>$B$71</formula>
    </cfRule>
  </conditionalFormatting>
  <conditionalFormatting sqref="G89">
    <cfRule type="cellIs" dxfId="53" priority="7" stopIfTrue="1" operator="notEqual">
      <formula>$B$73</formula>
    </cfRule>
  </conditionalFormatting>
  <conditionalFormatting sqref="J89">
    <cfRule type="cellIs" dxfId="52" priority="8" stopIfTrue="1" operator="notEqual">
      <formula>$B$72</formula>
    </cfRule>
  </conditionalFormatting>
  <conditionalFormatting sqref="K89">
    <cfRule type="cellIs" dxfId="51" priority="9" stopIfTrue="1" operator="notEqual">
      <formula>$B$75</formula>
    </cfRule>
  </conditionalFormatting>
  <conditionalFormatting sqref="G95">
    <cfRule type="cellIs" dxfId="50" priority="10" stopIfTrue="1" operator="notEqual">
      <formula>$B$92</formula>
    </cfRule>
  </conditionalFormatting>
  <conditionalFormatting sqref="F95">
    <cfRule type="cellIs" dxfId="49" priority="11" stopIfTrue="1" operator="notEqual">
      <formula>$B$90</formula>
    </cfRule>
  </conditionalFormatting>
  <conditionalFormatting sqref="H95">
    <cfRule type="cellIs" dxfId="48" priority="12" stopIfTrue="1" operator="notEqual">
      <formula>$B$93</formula>
    </cfRule>
  </conditionalFormatting>
  <conditionalFormatting sqref="J95">
    <cfRule type="cellIs" dxfId="47" priority="13" stopIfTrue="1" operator="notEqual">
      <formula>$B$91</formula>
    </cfRule>
  </conditionalFormatting>
  <conditionalFormatting sqref="K95">
    <cfRule type="cellIs" dxfId="46" priority="14" stopIfTrue="1" operator="notEqual">
      <formula>$B$94</formula>
    </cfRule>
  </conditionalFormatting>
  <conditionalFormatting sqref="F42">
    <cfRule type="cellIs" dxfId="45" priority="15" stopIfTrue="1" operator="notEqual">
      <formula>$B$34</formula>
    </cfRule>
  </conditionalFormatting>
  <conditionalFormatting sqref="G42">
    <cfRule type="cellIs" dxfId="44" priority="16" stopIfTrue="1" operator="notEqual">
      <formula>$B$36</formula>
    </cfRule>
  </conditionalFormatting>
  <conditionalFormatting sqref="H42">
    <cfRule type="cellIs" dxfId="43" priority="17" stopIfTrue="1" operator="notEqual">
      <formula>$B$37</formula>
    </cfRule>
  </conditionalFormatting>
  <conditionalFormatting sqref="J42">
    <cfRule type="cellIs" dxfId="42" priority="18" stopIfTrue="1" operator="notEqual">
      <formula>$B$35</formula>
    </cfRule>
  </conditionalFormatting>
  <conditionalFormatting sqref="K42">
    <cfRule type="cellIs" dxfId="41" priority="19" stopIfTrue="1" operator="notEqual">
      <formula>$B$38</formula>
    </cfRule>
  </conditionalFormatting>
  <conditionalFormatting sqref="F32">
    <cfRule type="cellIs" dxfId="40" priority="20" stopIfTrue="1" operator="notEqual">
      <formula>$B$27</formula>
    </cfRule>
  </conditionalFormatting>
  <conditionalFormatting sqref="G32">
    <cfRule type="cellIs" dxfId="39" priority="21" stopIfTrue="1" operator="notEqual">
      <formula>$B$29</formula>
    </cfRule>
  </conditionalFormatting>
  <conditionalFormatting sqref="H32">
    <cfRule type="cellIs" dxfId="38" priority="22" stopIfTrue="1" operator="notEqual">
      <formula>$B$30</formula>
    </cfRule>
  </conditionalFormatting>
  <conditionalFormatting sqref="J32">
    <cfRule type="cellIs" dxfId="37" priority="23" stopIfTrue="1" operator="notEqual">
      <formula>$B$28</formula>
    </cfRule>
  </conditionalFormatting>
  <conditionalFormatting sqref="K32">
    <cfRule type="cellIs" dxfId="36" priority="24" stopIfTrue="1" operator="notEqual">
      <formula>$B$31</formula>
    </cfRule>
  </conditionalFormatting>
  <conditionalFormatting sqref="F25">
    <cfRule type="cellIs" dxfId="35" priority="25" stopIfTrue="1" operator="notEqual">
      <formula>$B$17</formula>
    </cfRule>
  </conditionalFormatting>
  <conditionalFormatting sqref="G25">
    <cfRule type="cellIs" dxfId="34" priority="26" stopIfTrue="1" operator="notEqual">
      <formula>$B$19</formula>
    </cfRule>
  </conditionalFormatting>
  <conditionalFormatting sqref="H25">
    <cfRule type="cellIs" dxfId="33" priority="27" stopIfTrue="1" operator="notEqual">
      <formula>$B$20</formula>
    </cfRule>
  </conditionalFormatting>
  <conditionalFormatting sqref="J25">
    <cfRule type="cellIs" dxfId="32" priority="28" stopIfTrue="1" operator="notEqual">
      <formula>$B$18</formula>
    </cfRule>
  </conditionalFormatting>
  <conditionalFormatting sqref="K25">
    <cfRule type="cellIs" dxfId="31" priority="29" stopIfTrue="1" operator="notEqual">
      <formula>$B$21</formula>
    </cfRule>
  </conditionalFormatting>
  <conditionalFormatting sqref="H89">
    <cfRule type="cellIs" dxfId="30" priority="30" stopIfTrue="1" operator="notEqual">
      <formula>$B$74</formula>
    </cfRule>
  </conditionalFormatting>
  <pageMargins left="0" right="0" top="0.98425196850393704" bottom="0.98425196850393704" header="0.51181102362204722" footer="0.51181102362204722"/>
  <pageSetup paperSize="9" scale="55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Лист20">
    <tabColor indexed="34"/>
  </sheetPr>
  <dimension ref="A1:J93"/>
  <sheetViews>
    <sheetView workbookViewId="0">
      <selection activeCell="G8" sqref="G8"/>
    </sheetView>
  </sheetViews>
  <sheetFormatPr defaultColWidth="9.140625" defaultRowHeight="12.75"/>
  <cols>
    <col min="1" max="1" width="4.85546875" style="37" customWidth="1"/>
    <col min="2" max="2" width="31.42578125" style="797" customWidth="1"/>
    <col min="3" max="3" width="20.42578125" customWidth="1"/>
    <col min="4" max="4" width="15.140625" customWidth="1"/>
    <col min="5" max="5" width="18.42578125" customWidth="1"/>
    <col min="6" max="6" width="15.7109375" customWidth="1"/>
  </cols>
  <sheetData>
    <row r="1" spans="1:10" ht="21.75">
      <c r="A1" s="1304" t="s">
        <v>128</v>
      </c>
      <c r="B1" s="1304"/>
      <c r="C1" s="1304"/>
      <c r="D1" s="1304"/>
      <c r="E1" s="1304"/>
    </row>
    <row r="2" spans="1:10" ht="21.75">
      <c r="A2" s="1304" t="e">
        <f>CLEAN(#REF!)</f>
        <v>#REF!</v>
      </c>
      <c r="B2" s="1304"/>
      <c r="C2" s="1304"/>
      <c r="D2" s="1304"/>
      <c r="E2" s="1304"/>
    </row>
    <row r="3" spans="1:10" ht="20.25" thickBot="1">
      <c r="B3" s="1308"/>
      <c r="C3" s="1309"/>
      <c r="D3" s="1309"/>
      <c r="E3" s="87" t="s">
        <v>235</v>
      </c>
    </row>
    <row r="4" spans="1:10" ht="12.75" customHeight="1">
      <c r="A4" s="1305" t="s">
        <v>243</v>
      </c>
      <c r="B4" s="1293" t="s">
        <v>106</v>
      </c>
      <c r="C4" s="1296" t="s">
        <v>159</v>
      </c>
      <c r="D4" s="1297"/>
      <c r="E4" s="1298"/>
      <c r="F4" s="40"/>
      <c r="G4" s="40"/>
      <c r="H4" s="40"/>
      <c r="I4" s="40"/>
      <c r="J4" s="40"/>
    </row>
    <row r="5" spans="1:10" ht="12.75" customHeight="1">
      <c r="A5" s="1306"/>
      <c r="B5" s="1294"/>
      <c r="C5" s="1299"/>
      <c r="D5" s="1300"/>
      <c r="E5" s="1301"/>
    </row>
    <row r="6" spans="1:10" ht="19.5" customHeight="1">
      <c r="A6" s="1306"/>
      <c r="B6" s="1294"/>
      <c r="C6" s="1302" t="s">
        <v>118</v>
      </c>
      <c r="D6" s="1311" t="s">
        <v>119</v>
      </c>
      <c r="E6" s="1312"/>
    </row>
    <row r="7" spans="1:10" ht="34.5" customHeight="1">
      <c r="A7" s="1307"/>
      <c r="B7" s="1295"/>
      <c r="C7" s="1303"/>
      <c r="D7" s="51" t="s">
        <v>120</v>
      </c>
      <c r="E7" s="52" t="s">
        <v>252</v>
      </c>
    </row>
    <row r="8" spans="1:10" ht="13.5" customHeight="1">
      <c r="A8" s="1310" t="s">
        <v>236</v>
      </c>
      <c r="B8" s="1310"/>
      <c r="C8" s="1310"/>
      <c r="D8" s="15"/>
      <c r="E8" s="78"/>
      <c r="G8" s="86"/>
    </row>
    <row r="9" spans="1:10" ht="18">
      <c r="A9" s="38">
        <v>1</v>
      </c>
      <c r="B9" s="791" t="s">
        <v>70</v>
      </c>
      <c r="C9" s="35" t="e">
        <f t="shared" ref="C9:C16" si="0">SUM(D9:E9)</f>
        <v>#REF!</v>
      </c>
      <c r="D9" s="35" t="e">
        <f>SUM(#REF!/1000+#REF!/1000)</f>
        <v>#REF!</v>
      </c>
      <c r="E9" s="35" t="e">
        <f>SUM(#REF!/1000+#REF!/1000)</f>
        <v>#REF!</v>
      </c>
    </row>
    <row r="10" spans="1:10" ht="18">
      <c r="A10" s="39">
        <f>A9+1</f>
        <v>2</v>
      </c>
      <c r="B10" s="792" t="s">
        <v>63</v>
      </c>
      <c r="C10" s="36" t="e">
        <f t="shared" si="0"/>
        <v>#REF!</v>
      </c>
      <c r="D10" s="36" t="e">
        <f>SUM(#REF!/1000+#REF!/1000)</f>
        <v>#REF!</v>
      </c>
      <c r="E10" s="36" t="e">
        <f>SUM(#REF!/1000+#REF!/1000)</f>
        <v>#REF!</v>
      </c>
    </row>
    <row r="11" spans="1:10" ht="18">
      <c r="A11" s="39">
        <f t="shared" ref="A11:A16" si="1">A10+1</f>
        <v>3</v>
      </c>
      <c r="B11" s="792" t="s">
        <v>64</v>
      </c>
      <c r="C11" s="36" t="e">
        <f t="shared" si="0"/>
        <v>#REF!</v>
      </c>
      <c r="D11" s="36" t="e">
        <f>SUM(#REF!/1000+#REF!/1000)</f>
        <v>#REF!</v>
      </c>
      <c r="E11" s="36" t="e">
        <f>SUM(#REF!/1000+#REF!/1000)</f>
        <v>#REF!</v>
      </c>
    </row>
    <row r="12" spans="1:10" ht="18">
      <c r="A12" s="39">
        <f t="shared" si="1"/>
        <v>4</v>
      </c>
      <c r="B12" s="792" t="s">
        <v>65</v>
      </c>
      <c r="C12" s="36" t="e">
        <f t="shared" si="0"/>
        <v>#REF!</v>
      </c>
      <c r="D12" s="36" t="e">
        <f>SUM(#REF!/1000+#REF!/1000)</f>
        <v>#REF!</v>
      </c>
      <c r="E12" s="36" t="e">
        <f>SUM(#REF!/1000+#REF!/1000)</f>
        <v>#REF!</v>
      </c>
    </row>
    <row r="13" spans="1:10" ht="18">
      <c r="A13" s="39">
        <f t="shared" si="1"/>
        <v>5</v>
      </c>
      <c r="B13" s="792" t="s">
        <v>66</v>
      </c>
      <c r="C13" s="36" t="e">
        <f t="shared" si="0"/>
        <v>#REF!</v>
      </c>
      <c r="D13" s="36" t="e">
        <f>SUM(#REF!/1000+#REF!/1000)</f>
        <v>#REF!</v>
      </c>
      <c r="E13" s="36" t="e">
        <f>SUM(#REF!/1000+#REF!/1000)</f>
        <v>#REF!</v>
      </c>
    </row>
    <row r="14" spans="1:10" ht="18">
      <c r="A14" s="39">
        <f t="shared" si="1"/>
        <v>6</v>
      </c>
      <c r="B14" s="792" t="s">
        <v>67</v>
      </c>
      <c r="C14" s="36" t="e">
        <f t="shared" si="0"/>
        <v>#REF!</v>
      </c>
      <c r="D14" s="36" t="e">
        <f>SUM(#REF!/1000+#REF!/1000)</f>
        <v>#REF!</v>
      </c>
      <c r="E14" s="36" t="e">
        <f>SUM(#REF!/1000+#REF!/1000)</f>
        <v>#REF!</v>
      </c>
    </row>
    <row r="15" spans="1:10" ht="18">
      <c r="A15" s="39">
        <f t="shared" si="1"/>
        <v>7</v>
      </c>
      <c r="B15" s="792" t="s">
        <v>68</v>
      </c>
      <c r="C15" s="36" t="e">
        <f t="shared" si="0"/>
        <v>#REF!</v>
      </c>
      <c r="D15" s="36" t="e">
        <f>SUM(#REF!/1000+#REF!/1000)</f>
        <v>#REF!</v>
      </c>
      <c r="E15" s="36" t="e">
        <f>SUM(#REF!/1000+#REF!/1000)</f>
        <v>#REF!</v>
      </c>
    </row>
    <row r="16" spans="1:10" ht="18">
      <c r="A16" s="39">
        <f t="shared" si="1"/>
        <v>8</v>
      </c>
      <c r="B16" s="792" t="s">
        <v>69</v>
      </c>
      <c r="C16" s="36" t="e">
        <f t="shared" si="0"/>
        <v>#REF!</v>
      </c>
      <c r="D16" s="36" t="e">
        <f>SUM(#REF!/1000+#REF!/1000)</f>
        <v>#REF!</v>
      </c>
      <c r="E16" s="36" t="e">
        <f>SUM(#REF!/1000+#REF!/1000)</f>
        <v>#REF!</v>
      </c>
    </row>
    <row r="17" spans="1:6" ht="17.25" customHeight="1">
      <c r="A17" s="1289" t="s">
        <v>71</v>
      </c>
      <c r="B17" s="1290"/>
      <c r="C17" s="779" t="e">
        <f>SUM(C9:C16)</f>
        <v>#REF!</v>
      </c>
      <c r="D17" s="779" t="e">
        <f>SUM(D9:D16)</f>
        <v>#REF!</v>
      </c>
      <c r="E17" s="779" t="e">
        <f>SUM(E9:E16)</f>
        <v>#REF!</v>
      </c>
      <c r="F17" s="778" t="e">
        <f>SUM(E17-#REF!/1000)</f>
        <v>#REF!</v>
      </c>
    </row>
    <row r="18" spans="1:6" ht="17.25" customHeight="1">
      <c r="A18" s="1288" t="s">
        <v>269</v>
      </c>
      <c r="B18" s="1288"/>
      <c r="C18" s="1288"/>
      <c r="D18" s="1288"/>
      <c r="E18" s="15"/>
      <c r="F18" s="15"/>
    </row>
    <row r="19" spans="1:6" ht="18">
      <c r="A19" s="38">
        <f>A16+1</f>
        <v>9</v>
      </c>
      <c r="B19" s="791" t="s">
        <v>51</v>
      </c>
      <c r="C19" s="35" t="e">
        <f>SUM(D19:E19)</f>
        <v>#REF!</v>
      </c>
      <c r="D19" s="35" t="e">
        <f>SUM(#REF!/1000+#REF!/1000)</f>
        <v>#REF!</v>
      </c>
      <c r="E19" s="35" t="e">
        <f>SUM(#REF!/1000+#REF!/1000)</f>
        <v>#REF!</v>
      </c>
    </row>
    <row r="20" spans="1:6" ht="18">
      <c r="A20" s="39">
        <f t="shared" ref="A20:A78" si="2">A19+1</f>
        <v>10</v>
      </c>
      <c r="B20" s="792" t="s">
        <v>52</v>
      </c>
      <c r="C20" s="36" t="e">
        <f>SUM(D20:E20)</f>
        <v>#REF!</v>
      </c>
      <c r="D20" s="36" t="e">
        <f>SUM(#REF!/1000+#REF!/1000)</f>
        <v>#REF!</v>
      </c>
      <c r="E20" s="36" t="e">
        <f>SUM(#REF!/1000+#REF!/1000)</f>
        <v>#REF!</v>
      </c>
    </row>
    <row r="21" spans="1:6" ht="18">
      <c r="A21" s="39">
        <f t="shared" si="2"/>
        <v>11</v>
      </c>
      <c r="B21" s="793" t="s">
        <v>53</v>
      </c>
      <c r="C21" s="36" t="e">
        <f>SUM(D21:E21)</f>
        <v>#REF!</v>
      </c>
      <c r="D21" s="36" t="e">
        <f>SUM(#REF!/1000+#REF!/1000)</f>
        <v>#REF!</v>
      </c>
      <c r="E21" s="36" t="e">
        <f>SUM(#REF!/1000+#REF!/1000)</f>
        <v>#REF!</v>
      </c>
    </row>
    <row r="22" spans="1:6" ht="18">
      <c r="A22" s="39">
        <f t="shared" si="2"/>
        <v>12</v>
      </c>
      <c r="B22" s="793" t="s">
        <v>54</v>
      </c>
      <c r="C22" s="36" t="e">
        <f>SUM(D22:E22)</f>
        <v>#REF!</v>
      </c>
      <c r="D22" s="36" t="e">
        <f>SUM(#REF!/1000+#REF!/1000)</f>
        <v>#REF!</v>
      </c>
      <c r="E22" s="36" t="e">
        <f>SUM(#REF!/1000+#REF!/1000)</f>
        <v>#REF!</v>
      </c>
    </row>
    <row r="23" spans="1:6" ht="18">
      <c r="A23" s="39">
        <f t="shared" si="2"/>
        <v>13</v>
      </c>
      <c r="B23" s="792" t="s">
        <v>95</v>
      </c>
      <c r="C23" s="36" t="e">
        <f>SUM(D23:E23)</f>
        <v>#REF!</v>
      </c>
      <c r="D23" s="36" t="e">
        <f>SUM(#REF!/1000+#REF!/1000)</f>
        <v>#REF!</v>
      </c>
      <c r="E23" s="36" t="e">
        <f>SUM(#REF!/1000+#REF!/1000)</f>
        <v>#REF!</v>
      </c>
    </row>
    <row r="24" spans="1:6" ht="36.75" customHeight="1">
      <c r="A24" s="1289" t="s">
        <v>267</v>
      </c>
      <c r="B24" s="1290"/>
      <c r="C24" s="779" t="e">
        <f>SUM(C19:C23)</f>
        <v>#REF!</v>
      </c>
      <c r="D24" s="779" t="e">
        <f>SUM(D19:D23)</f>
        <v>#REF!</v>
      </c>
      <c r="E24" s="779" t="e">
        <f>SUM(E19:E23)</f>
        <v>#REF!</v>
      </c>
      <c r="F24" s="780" t="e">
        <f>SUM(E24-#REF!/1000)</f>
        <v>#REF!</v>
      </c>
    </row>
    <row r="25" spans="1:6" ht="17.25" customHeight="1">
      <c r="A25" s="1288" t="s">
        <v>264</v>
      </c>
      <c r="B25" s="1288"/>
      <c r="C25" s="1288"/>
      <c r="D25" s="1288"/>
      <c r="E25" s="15"/>
      <c r="F25" s="15"/>
    </row>
    <row r="26" spans="1:6" ht="18">
      <c r="A26" s="38">
        <f>A23+1</f>
        <v>14</v>
      </c>
      <c r="B26" s="791" t="s">
        <v>59</v>
      </c>
      <c r="C26" s="35" t="e">
        <f t="shared" ref="C26:C33" si="3">SUM(D26:E26)</f>
        <v>#REF!</v>
      </c>
      <c r="D26" s="35" t="e">
        <f>SUM(#REF!/1000+#REF!/1000)</f>
        <v>#REF!</v>
      </c>
      <c r="E26" s="35" t="e">
        <f>SUM(#REF!/1000+#REF!/1000)</f>
        <v>#REF!</v>
      </c>
    </row>
    <row r="27" spans="1:6" ht="18">
      <c r="A27" s="39">
        <f t="shared" si="2"/>
        <v>15</v>
      </c>
      <c r="B27" s="792" t="s">
        <v>56</v>
      </c>
      <c r="C27" s="36" t="e">
        <f t="shared" si="3"/>
        <v>#REF!</v>
      </c>
      <c r="D27" s="36" t="e">
        <f>SUM(#REF!/1000+#REF!/1000)</f>
        <v>#REF!</v>
      </c>
      <c r="E27" s="36" t="e">
        <f>SUM(#REF!/1000+#REF!/1000)</f>
        <v>#REF!</v>
      </c>
    </row>
    <row r="28" spans="1:6" ht="18">
      <c r="A28" s="39">
        <f t="shared" si="2"/>
        <v>16</v>
      </c>
      <c r="B28" s="792" t="s">
        <v>79</v>
      </c>
      <c r="C28" s="36" t="e">
        <f t="shared" si="3"/>
        <v>#REF!</v>
      </c>
      <c r="D28" s="36" t="e">
        <f>SUM(#REF!/1000+#REF!/1000)</f>
        <v>#REF!</v>
      </c>
      <c r="E28" s="36" t="e">
        <f>SUM(#REF!/1000+#REF!/1000)</f>
        <v>#REF!</v>
      </c>
    </row>
    <row r="29" spans="1:6" ht="18">
      <c r="A29" s="39">
        <f t="shared" si="2"/>
        <v>17</v>
      </c>
      <c r="B29" s="792" t="s">
        <v>58</v>
      </c>
      <c r="C29" s="36" t="e">
        <f t="shared" si="3"/>
        <v>#REF!</v>
      </c>
      <c r="D29" s="36" t="e">
        <f>SUM(#REF!/1000+#REF!/1000)</f>
        <v>#REF!</v>
      </c>
      <c r="E29" s="36" t="e">
        <f>SUM(#REF!/1000+#REF!/1000)</f>
        <v>#REF!</v>
      </c>
    </row>
    <row r="30" spans="1:6" ht="18">
      <c r="A30" s="39">
        <f t="shared" si="2"/>
        <v>18</v>
      </c>
      <c r="B30" s="792" t="s">
        <v>57</v>
      </c>
      <c r="C30" s="36" t="e">
        <f t="shared" si="3"/>
        <v>#REF!</v>
      </c>
      <c r="D30" s="36" t="e">
        <f>SUM(#REF!/1000+#REF!/1000)</f>
        <v>#REF!</v>
      </c>
      <c r="E30" s="36" t="e">
        <f>SUM(#REF!/1000+#REF!/1000)</f>
        <v>#REF!</v>
      </c>
    </row>
    <row r="31" spans="1:6" ht="18">
      <c r="A31" s="39">
        <f t="shared" si="2"/>
        <v>19</v>
      </c>
      <c r="B31" s="792" t="s">
        <v>108</v>
      </c>
      <c r="C31" s="36" t="e">
        <f t="shared" si="3"/>
        <v>#REF!</v>
      </c>
      <c r="D31" s="36" t="e">
        <f>SUM(#REF!/1000+#REF!/1000)</f>
        <v>#REF!</v>
      </c>
      <c r="E31" s="36" t="e">
        <f>SUM(#REF!/1000+#REF!/1000)</f>
        <v>#REF!</v>
      </c>
    </row>
    <row r="32" spans="1:6" ht="18">
      <c r="A32" s="39">
        <f t="shared" si="2"/>
        <v>20</v>
      </c>
      <c r="B32" s="792" t="s">
        <v>61</v>
      </c>
      <c r="C32" s="36" t="e">
        <f t="shared" si="3"/>
        <v>#REF!</v>
      </c>
      <c r="D32" s="36" t="e">
        <f>SUM(#REF!/1000+#REF!/1000)</f>
        <v>#REF!</v>
      </c>
      <c r="E32" s="36" t="e">
        <f>SUM(#REF!/1000+#REF!/1000)</f>
        <v>#REF!</v>
      </c>
    </row>
    <row r="33" spans="1:6" ht="18">
      <c r="A33" s="39">
        <f t="shared" si="2"/>
        <v>21</v>
      </c>
      <c r="B33" s="792" t="s">
        <v>109</v>
      </c>
      <c r="C33" s="36" t="e">
        <f t="shared" si="3"/>
        <v>#REF!</v>
      </c>
      <c r="D33" s="36" t="e">
        <f>SUM(#REF!/1000+#REF!/1000)</f>
        <v>#REF!</v>
      </c>
      <c r="E33" s="36" t="e">
        <f>SUM(#REF!/1000+#REF!/1000)</f>
        <v>#REF!</v>
      </c>
    </row>
    <row r="34" spans="1:6" ht="36.75" customHeight="1">
      <c r="A34" s="1289" t="s">
        <v>268</v>
      </c>
      <c r="B34" s="1290"/>
      <c r="C34" s="779" t="e">
        <f>SUM(C26:C33)</f>
        <v>#REF!</v>
      </c>
      <c r="D34" s="779" t="e">
        <f>SUM(D26:D33)</f>
        <v>#REF!</v>
      </c>
      <c r="E34" s="779" t="e">
        <f>SUM(E26:E33)</f>
        <v>#REF!</v>
      </c>
      <c r="F34" s="780" t="e">
        <f>SUM(E34-#REF!/1000)</f>
        <v>#REF!</v>
      </c>
    </row>
    <row r="35" spans="1:6" ht="17.25" customHeight="1">
      <c r="A35" s="1288" t="s">
        <v>72</v>
      </c>
      <c r="B35" s="1288"/>
      <c r="C35" s="15"/>
      <c r="D35" s="15"/>
      <c r="E35" s="15"/>
      <c r="F35" s="15"/>
    </row>
    <row r="36" spans="1:6" ht="18">
      <c r="A36" s="38">
        <f>A33+1</f>
        <v>22</v>
      </c>
      <c r="B36" s="792" t="s">
        <v>444</v>
      </c>
      <c r="C36" s="35" t="e">
        <f t="shared" ref="C36:C60" si="4">SUM(D36:E36)</f>
        <v>#REF!</v>
      </c>
      <c r="D36" s="35" t="e">
        <f>SUM(#REF!/1000+#REF!/1000)</f>
        <v>#REF!</v>
      </c>
      <c r="E36" s="35" t="e">
        <f>SUM(#REF!/1000+#REF!/1000)</f>
        <v>#REF!</v>
      </c>
    </row>
    <row r="37" spans="1:6" ht="18">
      <c r="A37" s="39">
        <f t="shared" si="2"/>
        <v>23</v>
      </c>
      <c r="B37" s="792" t="s">
        <v>172</v>
      </c>
      <c r="C37" s="36" t="e">
        <f t="shared" si="4"/>
        <v>#REF!</v>
      </c>
      <c r="D37" s="36" t="e">
        <f>SUM(#REF!/1000+#REF!/1000)</f>
        <v>#REF!</v>
      </c>
      <c r="E37" s="36" t="e">
        <f>SUM(#REF!/1000+#REF!/1000)</f>
        <v>#REF!</v>
      </c>
    </row>
    <row r="38" spans="1:6" ht="18">
      <c r="A38" s="39">
        <f t="shared" si="2"/>
        <v>24</v>
      </c>
      <c r="B38" s="792" t="s">
        <v>445</v>
      </c>
      <c r="C38" s="36" t="e">
        <f t="shared" si="4"/>
        <v>#REF!</v>
      </c>
      <c r="D38" s="36" t="e">
        <f>SUM(#REF!/1000+#REF!/1000)</f>
        <v>#REF!</v>
      </c>
      <c r="E38" s="36" t="e">
        <f>SUM(#REF!/1000+#REF!/1000)</f>
        <v>#REF!</v>
      </c>
    </row>
    <row r="39" spans="1:6" ht="18">
      <c r="A39" s="39">
        <f t="shared" si="2"/>
        <v>25</v>
      </c>
      <c r="B39" s="792" t="s">
        <v>173</v>
      </c>
      <c r="C39" s="36" t="e">
        <f t="shared" si="4"/>
        <v>#REF!</v>
      </c>
      <c r="D39" s="36" t="e">
        <f>SUM(#REF!/1000+#REF!/1000)</f>
        <v>#REF!</v>
      </c>
      <c r="E39" s="36" t="e">
        <f>SUM(#REF!/1000+#REF!/1000)</f>
        <v>#REF!</v>
      </c>
    </row>
    <row r="40" spans="1:6" ht="18">
      <c r="A40" s="39">
        <f t="shared" si="2"/>
        <v>26</v>
      </c>
      <c r="B40" s="792" t="s">
        <v>174</v>
      </c>
      <c r="C40" s="36" t="e">
        <f t="shared" si="4"/>
        <v>#REF!</v>
      </c>
      <c r="D40" s="36" t="e">
        <f>SUM(#REF!/1000+#REF!/1000)</f>
        <v>#REF!</v>
      </c>
      <c r="E40" s="36" t="e">
        <f>SUM(#REF!/1000+#REF!/1000)</f>
        <v>#REF!</v>
      </c>
    </row>
    <row r="41" spans="1:6" ht="18">
      <c r="A41" s="39">
        <f t="shared" si="2"/>
        <v>27</v>
      </c>
      <c r="B41" s="792" t="s">
        <v>446</v>
      </c>
      <c r="C41" s="36" t="e">
        <f t="shared" si="4"/>
        <v>#REF!</v>
      </c>
      <c r="D41" s="36" t="e">
        <f>SUM(#REF!/1000+#REF!/1000)</f>
        <v>#REF!</v>
      </c>
      <c r="E41" s="36" t="e">
        <f>SUM(#REF!/1000+#REF!/1000)</f>
        <v>#REF!</v>
      </c>
    </row>
    <row r="42" spans="1:6" ht="18">
      <c r="A42" s="39">
        <f t="shared" si="2"/>
        <v>28</v>
      </c>
      <c r="B42" s="792" t="s">
        <v>142</v>
      </c>
      <c r="C42" s="36" t="e">
        <f t="shared" si="4"/>
        <v>#REF!</v>
      </c>
      <c r="D42" s="36" t="e">
        <f>SUM(#REF!/1000+#REF!/1000)</f>
        <v>#REF!</v>
      </c>
      <c r="E42" s="36" t="e">
        <f>SUM(#REF!/1000+#REF!/1000)</f>
        <v>#REF!</v>
      </c>
    </row>
    <row r="43" spans="1:6" ht="18">
      <c r="A43" s="39">
        <f>A42+1</f>
        <v>29</v>
      </c>
      <c r="B43" s="792" t="s">
        <v>208</v>
      </c>
      <c r="C43" s="36" t="e">
        <f t="shared" si="4"/>
        <v>#REF!</v>
      </c>
      <c r="D43" s="36" t="e">
        <f>SUM(#REF!/1000+#REF!/1000)</f>
        <v>#REF!</v>
      </c>
      <c r="E43" s="36" t="e">
        <f>SUM(#REF!/1000+#REF!/1000)</f>
        <v>#REF!</v>
      </c>
    </row>
    <row r="44" spans="1:6" ht="18">
      <c r="A44" s="39">
        <f t="shared" si="2"/>
        <v>30</v>
      </c>
      <c r="B44" s="792" t="s">
        <v>176</v>
      </c>
      <c r="C44" s="36" t="e">
        <f t="shared" si="4"/>
        <v>#REF!</v>
      </c>
      <c r="D44" s="36" t="e">
        <f>SUM(#REF!/1000+#REF!/1000)</f>
        <v>#REF!</v>
      </c>
      <c r="E44" s="36" t="e">
        <f>SUM(#REF!/1000+#REF!/1000)</f>
        <v>#REF!</v>
      </c>
    </row>
    <row r="45" spans="1:6" ht="18">
      <c r="A45" s="39">
        <f t="shared" si="2"/>
        <v>31</v>
      </c>
      <c r="B45" s="792" t="s">
        <v>177</v>
      </c>
      <c r="C45" s="36" t="e">
        <f t="shared" si="4"/>
        <v>#REF!</v>
      </c>
      <c r="D45" s="36" t="e">
        <f>SUM(#REF!/1000+#REF!/1000)</f>
        <v>#REF!</v>
      </c>
      <c r="E45" s="36" t="e">
        <f>SUM(#REF!/1000+#REF!/1000)</f>
        <v>#REF!</v>
      </c>
    </row>
    <row r="46" spans="1:6" ht="18">
      <c r="A46" s="39">
        <f t="shared" si="2"/>
        <v>32</v>
      </c>
      <c r="B46" s="792" t="s">
        <v>178</v>
      </c>
      <c r="C46" s="36" t="e">
        <f t="shared" si="4"/>
        <v>#REF!</v>
      </c>
      <c r="D46" s="36" t="e">
        <f>SUM(#REF!/1000+#REF!/1000)</f>
        <v>#REF!</v>
      </c>
      <c r="E46" s="36" t="e">
        <f>SUM(#REF!/1000+#REF!/1000)</f>
        <v>#REF!</v>
      </c>
    </row>
    <row r="47" spans="1:6" ht="18">
      <c r="A47" s="39">
        <f t="shared" si="2"/>
        <v>33</v>
      </c>
      <c r="B47" s="792" t="s">
        <v>179</v>
      </c>
      <c r="C47" s="36" t="e">
        <f t="shared" si="4"/>
        <v>#REF!</v>
      </c>
      <c r="D47" s="36" t="e">
        <f>SUM(#REF!/1000+#REF!/1000)</f>
        <v>#REF!</v>
      </c>
      <c r="E47" s="36" t="e">
        <f>SUM(#REF!/1000+#REF!/1000)</f>
        <v>#REF!</v>
      </c>
    </row>
    <row r="48" spans="1:6" ht="18">
      <c r="A48" s="39">
        <f t="shared" si="2"/>
        <v>34</v>
      </c>
      <c r="B48" s="792" t="s">
        <v>447</v>
      </c>
      <c r="C48" s="36" t="e">
        <f t="shared" si="4"/>
        <v>#REF!</v>
      </c>
      <c r="D48" s="36" t="e">
        <f>SUM(#REF!/1000+#REF!/1000)</f>
        <v>#REF!</v>
      </c>
      <c r="E48" s="36" t="e">
        <f>SUM(#REF!/1000+#REF!/1000)</f>
        <v>#REF!</v>
      </c>
    </row>
    <row r="49" spans="1:6" ht="18">
      <c r="A49" s="39">
        <f t="shared" si="2"/>
        <v>35</v>
      </c>
      <c r="B49" s="792" t="s">
        <v>436</v>
      </c>
      <c r="C49" s="36" t="e">
        <f t="shared" si="4"/>
        <v>#REF!</v>
      </c>
      <c r="D49" s="36" t="e">
        <f>SUM(#REF!/1000+#REF!/1000)</f>
        <v>#REF!</v>
      </c>
      <c r="E49" s="36" t="e">
        <f>SUM(#REF!/1000+#REF!/1000)</f>
        <v>#REF!</v>
      </c>
    </row>
    <row r="50" spans="1:6" ht="18">
      <c r="A50" s="39">
        <f t="shared" si="2"/>
        <v>36</v>
      </c>
      <c r="B50" s="792" t="s">
        <v>209</v>
      </c>
      <c r="C50" s="36" t="e">
        <f t="shared" si="4"/>
        <v>#REF!</v>
      </c>
      <c r="D50" s="36" t="e">
        <f>SUM(#REF!/1000+#REF!/1000)</f>
        <v>#REF!</v>
      </c>
      <c r="E50" s="36" t="e">
        <f>SUM(#REF!/1000+#REF!/1000)</f>
        <v>#REF!</v>
      </c>
    </row>
    <row r="51" spans="1:6" ht="18">
      <c r="A51" s="39">
        <f t="shared" si="2"/>
        <v>37</v>
      </c>
      <c r="B51" s="792" t="s">
        <v>182</v>
      </c>
      <c r="C51" s="36" t="e">
        <f t="shared" si="4"/>
        <v>#REF!</v>
      </c>
      <c r="D51" s="36" t="e">
        <f>SUM(#REF!/1000+#REF!/1000)</f>
        <v>#REF!</v>
      </c>
      <c r="E51" s="36" t="e">
        <f>SUM(#REF!/1000+#REF!/1000)</f>
        <v>#REF!</v>
      </c>
    </row>
    <row r="52" spans="1:6" ht="18">
      <c r="A52" s="39">
        <f t="shared" si="2"/>
        <v>38</v>
      </c>
      <c r="B52" s="792" t="s">
        <v>183</v>
      </c>
      <c r="C52" s="36" t="e">
        <f t="shared" si="4"/>
        <v>#REF!</v>
      </c>
      <c r="D52" s="36" t="e">
        <f>SUM(#REF!/1000+#REF!/1000)</f>
        <v>#REF!</v>
      </c>
      <c r="E52" s="36" t="e">
        <f>SUM(#REF!/1000+#REF!/1000)</f>
        <v>#REF!</v>
      </c>
    </row>
    <row r="53" spans="1:6" ht="18">
      <c r="A53" s="39">
        <f t="shared" si="2"/>
        <v>39</v>
      </c>
      <c r="B53" s="792" t="s">
        <v>184</v>
      </c>
      <c r="C53" s="36" t="e">
        <f t="shared" si="4"/>
        <v>#REF!</v>
      </c>
      <c r="D53" s="36" t="e">
        <f>SUM(#REF!/1000+#REF!/1000)</f>
        <v>#REF!</v>
      </c>
      <c r="E53" s="36" t="e">
        <f>SUM(#REF!/1000+#REF!/1000)</f>
        <v>#REF!</v>
      </c>
    </row>
    <row r="54" spans="1:6" ht="18">
      <c r="A54" s="39">
        <f t="shared" si="2"/>
        <v>40</v>
      </c>
      <c r="B54" s="792" t="s">
        <v>185</v>
      </c>
      <c r="C54" s="36" t="e">
        <f t="shared" si="4"/>
        <v>#REF!</v>
      </c>
      <c r="D54" s="36" t="e">
        <f>SUM(#REF!/1000+#REF!/1000)</f>
        <v>#REF!</v>
      </c>
      <c r="E54" s="36" t="e">
        <f>SUM(#REF!/1000+#REF!/1000)</f>
        <v>#REF!</v>
      </c>
    </row>
    <row r="55" spans="1:6" ht="18">
      <c r="A55" s="39">
        <f t="shared" si="2"/>
        <v>41</v>
      </c>
      <c r="B55" s="792" t="s">
        <v>186</v>
      </c>
      <c r="C55" s="36" t="e">
        <f t="shared" si="4"/>
        <v>#REF!</v>
      </c>
      <c r="D55" s="36" t="e">
        <f>SUM(#REF!/1000+#REF!/1000)</f>
        <v>#REF!</v>
      </c>
      <c r="E55" s="36" t="e">
        <f>SUM(#REF!/1000+#REF!/1000)</f>
        <v>#REF!</v>
      </c>
    </row>
    <row r="56" spans="1:6" ht="18">
      <c r="A56" s="39">
        <f t="shared" si="2"/>
        <v>42</v>
      </c>
      <c r="B56" s="792" t="s">
        <v>187</v>
      </c>
      <c r="C56" s="36" t="e">
        <f t="shared" si="4"/>
        <v>#REF!</v>
      </c>
      <c r="D56" s="36" t="e">
        <f>SUM(#REF!/1000+#REF!/1000)</f>
        <v>#REF!</v>
      </c>
      <c r="E56" s="36" t="e">
        <f>SUM(#REF!/1000+#REF!/1000)</f>
        <v>#REF!</v>
      </c>
    </row>
    <row r="57" spans="1:6" ht="18">
      <c r="A57" s="39">
        <f t="shared" si="2"/>
        <v>43</v>
      </c>
      <c r="B57" s="792" t="s">
        <v>188</v>
      </c>
      <c r="C57" s="36" t="e">
        <f t="shared" si="4"/>
        <v>#REF!</v>
      </c>
      <c r="D57" s="36" t="e">
        <f>SUM(#REF!/1000+#REF!/1000)</f>
        <v>#REF!</v>
      </c>
      <c r="E57" s="36" t="e">
        <f>SUM(#REF!/1000+#REF!/1000)</f>
        <v>#REF!</v>
      </c>
    </row>
    <row r="58" spans="1:6" ht="18">
      <c r="A58" s="39">
        <f>A57+1</f>
        <v>44</v>
      </c>
      <c r="B58" s="792" t="s">
        <v>189</v>
      </c>
      <c r="C58" s="36" t="e">
        <f t="shared" si="4"/>
        <v>#REF!</v>
      </c>
      <c r="D58" s="36" t="e">
        <f>SUM(#REF!/1000+#REF!/1000)</f>
        <v>#REF!</v>
      </c>
      <c r="E58" s="36" t="e">
        <f>SUM(#REF!/1000+#REF!/1000)</f>
        <v>#REF!</v>
      </c>
    </row>
    <row r="59" spans="1:6" ht="18">
      <c r="A59" s="39">
        <f t="shared" si="2"/>
        <v>45</v>
      </c>
      <c r="B59" s="792" t="s">
        <v>448</v>
      </c>
      <c r="C59" s="36" t="e">
        <f t="shared" si="4"/>
        <v>#REF!</v>
      </c>
      <c r="D59" s="36" t="e">
        <f>SUM(#REF!/1000+#REF!/1000)</f>
        <v>#REF!</v>
      </c>
      <c r="E59" s="36" t="e">
        <f>SUM(#REF!/1000+#REF!/1000)</f>
        <v>#REF!</v>
      </c>
    </row>
    <row r="60" spans="1:6" ht="18">
      <c r="A60" s="39">
        <f t="shared" si="2"/>
        <v>46</v>
      </c>
      <c r="B60" s="792" t="s">
        <v>211</v>
      </c>
      <c r="C60" s="36" t="e">
        <f t="shared" si="4"/>
        <v>#REF!</v>
      </c>
      <c r="D60" s="36" t="e">
        <f>SUM(#REF!/1000+#REF!/1000)</f>
        <v>#REF!</v>
      </c>
      <c r="E60" s="36" t="e">
        <f>SUM(#REF!/1000+#REF!/1000)</f>
        <v>#REF!</v>
      </c>
    </row>
    <row r="61" spans="1:6" s="15" customFormat="1" ht="17.25" customHeight="1">
      <c r="A61" s="1289" t="s">
        <v>50</v>
      </c>
      <c r="B61" s="1290"/>
      <c r="C61" s="779" t="e">
        <f>SUM(C36:C60)</f>
        <v>#REF!</v>
      </c>
      <c r="D61" s="779" t="e">
        <f>SUM(D36:D60)</f>
        <v>#REF!</v>
      </c>
      <c r="E61" s="779" t="e">
        <f>SUM(E36:E60)</f>
        <v>#REF!</v>
      </c>
      <c r="F61" s="778" t="e">
        <f>SUM(E61-#REF!/1000)</f>
        <v>#REF!</v>
      </c>
    </row>
    <row r="62" spans="1:6" ht="17.25" customHeight="1">
      <c r="A62" s="1288" t="s">
        <v>74</v>
      </c>
      <c r="B62" s="1288"/>
      <c r="C62" s="15"/>
      <c r="D62" s="15"/>
      <c r="E62" s="15"/>
      <c r="F62" s="15"/>
    </row>
    <row r="63" spans="1:6" ht="18">
      <c r="A63" s="38">
        <f>A60+1</f>
        <v>47</v>
      </c>
      <c r="B63" s="794" t="s">
        <v>5</v>
      </c>
      <c r="C63" s="35" t="e">
        <f t="shared" ref="C63:C80" si="5">SUM(D63:E63)</f>
        <v>#REF!</v>
      </c>
      <c r="D63" s="35" t="e">
        <f>SUM(#REF!/1000+#REF!/1000)</f>
        <v>#REF!</v>
      </c>
      <c r="E63" s="35" t="e">
        <f>SUM(#REF!/1000+#REF!/1000)</f>
        <v>#REF!</v>
      </c>
    </row>
    <row r="64" spans="1:6" ht="18">
      <c r="A64" s="39">
        <f t="shared" si="2"/>
        <v>48</v>
      </c>
      <c r="B64" s="792" t="s">
        <v>111</v>
      </c>
      <c r="C64" s="36" t="e">
        <f t="shared" si="5"/>
        <v>#REF!</v>
      </c>
      <c r="D64" s="36" t="e">
        <f>SUM(#REF!/1000+#REF!/1000)</f>
        <v>#REF!</v>
      </c>
      <c r="E64" s="36" t="e">
        <f>SUM(#REF!/1000+#REF!/1000)</f>
        <v>#REF!</v>
      </c>
    </row>
    <row r="65" spans="1:5" ht="18">
      <c r="A65" s="39">
        <f t="shared" si="2"/>
        <v>49</v>
      </c>
      <c r="B65" s="792" t="s">
        <v>112</v>
      </c>
      <c r="C65" s="36" t="e">
        <f t="shared" si="5"/>
        <v>#REF!</v>
      </c>
      <c r="D65" s="36" t="e">
        <f>SUM(#REF!/1000+#REF!/1000)</f>
        <v>#REF!</v>
      </c>
      <c r="E65" s="36" t="e">
        <f>SUM(#REF!/1000+#REF!/1000)</f>
        <v>#REF!</v>
      </c>
    </row>
    <row r="66" spans="1:5" ht="18">
      <c r="A66" s="39">
        <f t="shared" si="2"/>
        <v>50</v>
      </c>
      <c r="B66" s="792" t="s">
        <v>244</v>
      </c>
      <c r="C66" s="36" t="e">
        <f t="shared" si="5"/>
        <v>#REF!</v>
      </c>
      <c r="D66" s="36" t="e">
        <f>SUM(#REF!/1000+#REF!/1000)</f>
        <v>#REF!</v>
      </c>
      <c r="E66" s="36" t="e">
        <f>SUM(#REF!/1000+#REF!/1000)</f>
        <v>#REF!</v>
      </c>
    </row>
    <row r="67" spans="1:5" ht="18">
      <c r="A67" s="39">
        <f t="shared" si="2"/>
        <v>51</v>
      </c>
      <c r="B67" s="792" t="s">
        <v>81</v>
      </c>
      <c r="C67" s="36" t="e">
        <f t="shared" si="5"/>
        <v>#REF!</v>
      </c>
      <c r="D67" s="36" t="e">
        <f>SUM(#REF!/1000+#REF!/1000)</f>
        <v>#REF!</v>
      </c>
      <c r="E67" s="36" t="e">
        <f>SUM(#REF!/1000+#REF!/1000)</f>
        <v>#REF!</v>
      </c>
    </row>
    <row r="68" spans="1:5" ht="18">
      <c r="A68" s="39">
        <f t="shared" si="2"/>
        <v>52</v>
      </c>
      <c r="B68" s="792" t="s">
        <v>113</v>
      </c>
      <c r="C68" s="36" t="e">
        <f t="shared" si="5"/>
        <v>#REF!</v>
      </c>
      <c r="D68" s="36" t="e">
        <f>SUM(#REF!/1000+#REF!/1000)</f>
        <v>#REF!</v>
      </c>
      <c r="E68" s="36" t="e">
        <f>SUM(#REF!/1000+#REF!/1000)</f>
        <v>#REF!</v>
      </c>
    </row>
    <row r="69" spans="1:5" ht="18">
      <c r="A69" s="39">
        <f t="shared" si="2"/>
        <v>53</v>
      </c>
      <c r="B69" s="792" t="s">
        <v>114</v>
      </c>
      <c r="C69" s="36" t="e">
        <f t="shared" si="5"/>
        <v>#REF!</v>
      </c>
      <c r="D69" s="36" t="e">
        <f>SUM(#REF!/1000+#REF!/1000)</f>
        <v>#REF!</v>
      </c>
      <c r="E69" s="36" t="e">
        <f>SUM(#REF!/1000+#REF!/1000)</f>
        <v>#REF!</v>
      </c>
    </row>
    <row r="70" spans="1:5" ht="18">
      <c r="A70" s="39">
        <f t="shared" si="2"/>
        <v>54</v>
      </c>
      <c r="B70" s="792" t="s">
        <v>12</v>
      </c>
      <c r="C70" s="36" t="e">
        <f t="shared" si="5"/>
        <v>#REF!</v>
      </c>
      <c r="D70" s="36" t="e">
        <f>SUM(#REF!/1000+#REF!/1000)</f>
        <v>#REF!</v>
      </c>
      <c r="E70" s="36" t="e">
        <f>SUM(#REF!/1000+#REF!/1000)</f>
        <v>#REF!</v>
      </c>
    </row>
    <row r="71" spans="1:5" ht="18">
      <c r="A71" s="39">
        <f t="shared" si="2"/>
        <v>55</v>
      </c>
      <c r="B71" s="792" t="s">
        <v>17</v>
      </c>
      <c r="C71" s="36" t="e">
        <f t="shared" si="5"/>
        <v>#REF!</v>
      </c>
      <c r="D71" s="36" t="e">
        <f>SUM(#REF!/1000+#REF!/1000)</f>
        <v>#REF!</v>
      </c>
      <c r="E71" s="36" t="e">
        <f>SUM(#REF!/1000+#REF!/1000)</f>
        <v>#REF!</v>
      </c>
    </row>
    <row r="72" spans="1:5" ht="18">
      <c r="A72" s="39">
        <f t="shared" si="2"/>
        <v>56</v>
      </c>
      <c r="B72" s="792" t="s">
        <v>18</v>
      </c>
      <c r="C72" s="36" t="e">
        <f t="shared" si="5"/>
        <v>#REF!</v>
      </c>
      <c r="D72" s="36" t="e">
        <f>SUM(#REF!/1000+#REF!/1000)</f>
        <v>#REF!</v>
      </c>
      <c r="E72" s="36" t="e">
        <f>SUM(#REF!/1000+#REF!/1000)</f>
        <v>#REF!</v>
      </c>
    </row>
    <row r="73" spans="1:5" ht="18">
      <c r="A73" s="39">
        <f t="shared" si="2"/>
        <v>57</v>
      </c>
      <c r="B73" s="792" t="s">
        <v>19</v>
      </c>
      <c r="C73" s="36" t="e">
        <f t="shared" si="5"/>
        <v>#REF!</v>
      </c>
      <c r="D73" s="36" t="e">
        <f>SUM(#REF!/1000+#REF!/1000)</f>
        <v>#REF!</v>
      </c>
      <c r="E73" s="36" t="e">
        <f>SUM(#REF!/1000+#REF!/1000)</f>
        <v>#REF!</v>
      </c>
    </row>
    <row r="74" spans="1:5" ht="18">
      <c r="A74" s="39">
        <f t="shared" si="2"/>
        <v>58</v>
      </c>
      <c r="B74" s="792" t="s">
        <v>20</v>
      </c>
      <c r="C74" s="36" t="e">
        <f t="shared" si="5"/>
        <v>#REF!</v>
      </c>
      <c r="D74" s="36" t="e">
        <f>SUM(#REF!/1000+#REF!/1000)</f>
        <v>#REF!</v>
      </c>
      <c r="E74" s="36" t="e">
        <f>SUM(#REF!/1000+#REF!/1000)</f>
        <v>#REF!</v>
      </c>
    </row>
    <row r="75" spans="1:5" ht="18">
      <c r="A75" s="39">
        <f t="shared" si="2"/>
        <v>59</v>
      </c>
      <c r="B75" s="792" t="s">
        <v>9</v>
      </c>
      <c r="C75" s="36" t="e">
        <f t="shared" si="5"/>
        <v>#REF!</v>
      </c>
      <c r="D75" s="36" t="e">
        <f>SUM(#REF!/1000+#REF!/1000)</f>
        <v>#REF!</v>
      </c>
      <c r="E75" s="36" t="e">
        <f>SUM(#REF!/1000+#REF!/1000)</f>
        <v>#REF!</v>
      </c>
    </row>
    <row r="76" spans="1:5" ht="18">
      <c r="A76" s="39">
        <f t="shared" si="2"/>
        <v>60</v>
      </c>
      <c r="B76" s="792" t="s">
        <v>115</v>
      </c>
      <c r="C76" s="36" t="e">
        <f t="shared" si="5"/>
        <v>#REF!</v>
      </c>
      <c r="D76" s="36" t="e">
        <f>SUM(#REF!/1000+#REF!/1000)</f>
        <v>#REF!</v>
      </c>
      <c r="E76" s="36" t="e">
        <f>SUM(#REF!/1000+#REF!/1000)</f>
        <v>#REF!</v>
      </c>
    </row>
    <row r="77" spans="1:5" ht="18">
      <c r="A77" s="39">
        <f t="shared" si="2"/>
        <v>61</v>
      </c>
      <c r="B77" s="792" t="s">
        <v>11</v>
      </c>
      <c r="C77" s="36" t="e">
        <f t="shared" si="5"/>
        <v>#REF!</v>
      </c>
      <c r="D77" s="36" t="e">
        <f>SUM(#REF!/1000+#REF!/1000)</f>
        <v>#REF!</v>
      </c>
      <c r="E77" s="36" t="e">
        <f>SUM(#REF!/1000+#REF!/1000)</f>
        <v>#REF!</v>
      </c>
    </row>
    <row r="78" spans="1:5" ht="18">
      <c r="A78" s="39">
        <f t="shared" si="2"/>
        <v>62</v>
      </c>
      <c r="B78" s="792" t="s">
        <v>13</v>
      </c>
      <c r="C78" s="36" t="e">
        <f t="shared" si="5"/>
        <v>#REF!</v>
      </c>
      <c r="D78" s="36" t="e">
        <f>SUM(#REF!/1000+#REF!/1000)</f>
        <v>#REF!</v>
      </c>
      <c r="E78" s="36" t="e">
        <f>SUM(#REF!/1000+#REF!/1000)</f>
        <v>#REF!</v>
      </c>
    </row>
    <row r="79" spans="1:5" ht="18">
      <c r="A79" s="39">
        <v>63</v>
      </c>
      <c r="B79" s="792" t="s">
        <v>14</v>
      </c>
      <c r="C79" s="36" t="e">
        <f t="shared" si="5"/>
        <v>#REF!</v>
      </c>
      <c r="D79" s="36" t="e">
        <f>SUM(#REF!/1000+#REF!/1000)</f>
        <v>#REF!</v>
      </c>
      <c r="E79" s="36" t="e">
        <f>SUM(#REF!/1000+#REF!/1000)</f>
        <v>#REF!</v>
      </c>
    </row>
    <row r="80" spans="1:5" ht="18">
      <c r="A80" s="39">
        <v>64</v>
      </c>
      <c r="B80" s="792" t="s">
        <v>15</v>
      </c>
      <c r="C80" s="36" t="e">
        <f t="shared" si="5"/>
        <v>#REF!</v>
      </c>
      <c r="D80" s="36" t="e">
        <f>SUM(#REF!/1000+#REF!/1000)</f>
        <v>#REF!</v>
      </c>
      <c r="E80" s="36" t="e">
        <f>SUM(#REF!/1000+#REF!/1000)</f>
        <v>#REF!</v>
      </c>
    </row>
    <row r="81" spans="1:6" ht="17.25" customHeight="1">
      <c r="A81" s="1289" t="s">
        <v>116</v>
      </c>
      <c r="B81" s="1290"/>
      <c r="C81" s="779" t="e">
        <f>SUM(C63:C80)</f>
        <v>#REF!</v>
      </c>
      <c r="D81" s="779" t="e">
        <f>SUM(D80+D79+D78+D77+D76+D75+D74+D73+D72+D71+D70+D69+D68+D67+D66+D65+D64+D63)</f>
        <v>#REF!</v>
      </c>
      <c r="E81" s="779" t="e">
        <f>SUM(E63:E80)</f>
        <v>#REF!</v>
      </c>
      <c r="F81" s="778" t="e">
        <f>SUM(E81-#REF!/1000)</f>
        <v>#REF!</v>
      </c>
    </row>
    <row r="82" spans="1:6" ht="17.25">
      <c r="A82" s="42"/>
      <c r="B82" s="795"/>
      <c r="C82" s="15"/>
      <c r="D82" s="15"/>
      <c r="E82" s="15"/>
      <c r="F82" s="15"/>
    </row>
    <row r="83" spans="1:6" ht="18">
      <c r="A83" s="88">
        <f>A80+1</f>
        <v>65</v>
      </c>
      <c r="B83" s="796" t="s">
        <v>26</v>
      </c>
      <c r="C83" s="50" t="e">
        <f>SUM(D83:E83)</f>
        <v>#REF!</v>
      </c>
      <c r="D83" s="50" t="e">
        <f>SUM(#REF!/1000+#REF!/1000)</f>
        <v>#REF!</v>
      </c>
      <c r="E83" s="777" t="e">
        <f>SUM(#REF!/1000+#REF!/1000)</f>
        <v>#REF!</v>
      </c>
      <c r="F83" s="778" t="e">
        <f>SUM(E83-#REF!/1000)</f>
        <v>#REF!</v>
      </c>
    </row>
    <row r="84" spans="1:6" ht="18">
      <c r="A84" s="41"/>
      <c r="B84" s="795"/>
      <c r="C84" s="15"/>
      <c r="D84" s="15"/>
      <c r="E84" s="15"/>
      <c r="F84" s="15"/>
    </row>
    <row r="85" spans="1:6" ht="17.25">
      <c r="A85" s="1291" t="s">
        <v>117</v>
      </c>
      <c r="B85" s="1292"/>
      <c r="C85" s="22" t="e">
        <f>SUM(D85:E85)</f>
        <v>#REF!</v>
      </c>
      <c r="D85" s="22" t="e">
        <f>SUM(D83+D81+D61+D34+D17+D24)</f>
        <v>#REF!</v>
      </c>
      <c r="E85" s="22" t="e">
        <f>SUM(E83+E81+E61+E34+E17+E24)</f>
        <v>#REF!</v>
      </c>
    </row>
    <row r="86" spans="1:6">
      <c r="E86" s="163"/>
    </row>
    <row r="87" spans="1:6" ht="15.75">
      <c r="C87" s="10"/>
      <c r="D87" s="961" t="e">
        <f>D85</f>
        <v>#REF!</v>
      </c>
      <c r="E87" s="164" t="e">
        <f>E85</f>
        <v>#REF!</v>
      </c>
    </row>
    <row r="89" spans="1:6" ht="18">
      <c r="B89" s="798" t="s">
        <v>255</v>
      </c>
      <c r="C89" s="27"/>
      <c r="D89" s="48" t="e">
        <f>SUM(D85-#REF!/1000-#REF!/1000)</f>
        <v>#REF!</v>
      </c>
      <c r="E89" s="48"/>
    </row>
    <row r="90" spans="1:6" ht="21" customHeight="1">
      <c r="A90" s="170"/>
      <c r="B90" s="799" t="s">
        <v>254</v>
      </c>
      <c r="C90" s="120"/>
      <c r="D90" s="121"/>
      <c r="E90" s="170"/>
    </row>
    <row r="91" spans="1:6" ht="21" customHeight="1">
      <c r="B91" s="1287" t="s">
        <v>256</v>
      </c>
      <c r="C91" s="1287"/>
      <c r="D91" s="1287"/>
      <c r="E91" s="10"/>
    </row>
    <row r="93" spans="1:6">
      <c r="D93" s="10"/>
    </row>
  </sheetData>
  <mergeCells count="20">
    <mergeCell ref="B4:B7"/>
    <mergeCell ref="C4:E5"/>
    <mergeCell ref="C6:C7"/>
    <mergeCell ref="A17:B17"/>
    <mergeCell ref="A1:E1"/>
    <mergeCell ref="A4:A7"/>
    <mergeCell ref="B3:D3"/>
    <mergeCell ref="A8:C8"/>
    <mergeCell ref="A2:E2"/>
    <mergeCell ref="D6:E6"/>
    <mergeCell ref="B91:D91"/>
    <mergeCell ref="A35:B35"/>
    <mergeCell ref="A18:D18"/>
    <mergeCell ref="A24:B24"/>
    <mergeCell ref="A34:B34"/>
    <mergeCell ref="A61:B61"/>
    <mergeCell ref="A62:B62"/>
    <mergeCell ref="A81:B81"/>
    <mergeCell ref="A85:B85"/>
    <mergeCell ref="A25:D25"/>
  </mergeCells>
  <phoneticPr fontId="10" type="noConversion"/>
  <printOptions horizontalCentered="1"/>
  <pageMargins left="0.23622047244094491" right="0.19685039370078741" top="0.39370078740157483" bottom="0.31496062992125984" header="0.27559055118110237" footer="0.19685039370078741"/>
  <pageSetup paperSize="9" scale="8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Лист22">
    <tabColor indexed="34"/>
  </sheetPr>
  <dimension ref="A1:L103"/>
  <sheetViews>
    <sheetView zoomScale="75" workbookViewId="0">
      <selection activeCell="F8" sqref="F8"/>
    </sheetView>
  </sheetViews>
  <sheetFormatPr defaultColWidth="9.140625" defaultRowHeight="21"/>
  <cols>
    <col min="1" max="1" width="4.42578125" style="19" bestFit="1" customWidth="1"/>
    <col min="2" max="2" width="42.140625" style="800" customWidth="1"/>
    <col min="3" max="3" width="25.7109375" style="1" customWidth="1"/>
    <col min="4" max="4" width="28.140625" style="1" customWidth="1"/>
    <col min="5" max="5" width="25.7109375" style="1" customWidth="1"/>
    <col min="6" max="6" width="24.28515625" style="1" customWidth="1"/>
    <col min="7" max="7" width="20.42578125" style="1" customWidth="1"/>
    <col min="8" max="8" width="22.85546875" style="1" customWidth="1"/>
    <col min="9" max="9" width="36.5703125" style="1" customWidth="1"/>
    <col min="10" max="10" width="27.85546875" style="1" customWidth="1"/>
    <col min="11" max="11" width="11.28515625" style="1" bestFit="1" customWidth="1"/>
    <col min="12" max="12" width="15.7109375" style="1" bestFit="1" customWidth="1"/>
    <col min="13" max="16384" width="9.140625" style="1"/>
  </cols>
  <sheetData>
    <row r="1" spans="1:10">
      <c r="A1" s="1139" t="s">
        <v>234</v>
      </c>
      <c r="B1" s="1139"/>
      <c r="C1" s="1139"/>
      <c r="D1" s="1139"/>
      <c r="E1" s="1139"/>
      <c r="F1" s="1139"/>
    </row>
    <row r="2" spans="1:10" ht="14.25" customHeight="1">
      <c r="A2" s="1140" t="s">
        <v>251</v>
      </c>
      <c r="B2" s="1140"/>
      <c r="C2" s="1140"/>
      <c r="D2" s="1140"/>
      <c r="E2" s="1140"/>
      <c r="F2" s="1140"/>
    </row>
    <row r="3" spans="1:10">
      <c r="C3" s="1" t="e">
        <f>CLEAN(#REF!)</f>
        <v>#REF!</v>
      </c>
      <c r="E3" s="2"/>
      <c r="H3" s="147" t="s">
        <v>160</v>
      </c>
    </row>
    <row r="4" spans="1:10" ht="21" customHeight="1">
      <c r="A4" s="1141" t="s">
        <v>80</v>
      </c>
      <c r="B4" s="1143" t="s">
        <v>245</v>
      </c>
      <c r="C4" s="1321" t="e">
        <f>CLEAN(#REF!)</f>
        <v>#REF!</v>
      </c>
      <c r="D4" s="1321" t="e">
        <f>CLEAN(#REF!)</f>
        <v>#REF!</v>
      </c>
      <c r="E4" s="1321" t="e">
        <f>CLEAN(#REF!)</f>
        <v>#REF!</v>
      </c>
      <c r="F4" s="1321" t="e">
        <f>CLEAN(#REF!)</f>
        <v>#REF!</v>
      </c>
      <c r="G4" s="1319" t="s">
        <v>263</v>
      </c>
      <c r="H4" s="1321" t="s">
        <v>429</v>
      </c>
    </row>
    <row r="5" spans="1:10">
      <c r="A5" s="1183"/>
      <c r="B5" s="1184"/>
      <c r="C5" s="1323"/>
      <c r="D5" s="1323"/>
      <c r="E5" s="1323"/>
      <c r="F5" s="1323"/>
      <c r="G5" s="1320"/>
      <c r="H5" s="1322"/>
    </row>
    <row r="6" spans="1:10" ht="15.75" customHeight="1">
      <c r="A6" s="183">
        <v>1</v>
      </c>
      <c r="B6" s="801">
        <v>2</v>
      </c>
      <c r="C6" s="153">
        <v>3</v>
      </c>
      <c r="D6" s="153">
        <v>4</v>
      </c>
      <c r="E6" s="153">
        <v>5</v>
      </c>
      <c r="F6" s="178">
        <v>6</v>
      </c>
      <c r="G6" s="184">
        <v>7</v>
      </c>
      <c r="H6" s="184">
        <v>7</v>
      </c>
    </row>
    <row r="7" spans="1:10">
      <c r="A7" s="1179" t="s">
        <v>76</v>
      </c>
      <c r="B7" s="1179"/>
      <c r="C7" s="1179"/>
      <c r="D7" s="1179"/>
      <c r="E7" s="1179"/>
      <c r="F7" s="1179"/>
      <c r="I7" s="8">
        <f t="shared" ref="I7:I70" si="0">SUM(C7+D7-E7)</f>
        <v>0</v>
      </c>
      <c r="J7" s="8">
        <f t="shared" ref="J7:J70" si="1">SUM(F7-I7)</f>
        <v>0</v>
      </c>
    </row>
    <row r="8" spans="1:10">
      <c r="A8" s="79">
        <v>1</v>
      </c>
      <c r="B8" s="802" t="s">
        <v>70</v>
      </c>
      <c r="C8" s="81" t="e">
        <f>SUM(#REF!)</f>
        <v>#REF!</v>
      </c>
      <c r="D8" s="81" t="e">
        <f>SUM(#REF!)</f>
        <v>#REF!</v>
      </c>
      <c r="E8" s="81" t="e">
        <f>SUM(#REF!)</f>
        <v>#REF!</v>
      </c>
      <c r="F8" s="81" t="e">
        <f>SUM(#REF!)</f>
        <v>#REF!</v>
      </c>
      <c r="G8" s="81" t="e">
        <f>SUM(#REF!)</f>
        <v>#REF!</v>
      </c>
      <c r="H8" s="82" t="e">
        <f>SUM(F8+G8)</f>
        <v>#REF!</v>
      </c>
      <c r="I8" s="8" t="e">
        <f t="shared" si="0"/>
        <v>#REF!</v>
      </c>
      <c r="J8" s="8" t="e">
        <f t="shared" si="1"/>
        <v>#REF!</v>
      </c>
    </row>
    <row r="9" spans="1:10">
      <c r="A9" s="80">
        <f t="shared" ref="A9:A15" si="2">A8+1</f>
        <v>2</v>
      </c>
      <c r="B9" s="803" t="s">
        <v>200</v>
      </c>
      <c r="C9" s="83" t="e">
        <f>SUM(#REF!)</f>
        <v>#REF!</v>
      </c>
      <c r="D9" s="83" t="e">
        <f>SUM(#REF!)</f>
        <v>#REF!</v>
      </c>
      <c r="E9" s="83" t="e">
        <f>SUM(#REF!)</f>
        <v>#REF!</v>
      </c>
      <c r="F9" s="83" t="e">
        <f>SUM(#REF!)</f>
        <v>#REF!</v>
      </c>
      <c r="G9" s="83" t="e">
        <f>SUM(#REF!)</f>
        <v>#REF!</v>
      </c>
      <c r="H9" s="84" t="e">
        <f t="shared" ref="H9:H15" si="3">SUM(F9+G9)</f>
        <v>#REF!</v>
      </c>
      <c r="I9" s="8" t="e">
        <f t="shared" si="0"/>
        <v>#REF!</v>
      </c>
      <c r="J9" s="8" t="e">
        <f t="shared" si="1"/>
        <v>#REF!</v>
      </c>
    </row>
    <row r="10" spans="1:10">
      <c r="A10" s="80">
        <f t="shared" si="2"/>
        <v>3</v>
      </c>
      <c r="B10" s="803" t="s">
        <v>201</v>
      </c>
      <c r="C10" s="83" t="e">
        <f>SUM(#REF!)</f>
        <v>#REF!</v>
      </c>
      <c r="D10" s="83" t="e">
        <f>SUM(#REF!)</f>
        <v>#REF!</v>
      </c>
      <c r="E10" s="83" t="e">
        <f>SUM(#REF!)</f>
        <v>#REF!</v>
      </c>
      <c r="F10" s="83" t="e">
        <f>SUM(#REF!)</f>
        <v>#REF!</v>
      </c>
      <c r="G10" s="83" t="e">
        <f>SUM(#REF!)</f>
        <v>#REF!</v>
      </c>
      <c r="H10" s="84" t="e">
        <f t="shared" si="3"/>
        <v>#REF!</v>
      </c>
      <c r="I10" s="8" t="e">
        <f>SUM(C10+D10-E10)</f>
        <v>#REF!</v>
      </c>
      <c r="J10" s="8" t="e">
        <f t="shared" si="1"/>
        <v>#REF!</v>
      </c>
    </row>
    <row r="11" spans="1:10">
      <c r="A11" s="80">
        <f t="shared" si="2"/>
        <v>4</v>
      </c>
      <c r="B11" s="803" t="s">
        <v>202</v>
      </c>
      <c r="C11" s="83" t="e">
        <f>SUM(#REF!)</f>
        <v>#REF!</v>
      </c>
      <c r="D11" s="83" t="e">
        <f>SUM(#REF!)</f>
        <v>#REF!</v>
      </c>
      <c r="E11" s="83" t="e">
        <f>SUM(#REF!)</f>
        <v>#REF!</v>
      </c>
      <c r="F11" s="83" t="e">
        <f>SUM(#REF!)</f>
        <v>#REF!</v>
      </c>
      <c r="G11" s="83" t="e">
        <f>SUM(#REF!)</f>
        <v>#REF!</v>
      </c>
      <c r="H11" s="84" t="e">
        <f t="shared" si="3"/>
        <v>#REF!</v>
      </c>
      <c r="I11" s="8" t="e">
        <f t="shared" si="0"/>
        <v>#REF!</v>
      </c>
      <c r="J11" s="8" t="e">
        <f t="shared" si="1"/>
        <v>#REF!</v>
      </c>
    </row>
    <row r="12" spans="1:10">
      <c r="A12" s="80">
        <f t="shared" si="2"/>
        <v>5</v>
      </c>
      <c r="B12" s="803" t="s">
        <v>203</v>
      </c>
      <c r="C12" s="83" t="e">
        <f>SUM(#REF!)</f>
        <v>#REF!</v>
      </c>
      <c r="D12" s="83" t="e">
        <f>SUM(#REF!)</f>
        <v>#REF!</v>
      </c>
      <c r="E12" s="83" t="e">
        <f>SUM(#REF!)</f>
        <v>#REF!</v>
      </c>
      <c r="F12" s="83" t="e">
        <f>SUM(#REF!)</f>
        <v>#REF!</v>
      </c>
      <c r="G12" s="83" t="e">
        <f>SUM(#REF!)</f>
        <v>#REF!</v>
      </c>
      <c r="H12" s="84" t="e">
        <f t="shared" si="3"/>
        <v>#REF!</v>
      </c>
      <c r="I12" s="8" t="e">
        <f t="shared" si="0"/>
        <v>#REF!</v>
      </c>
      <c r="J12" s="8" t="e">
        <f t="shared" si="1"/>
        <v>#REF!</v>
      </c>
    </row>
    <row r="13" spans="1:10">
      <c r="A13" s="80">
        <f t="shared" si="2"/>
        <v>6</v>
      </c>
      <c r="B13" s="803" t="s">
        <v>204</v>
      </c>
      <c r="C13" s="83" t="e">
        <f>SUM(#REF!)</f>
        <v>#REF!</v>
      </c>
      <c r="D13" s="83" t="e">
        <f>SUM(#REF!)</f>
        <v>#REF!</v>
      </c>
      <c r="E13" s="83" t="e">
        <f>SUM(#REF!)</f>
        <v>#REF!</v>
      </c>
      <c r="F13" s="83" t="e">
        <f>SUM(#REF!)</f>
        <v>#REF!</v>
      </c>
      <c r="G13" s="83" t="e">
        <f>SUM(#REF!)</f>
        <v>#REF!</v>
      </c>
      <c r="H13" s="84" t="e">
        <f t="shared" si="3"/>
        <v>#REF!</v>
      </c>
      <c r="I13" s="8" t="e">
        <f t="shared" si="0"/>
        <v>#REF!</v>
      </c>
      <c r="J13" s="8" t="e">
        <f t="shared" si="1"/>
        <v>#REF!</v>
      </c>
    </row>
    <row r="14" spans="1:10">
      <c r="A14" s="80">
        <f t="shared" si="2"/>
        <v>7</v>
      </c>
      <c r="B14" s="803" t="s">
        <v>68</v>
      </c>
      <c r="C14" s="83" t="e">
        <f>SUM(#REF!)</f>
        <v>#REF!</v>
      </c>
      <c r="D14" s="83" t="e">
        <f>SUM(#REF!)</f>
        <v>#REF!</v>
      </c>
      <c r="E14" s="83" t="e">
        <f>SUM(#REF!)</f>
        <v>#REF!</v>
      </c>
      <c r="F14" s="83" t="e">
        <f>SUM(#REF!)</f>
        <v>#REF!</v>
      </c>
      <c r="G14" s="83" t="e">
        <f>SUM(#REF!)</f>
        <v>#REF!</v>
      </c>
      <c r="H14" s="84" t="e">
        <f t="shared" si="3"/>
        <v>#REF!</v>
      </c>
      <c r="I14" s="8" t="e">
        <f t="shared" si="0"/>
        <v>#REF!</v>
      </c>
      <c r="J14" s="8" t="e">
        <f t="shared" si="1"/>
        <v>#REF!</v>
      </c>
    </row>
    <row r="15" spans="1:10">
      <c r="A15" s="93">
        <f t="shared" si="2"/>
        <v>8</v>
      </c>
      <c r="B15" s="808" t="s">
        <v>214</v>
      </c>
      <c r="C15" s="94" t="e">
        <f>SUM(#REF!)</f>
        <v>#REF!</v>
      </c>
      <c r="D15" s="94" t="e">
        <f>SUM(#REF!)</f>
        <v>#REF!</v>
      </c>
      <c r="E15" s="94" t="e">
        <f>SUM(#REF!)</f>
        <v>#REF!</v>
      </c>
      <c r="F15" s="94" t="e">
        <f>SUM(#REF!)</f>
        <v>#REF!</v>
      </c>
      <c r="G15" s="94" t="e">
        <f>SUM(#REF!)</f>
        <v>#REF!</v>
      </c>
      <c r="H15" s="95" t="e">
        <f t="shared" si="3"/>
        <v>#REF!</v>
      </c>
      <c r="I15" s="8" t="e">
        <f t="shared" si="0"/>
        <v>#REF!</v>
      </c>
      <c r="J15" s="8" t="e">
        <f t="shared" si="1"/>
        <v>#REF!</v>
      </c>
    </row>
    <row r="16" spans="1:10">
      <c r="A16" s="1313" t="s">
        <v>71</v>
      </c>
      <c r="B16" s="1314"/>
      <c r="C16" s="149" t="e">
        <f t="shared" ref="C16:H16" si="4">SUM(C8:C15)</f>
        <v>#REF!</v>
      </c>
      <c r="D16" s="149" t="e">
        <f t="shared" si="4"/>
        <v>#REF!</v>
      </c>
      <c r="E16" s="149" t="e">
        <f t="shared" si="4"/>
        <v>#REF!</v>
      </c>
      <c r="F16" s="149" t="e">
        <f t="shared" si="4"/>
        <v>#REF!</v>
      </c>
      <c r="G16" s="181" t="e">
        <f t="shared" si="4"/>
        <v>#REF!</v>
      </c>
      <c r="H16" s="149" t="e">
        <f t="shared" si="4"/>
        <v>#REF!</v>
      </c>
      <c r="I16" s="8" t="e">
        <f t="shared" si="0"/>
        <v>#REF!</v>
      </c>
      <c r="J16" s="8" t="e">
        <f>SUM(#REF!+#REF!)</f>
        <v>#REF!</v>
      </c>
    </row>
    <row r="17" spans="1:10">
      <c r="A17" s="1179" t="s">
        <v>269</v>
      </c>
      <c r="B17" s="1179"/>
      <c r="C17" s="1179"/>
      <c r="D17" s="1179"/>
      <c r="E17" s="1179"/>
      <c r="F17" s="1179"/>
      <c r="I17" s="8">
        <f t="shared" si="0"/>
        <v>0</v>
      </c>
      <c r="J17" s="8">
        <f t="shared" si="1"/>
        <v>0</v>
      </c>
    </row>
    <row r="18" spans="1:10">
      <c r="A18" s="79">
        <f>SUM(A15+1)</f>
        <v>9</v>
      </c>
      <c r="B18" s="802" t="s">
        <v>190</v>
      </c>
      <c r="C18" s="81" t="e">
        <f>SUM(#REF!)</f>
        <v>#REF!</v>
      </c>
      <c r="D18" s="81" t="e">
        <f>SUM(#REF!)</f>
        <v>#REF!</v>
      </c>
      <c r="E18" s="81" t="e">
        <f>SUM(#REF!)</f>
        <v>#REF!</v>
      </c>
      <c r="F18" s="81" t="e">
        <f>SUM(#REF!)</f>
        <v>#REF!</v>
      </c>
      <c r="G18" s="81" t="e">
        <f>SUM(#REF!)</f>
        <v>#REF!</v>
      </c>
      <c r="H18" s="82" t="e">
        <f>SUM(F18+G18)</f>
        <v>#REF!</v>
      </c>
      <c r="I18" s="8" t="e">
        <f t="shared" si="0"/>
        <v>#REF!</v>
      </c>
      <c r="J18" s="8" t="e">
        <f t="shared" si="1"/>
        <v>#REF!</v>
      </c>
    </row>
    <row r="19" spans="1:10">
      <c r="A19" s="80">
        <f>A18+1</f>
        <v>10</v>
      </c>
      <c r="B19" s="803" t="s">
        <v>191</v>
      </c>
      <c r="C19" s="83" t="e">
        <f>SUM(#REF!)</f>
        <v>#REF!</v>
      </c>
      <c r="D19" s="83" t="e">
        <f>SUM(#REF!)</f>
        <v>#REF!</v>
      </c>
      <c r="E19" s="83" t="e">
        <f>SUM(#REF!)</f>
        <v>#REF!</v>
      </c>
      <c r="F19" s="83" t="e">
        <f>SUM(#REF!)</f>
        <v>#REF!</v>
      </c>
      <c r="G19" s="83" t="e">
        <f>SUM(#REF!)</f>
        <v>#REF!</v>
      </c>
      <c r="H19" s="84" t="e">
        <f>SUM(F19+G19)</f>
        <v>#REF!</v>
      </c>
      <c r="I19" s="8" t="e">
        <f t="shared" si="0"/>
        <v>#REF!</v>
      </c>
      <c r="J19" s="8" t="e">
        <f t="shared" si="1"/>
        <v>#REF!</v>
      </c>
    </row>
    <row r="20" spans="1:10">
      <c r="A20" s="80">
        <f t="shared" ref="A20:A32" si="5">A19+1</f>
        <v>11</v>
      </c>
      <c r="B20" s="803" t="s">
        <v>192</v>
      </c>
      <c r="C20" s="83" t="e">
        <f>SUM(#REF!)</f>
        <v>#REF!</v>
      </c>
      <c r="D20" s="83" t="e">
        <f>SUM(#REF!)</f>
        <v>#REF!</v>
      </c>
      <c r="E20" s="83" t="e">
        <f>SUM(#REF!)</f>
        <v>#REF!</v>
      </c>
      <c r="F20" s="83" t="e">
        <f>SUM(#REF!)</f>
        <v>#REF!</v>
      </c>
      <c r="G20" s="83" t="e">
        <f>SUM(#REF!)</f>
        <v>#REF!</v>
      </c>
      <c r="H20" s="84" t="e">
        <f>SUM(F20+G20)</f>
        <v>#REF!</v>
      </c>
      <c r="I20" s="8" t="e">
        <f t="shared" si="0"/>
        <v>#REF!</v>
      </c>
      <c r="J20" s="8" t="e">
        <f t="shared" si="1"/>
        <v>#REF!</v>
      </c>
    </row>
    <row r="21" spans="1:10">
      <c r="A21" s="80">
        <f t="shared" si="5"/>
        <v>12</v>
      </c>
      <c r="B21" s="803" t="s">
        <v>193</v>
      </c>
      <c r="C21" s="83" t="e">
        <f>SUM(#REF!)</f>
        <v>#REF!</v>
      </c>
      <c r="D21" s="83" t="e">
        <f>SUM(#REF!)</f>
        <v>#REF!</v>
      </c>
      <c r="E21" s="83" t="e">
        <f>SUM(#REF!)</f>
        <v>#REF!</v>
      </c>
      <c r="F21" s="83" t="e">
        <f>SUM(#REF!)</f>
        <v>#REF!</v>
      </c>
      <c r="G21" s="83" t="e">
        <f>SUM(#REF!)</f>
        <v>#REF!</v>
      </c>
      <c r="H21" s="84" t="e">
        <f>SUM(F21+G21)</f>
        <v>#REF!</v>
      </c>
      <c r="I21" s="8" t="e">
        <f t="shared" si="0"/>
        <v>#REF!</v>
      </c>
      <c r="J21" s="8" t="e">
        <f t="shared" si="1"/>
        <v>#REF!</v>
      </c>
    </row>
    <row r="22" spans="1:10">
      <c r="A22" s="93">
        <f t="shared" si="5"/>
        <v>13</v>
      </c>
      <c r="B22" s="808" t="s">
        <v>205</v>
      </c>
      <c r="C22" s="94" t="e">
        <f>SUM(#REF!)</f>
        <v>#REF!</v>
      </c>
      <c r="D22" s="94" t="e">
        <f>SUM(#REF!)</f>
        <v>#REF!</v>
      </c>
      <c r="E22" s="94" t="e">
        <f>SUM(#REF!)</f>
        <v>#REF!</v>
      </c>
      <c r="F22" s="94" t="e">
        <f>SUM(#REF!)</f>
        <v>#REF!</v>
      </c>
      <c r="G22" s="94" t="e">
        <f>SUM(#REF!)</f>
        <v>#REF!</v>
      </c>
      <c r="H22" s="95" t="e">
        <f>SUM(F22+G22)</f>
        <v>#REF!</v>
      </c>
      <c r="I22" s="8" t="e">
        <f t="shared" si="0"/>
        <v>#REF!</v>
      </c>
      <c r="J22" s="8" t="e">
        <f t="shared" si="1"/>
        <v>#REF!</v>
      </c>
    </row>
    <row r="23" spans="1:10" ht="31.5" customHeight="1">
      <c r="A23" s="1317" t="s">
        <v>267</v>
      </c>
      <c r="B23" s="1318"/>
      <c r="C23" s="150" t="e">
        <f t="shared" ref="C23:H23" si="6">SUM(C18:C22)</f>
        <v>#REF!</v>
      </c>
      <c r="D23" s="150" t="e">
        <f t="shared" si="6"/>
        <v>#REF!</v>
      </c>
      <c r="E23" s="150" t="e">
        <f t="shared" si="6"/>
        <v>#REF!</v>
      </c>
      <c r="F23" s="150" t="e">
        <f t="shared" si="6"/>
        <v>#REF!</v>
      </c>
      <c r="G23" s="150" t="e">
        <f t="shared" si="6"/>
        <v>#REF!</v>
      </c>
      <c r="H23" s="150" t="e">
        <f t="shared" si="6"/>
        <v>#REF!</v>
      </c>
      <c r="I23" s="8" t="e">
        <f>SUM(C23+D23-E23)</f>
        <v>#REF!</v>
      </c>
      <c r="J23" s="8" t="e">
        <f>SUM(#REF!+#REF!)</f>
        <v>#REF!</v>
      </c>
    </row>
    <row r="24" spans="1:10">
      <c r="A24" s="1179" t="s">
        <v>266</v>
      </c>
      <c r="B24" s="1179"/>
      <c r="C24" s="1179"/>
      <c r="D24" s="1179"/>
      <c r="E24" s="1179"/>
      <c r="F24" s="1179"/>
      <c r="G24" s="180"/>
      <c r="H24" s="32"/>
      <c r="I24" s="8"/>
      <c r="J24" s="8"/>
    </row>
    <row r="25" spans="1:10">
      <c r="A25" s="79">
        <v>14</v>
      </c>
      <c r="B25" s="802" t="s">
        <v>194</v>
      </c>
      <c r="C25" s="81" t="e">
        <f>SUM(#REF!)</f>
        <v>#REF!</v>
      </c>
      <c r="D25" s="81" t="e">
        <f>SUM(#REF!)</f>
        <v>#REF!</v>
      </c>
      <c r="E25" s="81" t="e">
        <f>SUM(#REF!)</f>
        <v>#REF!</v>
      </c>
      <c r="F25" s="81" t="e">
        <f>SUM(#REF!)</f>
        <v>#REF!</v>
      </c>
      <c r="G25" s="81" t="e">
        <f>SUM(#REF!)</f>
        <v>#REF!</v>
      </c>
      <c r="H25" s="82" t="e">
        <f>SUM(F25+G25)</f>
        <v>#REF!</v>
      </c>
      <c r="I25" s="8" t="e">
        <f t="shared" si="0"/>
        <v>#REF!</v>
      </c>
      <c r="J25" s="8" t="e">
        <f t="shared" si="1"/>
        <v>#REF!</v>
      </c>
    </row>
    <row r="26" spans="1:10">
      <c r="A26" s="80">
        <f t="shared" si="5"/>
        <v>15</v>
      </c>
      <c r="B26" s="803" t="s">
        <v>195</v>
      </c>
      <c r="C26" s="83" t="e">
        <f>SUM(#REF!)</f>
        <v>#REF!</v>
      </c>
      <c r="D26" s="83" t="e">
        <f>SUM(#REF!)</f>
        <v>#REF!</v>
      </c>
      <c r="E26" s="83" t="e">
        <f>SUM(#REF!)</f>
        <v>#REF!</v>
      </c>
      <c r="F26" s="83" t="e">
        <f>SUM(#REF!)</f>
        <v>#REF!</v>
      </c>
      <c r="G26" s="83" t="e">
        <f>SUM(#REF!)</f>
        <v>#REF!</v>
      </c>
      <c r="H26" s="84" t="e">
        <f t="shared" ref="H26:H32" si="7">SUM(F26+G26)</f>
        <v>#REF!</v>
      </c>
      <c r="I26" s="8" t="e">
        <f t="shared" si="0"/>
        <v>#REF!</v>
      </c>
      <c r="J26" s="8" t="e">
        <f t="shared" si="1"/>
        <v>#REF!</v>
      </c>
    </row>
    <row r="27" spans="1:10">
      <c r="A27" s="93">
        <f t="shared" si="5"/>
        <v>16</v>
      </c>
      <c r="B27" s="808" t="s">
        <v>196</v>
      </c>
      <c r="C27" s="94" t="e">
        <f>SUM(#REF!)</f>
        <v>#REF!</v>
      </c>
      <c r="D27" s="94" t="e">
        <f>SUM(#REF!)</f>
        <v>#REF!</v>
      </c>
      <c r="E27" s="94" t="e">
        <f>SUM(#REF!)</f>
        <v>#REF!</v>
      </c>
      <c r="F27" s="94" t="e">
        <f>SUM(#REF!)</f>
        <v>#REF!</v>
      </c>
      <c r="G27" s="94" t="e">
        <f>SUM(#REF!)</f>
        <v>#REF!</v>
      </c>
      <c r="H27" s="95" t="e">
        <f t="shared" si="7"/>
        <v>#REF!</v>
      </c>
      <c r="I27" s="8" t="e">
        <f t="shared" si="0"/>
        <v>#REF!</v>
      </c>
      <c r="J27" s="8" t="e">
        <f t="shared" si="1"/>
        <v>#REF!</v>
      </c>
    </row>
    <row r="28" spans="1:10" hidden="1">
      <c r="A28" s="188">
        <f t="shared" si="5"/>
        <v>17</v>
      </c>
      <c r="B28" s="809" t="s">
        <v>212</v>
      </c>
      <c r="C28" s="21" t="e">
        <f>SUM(#REF!)</f>
        <v>#REF!</v>
      </c>
      <c r="D28" s="21" t="e">
        <f>SUM(#REF!)</f>
        <v>#REF!</v>
      </c>
      <c r="E28" s="21" t="e">
        <f>SUM(#REF!)</f>
        <v>#REF!</v>
      </c>
      <c r="F28" s="21" t="e">
        <f>SUM(#REF!)</f>
        <v>#REF!</v>
      </c>
      <c r="G28" s="21" t="e">
        <f>SUM(#REF!)</f>
        <v>#REF!</v>
      </c>
      <c r="H28" s="119" t="e">
        <f t="shared" si="7"/>
        <v>#REF!</v>
      </c>
      <c r="I28" s="8" t="e">
        <f t="shared" si="0"/>
        <v>#REF!</v>
      </c>
      <c r="J28" s="8" t="e">
        <f t="shared" si="1"/>
        <v>#REF!</v>
      </c>
    </row>
    <row r="29" spans="1:10" hidden="1">
      <c r="A29" s="80">
        <f t="shared" si="5"/>
        <v>18</v>
      </c>
      <c r="B29" s="803" t="s">
        <v>197</v>
      </c>
      <c r="C29" s="81" t="e">
        <f>SUM(#REF!)</f>
        <v>#REF!</v>
      </c>
      <c r="D29" s="81" t="e">
        <f>SUM(#REF!)</f>
        <v>#REF!</v>
      </c>
      <c r="E29" s="81" t="e">
        <f>SUM(#REF!)</f>
        <v>#REF!</v>
      </c>
      <c r="F29" s="81" t="e">
        <f>SUM(#REF!)</f>
        <v>#REF!</v>
      </c>
      <c r="G29" s="81" t="e">
        <f>SUM(#REF!)</f>
        <v>#REF!</v>
      </c>
      <c r="H29" s="84" t="e">
        <f t="shared" si="7"/>
        <v>#REF!</v>
      </c>
      <c r="I29" s="8" t="e">
        <f t="shared" si="0"/>
        <v>#REF!</v>
      </c>
      <c r="J29" s="8" t="e">
        <f t="shared" si="1"/>
        <v>#REF!</v>
      </c>
    </row>
    <row r="30" spans="1:10" hidden="1">
      <c r="A30" s="80">
        <f t="shared" si="5"/>
        <v>19</v>
      </c>
      <c r="B30" s="803" t="s">
        <v>60</v>
      </c>
      <c r="C30" s="81" t="e">
        <f>SUM(#REF!)</f>
        <v>#REF!</v>
      </c>
      <c r="D30" s="81" t="e">
        <f>SUM(#REF!)</f>
        <v>#REF!</v>
      </c>
      <c r="E30" s="81" t="e">
        <f>SUM(#REF!)</f>
        <v>#REF!</v>
      </c>
      <c r="F30" s="81" t="e">
        <f>SUM(#REF!)</f>
        <v>#REF!</v>
      </c>
      <c r="G30" s="81" t="e">
        <f>SUM(#REF!)</f>
        <v>#REF!</v>
      </c>
      <c r="H30" s="84" t="e">
        <f t="shared" si="7"/>
        <v>#REF!</v>
      </c>
      <c r="I30" s="8" t="e">
        <f t="shared" si="0"/>
        <v>#REF!</v>
      </c>
      <c r="J30" s="8" t="e">
        <f t="shared" si="1"/>
        <v>#REF!</v>
      </c>
    </row>
    <row r="31" spans="1:10" hidden="1">
      <c r="A31" s="80">
        <f t="shared" si="5"/>
        <v>20</v>
      </c>
      <c r="B31" s="803" t="s">
        <v>198</v>
      </c>
      <c r="C31" s="81" t="e">
        <f>SUM(#REF!)</f>
        <v>#REF!</v>
      </c>
      <c r="D31" s="81" t="e">
        <f>SUM(#REF!)</f>
        <v>#REF!</v>
      </c>
      <c r="E31" s="81" t="e">
        <f>SUM(#REF!)</f>
        <v>#REF!</v>
      </c>
      <c r="F31" s="81" t="e">
        <f>SUM(#REF!)</f>
        <v>#REF!</v>
      </c>
      <c r="G31" s="81" t="e">
        <f>SUM(#REF!)</f>
        <v>#REF!</v>
      </c>
      <c r="H31" s="84" t="e">
        <f t="shared" si="7"/>
        <v>#REF!</v>
      </c>
      <c r="I31" s="8" t="e">
        <f t="shared" si="0"/>
        <v>#REF!</v>
      </c>
      <c r="J31" s="8" t="e">
        <f t="shared" si="1"/>
        <v>#REF!</v>
      </c>
    </row>
    <row r="32" spans="1:10" hidden="1">
      <c r="A32" s="179">
        <f t="shared" si="5"/>
        <v>21</v>
      </c>
      <c r="B32" s="810" t="s">
        <v>213</v>
      </c>
      <c r="C32" s="81" t="e">
        <f>SUM(#REF!)</f>
        <v>#REF!</v>
      </c>
      <c r="D32" s="81" t="e">
        <f>SUM(#REF!)</f>
        <v>#REF!</v>
      </c>
      <c r="E32" s="81" t="e">
        <f>SUM(#REF!)</f>
        <v>#REF!</v>
      </c>
      <c r="F32" s="81" t="e">
        <f>SUM(#REF!)</f>
        <v>#REF!</v>
      </c>
      <c r="G32" s="81" t="e">
        <f>SUM(#REF!)</f>
        <v>#REF!</v>
      </c>
      <c r="H32" s="84" t="e">
        <f t="shared" si="7"/>
        <v>#REF!</v>
      </c>
      <c r="I32" s="8" t="e">
        <f t="shared" si="0"/>
        <v>#REF!</v>
      </c>
      <c r="J32" s="8" t="e">
        <f t="shared" si="1"/>
        <v>#REF!</v>
      </c>
    </row>
    <row r="33" spans="1:12" ht="25.5" customHeight="1">
      <c r="A33" s="1317" t="s">
        <v>268</v>
      </c>
      <c r="B33" s="1318"/>
      <c r="C33" s="150" t="e">
        <f t="shared" ref="C33:H33" si="8">SUM(C25:C27)</f>
        <v>#REF!</v>
      </c>
      <c r="D33" s="150" t="e">
        <f t="shared" si="8"/>
        <v>#REF!</v>
      </c>
      <c r="E33" s="150" t="e">
        <f t="shared" si="8"/>
        <v>#REF!</v>
      </c>
      <c r="F33" s="150" t="e">
        <f t="shared" si="8"/>
        <v>#REF!</v>
      </c>
      <c r="G33" s="150" t="e">
        <f t="shared" si="8"/>
        <v>#REF!</v>
      </c>
      <c r="H33" s="150" t="e">
        <f t="shared" si="8"/>
        <v>#REF!</v>
      </c>
      <c r="I33" s="8" t="e">
        <f t="shared" si="0"/>
        <v>#REF!</v>
      </c>
      <c r="J33" s="8" t="e">
        <f>SUM(#REF!+#REF!)</f>
        <v>#REF!</v>
      </c>
      <c r="L33" s="8" t="e">
        <f>SUM(G33-J33)</f>
        <v>#REF!</v>
      </c>
    </row>
    <row r="34" spans="1:12">
      <c r="A34" s="1168" t="s">
        <v>72</v>
      </c>
      <c r="B34" s="1168"/>
      <c r="C34" s="1168"/>
      <c r="D34" s="1168"/>
      <c r="E34" s="1168"/>
      <c r="F34" s="1168"/>
      <c r="I34" s="8">
        <f t="shared" si="0"/>
        <v>0</v>
      </c>
      <c r="J34" s="8">
        <f t="shared" si="1"/>
        <v>0</v>
      </c>
    </row>
    <row r="35" spans="1:12" hidden="1">
      <c r="A35" s="189">
        <v>1</v>
      </c>
      <c r="B35" s="811" t="s">
        <v>141</v>
      </c>
      <c r="C35" s="190" t="e">
        <f>SUM(#REF!)</f>
        <v>#REF!</v>
      </c>
      <c r="D35" s="190" t="e">
        <f>SUM(#REF!)</f>
        <v>#REF!</v>
      </c>
      <c r="E35" s="190" t="e">
        <f>SUM(#REF!)</f>
        <v>#REF!</v>
      </c>
      <c r="F35" s="190" t="e">
        <f>SUM(#REF!)</f>
        <v>#REF!</v>
      </c>
      <c r="G35" s="190" t="e">
        <f>SUM(#REF!)</f>
        <v>#REF!</v>
      </c>
      <c r="H35" s="191" t="e">
        <f>SUM(F35+G35)</f>
        <v>#REF!</v>
      </c>
      <c r="I35" s="8" t="e">
        <f t="shared" si="0"/>
        <v>#REF!</v>
      </c>
      <c r="J35" s="8" t="e">
        <f t="shared" si="1"/>
        <v>#REF!</v>
      </c>
    </row>
    <row r="36" spans="1:12">
      <c r="A36" s="79">
        <v>17</v>
      </c>
      <c r="B36" s="802" t="s">
        <v>172</v>
      </c>
      <c r="C36" s="81" t="e">
        <f>SUM(#REF!)</f>
        <v>#REF!</v>
      </c>
      <c r="D36" s="81" t="e">
        <f>SUM(#REF!)</f>
        <v>#REF!</v>
      </c>
      <c r="E36" s="81" t="e">
        <f>SUM(#REF!)</f>
        <v>#REF!</v>
      </c>
      <c r="F36" s="81" t="e">
        <f>SUM(#REF!)</f>
        <v>#REF!</v>
      </c>
      <c r="G36" s="81" t="e">
        <f>SUM(#REF!)</f>
        <v>#REF!</v>
      </c>
      <c r="H36" s="82" t="e">
        <f t="shared" ref="H36:H59" si="9">SUM(F36+G36)</f>
        <v>#REF!</v>
      </c>
      <c r="I36" s="8" t="e">
        <f t="shared" si="0"/>
        <v>#REF!</v>
      </c>
      <c r="J36" s="8" t="e">
        <f t="shared" si="1"/>
        <v>#REF!</v>
      </c>
    </row>
    <row r="37" spans="1:12">
      <c r="A37" s="80">
        <f t="shared" ref="A37:A59" si="10">A36+1</f>
        <v>18</v>
      </c>
      <c r="B37" s="803" t="s">
        <v>445</v>
      </c>
      <c r="C37" s="83" t="e">
        <f>SUM(#REF!)</f>
        <v>#REF!</v>
      </c>
      <c r="D37" s="83" t="e">
        <f>SUM(#REF!)</f>
        <v>#REF!</v>
      </c>
      <c r="E37" s="83" t="e">
        <f>SUM(#REF!)</f>
        <v>#REF!</v>
      </c>
      <c r="F37" s="83" t="e">
        <f>SUM(#REF!)</f>
        <v>#REF!</v>
      </c>
      <c r="G37" s="83" t="e">
        <f>SUM(#REF!)</f>
        <v>#REF!</v>
      </c>
      <c r="H37" s="84" t="e">
        <f t="shared" si="9"/>
        <v>#REF!</v>
      </c>
      <c r="I37" s="8" t="e">
        <f t="shared" si="0"/>
        <v>#REF!</v>
      </c>
      <c r="J37" s="8" t="e">
        <f t="shared" si="1"/>
        <v>#REF!</v>
      </c>
    </row>
    <row r="38" spans="1:12">
      <c r="A38" s="80">
        <f t="shared" si="10"/>
        <v>19</v>
      </c>
      <c r="B38" s="803" t="s">
        <v>173</v>
      </c>
      <c r="C38" s="83" t="e">
        <f>SUM(#REF!)</f>
        <v>#REF!</v>
      </c>
      <c r="D38" s="83" t="e">
        <f>SUM(#REF!)</f>
        <v>#REF!</v>
      </c>
      <c r="E38" s="83" t="e">
        <f>SUM(#REF!)</f>
        <v>#REF!</v>
      </c>
      <c r="F38" s="83" t="e">
        <f>SUM(#REF!)</f>
        <v>#REF!</v>
      </c>
      <c r="G38" s="83" t="e">
        <f>SUM(#REF!)</f>
        <v>#REF!</v>
      </c>
      <c r="H38" s="84" t="e">
        <f t="shared" si="9"/>
        <v>#REF!</v>
      </c>
      <c r="I38" s="8" t="e">
        <f t="shared" si="0"/>
        <v>#REF!</v>
      </c>
      <c r="J38" s="8" t="e">
        <f t="shared" si="1"/>
        <v>#REF!</v>
      </c>
    </row>
    <row r="39" spans="1:12">
      <c r="A39" s="80">
        <f t="shared" si="10"/>
        <v>20</v>
      </c>
      <c r="B39" s="803" t="s">
        <v>174</v>
      </c>
      <c r="C39" s="83" t="e">
        <f>SUM(#REF!)</f>
        <v>#REF!</v>
      </c>
      <c r="D39" s="83" t="e">
        <f>SUM(#REF!)</f>
        <v>#REF!</v>
      </c>
      <c r="E39" s="83" t="e">
        <f>SUM(#REF!)</f>
        <v>#REF!</v>
      </c>
      <c r="F39" s="83" t="e">
        <f>SUM(#REF!)</f>
        <v>#REF!</v>
      </c>
      <c r="G39" s="83" t="e">
        <f>SUM(#REF!)</f>
        <v>#REF!</v>
      </c>
      <c r="H39" s="84" t="e">
        <f t="shared" si="9"/>
        <v>#REF!</v>
      </c>
      <c r="I39" s="8" t="e">
        <f t="shared" si="0"/>
        <v>#REF!</v>
      </c>
      <c r="J39" s="8" t="e">
        <f t="shared" si="1"/>
        <v>#REF!</v>
      </c>
    </row>
    <row r="40" spans="1:12">
      <c r="A40" s="80">
        <f t="shared" si="10"/>
        <v>21</v>
      </c>
      <c r="B40" s="803" t="s">
        <v>446</v>
      </c>
      <c r="C40" s="83" t="e">
        <f>SUM(#REF!)</f>
        <v>#REF!</v>
      </c>
      <c r="D40" s="83" t="e">
        <f>SUM(#REF!)</f>
        <v>#REF!</v>
      </c>
      <c r="E40" s="83" t="e">
        <f>SUM(#REF!)</f>
        <v>#REF!</v>
      </c>
      <c r="F40" s="83" t="e">
        <f>SUM(#REF!)</f>
        <v>#REF!</v>
      </c>
      <c r="G40" s="83" t="e">
        <f>SUM(#REF!)</f>
        <v>#REF!</v>
      </c>
      <c r="H40" s="84" t="e">
        <f t="shared" si="9"/>
        <v>#REF!</v>
      </c>
      <c r="I40" s="8" t="e">
        <f t="shared" si="0"/>
        <v>#REF!</v>
      </c>
      <c r="J40" s="8" t="e">
        <f t="shared" si="1"/>
        <v>#REF!</v>
      </c>
    </row>
    <row r="41" spans="1:12">
      <c r="A41" s="80">
        <f t="shared" si="10"/>
        <v>22</v>
      </c>
      <c r="B41" s="803" t="s">
        <v>142</v>
      </c>
      <c r="C41" s="83" t="e">
        <f>SUM(#REF!)</f>
        <v>#REF!</v>
      </c>
      <c r="D41" s="83" t="e">
        <f>SUM(#REF!)</f>
        <v>#REF!</v>
      </c>
      <c r="E41" s="83" t="e">
        <f>SUM(#REF!)</f>
        <v>#REF!</v>
      </c>
      <c r="F41" s="83" t="e">
        <f>SUM(#REF!)</f>
        <v>#REF!</v>
      </c>
      <c r="G41" s="83" t="e">
        <f>SUM(#REF!)</f>
        <v>#REF!</v>
      </c>
      <c r="H41" s="84" t="e">
        <f t="shared" si="9"/>
        <v>#REF!</v>
      </c>
      <c r="I41" s="8" t="e">
        <f t="shared" si="0"/>
        <v>#REF!</v>
      </c>
      <c r="J41" s="8" t="e">
        <f t="shared" si="1"/>
        <v>#REF!</v>
      </c>
    </row>
    <row r="42" spans="1:12">
      <c r="A42" s="93">
        <f t="shared" si="10"/>
        <v>23</v>
      </c>
      <c r="B42" s="808" t="s">
        <v>208</v>
      </c>
      <c r="C42" s="94" t="e">
        <f>SUM(#REF!)</f>
        <v>#REF!</v>
      </c>
      <c r="D42" s="94" t="e">
        <f>SUM(#REF!)</f>
        <v>#REF!</v>
      </c>
      <c r="E42" s="94" t="e">
        <f>SUM(#REF!)</f>
        <v>#REF!</v>
      </c>
      <c r="F42" s="94" t="e">
        <f>SUM(#REF!)</f>
        <v>#REF!</v>
      </c>
      <c r="G42" s="94" t="e">
        <f>SUM(#REF!)</f>
        <v>#REF!</v>
      </c>
      <c r="H42" s="95" t="e">
        <f t="shared" si="9"/>
        <v>#REF!</v>
      </c>
      <c r="I42" s="8" t="e">
        <f t="shared" si="0"/>
        <v>#REF!</v>
      </c>
      <c r="J42" s="8" t="e">
        <f t="shared" si="1"/>
        <v>#REF!</v>
      </c>
    </row>
    <row r="43" spans="1:12" hidden="1">
      <c r="A43" s="188">
        <f t="shared" si="10"/>
        <v>24</v>
      </c>
      <c r="B43" s="809" t="s">
        <v>176</v>
      </c>
      <c r="C43" s="21" t="e">
        <f>SUM(#REF!)</f>
        <v>#REF!</v>
      </c>
      <c r="D43" s="21" t="e">
        <f>SUM(#REF!)</f>
        <v>#REF!</v>
      </c>
      <c r="E43" s="21" t="e">
        <f>SUM(#REF!)</f>
        <v>#REF!</v>
      </c>
      <c r="F43" s="21" t="e">
        <f>SUM(#REF!)</f>
        <v>#REF!</v>
      </c>
      <c r="G43" s="21" t="e">
        <f>SUM(#REF!)</f>
        <v>#REF!</v>
      </c>
      <c r="H43" s="119" t="e">
        <f t="shared" si="9"/>
        <v>#REF!</v>
      </c>
      <c r="I43" s="8" t="e">
        <f t="shared" si="0"/>
        <v>#REF!</v>
      </c>
      <c r="J43" s="8" t="e">
        <f t="shared" si="1"/>
        <v>#REF!</v>
      </c>
    </row>
    <row r="44" spans="1:12" hidden="1">
      <c r="A44" s="80">
        <f t="shared" si="10"/>
        <v>25</v>
      </c>
      <c r="B44" s="803" t="s">
        <v>177</v>
      </c>
      <c r="C44" s="81" t="e">
        <f>SUM(#REF!)</f>
        <v>#REF!</v>
      </c>
      <c r="D44" s="81" t="e">
        <f>SUM(#REF!)</f>
        <v>#REF!</v>
      </c>
      <c r="E44" s="81" t="e">
        <f>SUM(#REF!)</f>
        <v>#REF!</v>
      </c>
      <c r="F44" s="81" t="e">
        <f>SUM(#REF!)</f>
        <v>#REF!</v>
      </c>
      <c r="G44" s="81" t="e">
        <f>SUM(#REF!)</f>
        <v>#REF!</v>
      </c>
      <c r="H44" s="84" t="e">
        <f t="shared" si="9"/>
        <v>#REF!</v>
      </c>
      <c r="I44" s="8" t="e">
        <f t="shared" si="0"/>
        <v>#REF!</v>
      </c>
      <c r="J44" s="8" t="e">
        <f t="shared" si="1"/>
        <v>#REF!</v>
      </c>
    </row>
    <row r="45" spans="1:12" hidden="1">
      <c r="A45" s="80">
        <f t="shared" si="10"/>
        <v>26</v>
      </c>
      <c r="B45" s="803" t="s">
        <v>178</v>
      </c>
      <c r="C45" s="81" t="e">
        <f>SUM(#REF!)</f>
        <v>#REF!</v>
      </c>
      <c r="D45" s="81" t="e">
        <f>SUM(#REF!)</f>
        <v>#REF!</v>
      </c>
      <c r="E45" s="81" t="e">
        <f>SUM(#REF!)</f>
        <v>#REF!</v>
      </c>
      <c r="F45" s="81" t="e">
        <f>SUM(#REF!)</f>
        <v>#REF!</v>
      </c>
      <c r="G45" s="81" t="e">
        <f>SUM(#REF!)</f>
        <v>#REF!</v>
      </c>
      <c r="H45" s="84" t="e">
        <f t="shared" si="9"/>
        <v>#REF!</v>
      </c>
      <c r="I45" s="8" t="e">
        <f t="shared" si="0"/>
        <v>#REF!</v>
      </c>
      <c r="J45" s="8" t="e">
        <f t="shared" si="1"/>
        <v>#REF!</v>
      </c>
    </row>
    <row r="46" spans="1:12" hidden="1">
      <c r="A46" s="80">
        <f t="shared" si="10"/>
        <v>27</v>
      </c>
      <c r="B46" s="803" t="s">
        <v>179</v>
      </c>
      <c r="C46" s="81" t="e">
        <f>SUM(#REF!)</f>
        <v>#REF!</v>
      </c>
      <c r="D46" s="81" t="e">
        <f>SUM(#REF!)</f>
        <v>#REF!</v>
      </c>
      <c r="E46" s="81" t="e">
        <f>SUM(#REF!)</f>
        <v>#REF!</v>
      </c>
      <c r="F46" s="81" t="e">
        <f>SUM(#REF!)</f>
        <v>#REF!</v>
      </c>
      <c r="G46" s="81" t="e">
        <f>SUM(#REF!)</f>
        <v>#REF!</v>
      </c>
      <c r="H46" s="84" t="e">
        <f t="shared" si="9"/>
        <v>#REF!</v>
      </c>
      <c r="I46" s="8" t="e">
        <f t="shared" si="0"/>
        <v>#REF!</v>
      </c>
      <c r="J46" s="8" t="e">
        <f t="shared" si="1"/>
        <v>#REF!</v>
      </c>
    </row>
    <row r="47" spans="1:12" hidden="1">
      <c r="A47" s="80">
        <f t="shared" si="10"/>
        <v>28</v>
      </c>
      <c r="B47" s="803" t="s">
        <v>180</v>
      </c>
      <c r="C47" s="81" t="e">
        <f>SUM(#REF!)</f>
        <v>#REF!</v>
      </c>
      <c r="D47" s="81" t="e">
        <f>SUM(#REF!)</f>
        <v>#REF!</v>
      </c>
      <c r="E47" s="81" t="e">
        <f>SUM(#REF!)</f>
        <v>#REF!</v>
      </c>
      <c r="F47" s="81" t="e">
        <f>SUM(#REF!)</f>
        <v>#REF!</v>
      </c>
      <c r="G47" s="81" t="e">
        <f>SUM(#REF!)</f>
        <v>#REF!</v>
      </c>
      <c r="H47" s="84" t="e">
        <f t="shared" si="9"/>
        <v>#REF!</v>
      </c>
      <c r="I47" s="8" t="e">
        <f t="shared" si="0"/>
        <v>#REF!</v>
      </c>
      <c r="J47" s="8" t="e">
        <f t="shared" si="1"/>
        <v>#REF!</v>
      </c>
    </row>
    <row r="48" spans="1:12" hidden="1">
      <c r="A48" s="80">
        <f t="shared" si="10"/>
        <v>29</v>
      </c>
      <c r="B48" s="803" t="s">
        <v>181</v>
      </c>
      <c r="C48" s="81" t="e">
        <f>SUM(#REF!)</f>
        <v>#REF!</v>
      </c>
      <c r="D48" s="81" t="e">
        <f>SUM(#REF!)</f>
        <v>#REF!</v>
      </c>
      <c r="E48" s="81" t="e">
        <f>SUM(#REF!)</f>
        <v>#REF!</v>
      </c>
      <c r="F48" s="81" t="e">
        <f>SUM(#REF!)</f>
        <v>#REF!</v>
      </c>
      <c r="G48" s="81" t="e">
        <f>SUM(#REF!)</f>
        <v>#REF!</v>
      </c>
      <c r="H48" s="84" t="e">
        <f t="shared" si="9"/>
        <v>#REF!</v>
      </c>
      <c r="I48" s="8" t="e">
        <f t="shared" si="0"/>
        <v>#REF!</v>
      </c>
      <c r="J48" s="8" t="e">
        <f t="shared" si="1"/>
        <v>#REF!</v>
      </c>
    </row>
    <row r="49" spans="1:10" hidden="1">
      <c r="A49" s="80">
        <f t="shared" si="10"/>
        <v>30</v>
      </c>
      <c r="B49" s="803" t="s">
        <v>209</v>
      </c>
      <c r="C49" s="81" t="e">
        <f>SUM(#REF!)</f>
        <v>#REF!</v>
      </c>
      <c r="D49" s="81" t="e">
        <f>SUM(#REF!)</f>
        <v>#REF!</v>
      </c>
      <c r="E49" s="81" t="e">
        <f>SUM(#REF!)</f>
        <v>#REF!</v>
      </c>
      <c r="F49" s="81" t="e">
        <f>SUM(#REF!)</f>
        <v>#REF!</v>
      </c>
      <c r="G49" s="81" t="e">
        <f>SUM(#REF!)</f>
        <v>#REF!</v>
      </c>
      <c r="H49" s="84" t="e">
        <f t="shared" si="9"/>
        <v>#REF!</v>
      </c>
      <c r="I49" s="8" t="e">
        <f t="shared" si="0"/>
        <v>#REF!</v>
      </c>
      <c r="J49" s="8" t="e">
        <f t="shared" si="1"/>
        <v>#REF!</v>
      </c>
    </row>
    <row r="50" spans="1:10" hidden="1">
      <c r="A50" s="80">
        <f t="shared" si="10"/>
        <v>31</v>
      </c>
      <c r="B50" s="803" t="s">
        <v>182</v>
      </c>
      <c r="C50" s="81" t="e">
        <f>SUM(#REF!)</f>
        <v>#REF!</v>
      </c>
      <c r="D50" s="81" t="e">
        <f>SUM(#REF!)</f>
        <v>#REF!</v>
      </c>
      <c r="E50" s="81" t="e">
        <f>SUM(#REF!)</f>
        <v>#REF!</v>
      </c>
      <c r="F50" s="81" t="e">
        <f>SUM(#REF!)</f>
        <v>#REF!</v>
      </c>
      <c r="G50" s="81" t="e">
        <f>SUM(#REF!)</f>
        <v>#REF!</v>
      </c>
      <c r="H50" s="84" t="e">
        <f t="shared" si="9"/>
        <v>#REF!</v>
      </c>
      <c r="I50" s="8" t="e">
        <f t="shared" si="0"/>
        <v>#REF!</v>
      </c>
      <c r="J50" s="8" t="e">
        <f t="shared" si="1"/>
        <v>#REF!</v>
      </c>
    </row>
    <row r="51" spans="1:10" hidden="1">
      <c r="A51" s="80">
        <f t="shared" si="10"/>
        <v>32</v>
      </c>
      <c r="B51" s="803" t="s">
        <v>183</v>
      </c>
      <c r="C51" s="81" t="e">
        <f>SUM(#REF!)</f>
        <v>#REF!</v>
      </c>
      <c r="D51" s="81" t="e">
        <f>SUM(#REF!)</f>
        <v>#REF!</v>
      </c>
      <c r="E51" s="81" t="e">
        <f>SUM(#REF!)</f>
        <v>#REF!</v>
      </c>
      <c r="F51" s="81" t="e">
        <f>SUM(#REF!)</f>
        <v>#REF!</v>
      </c>
      <c r="G51" s="81" t="e">
        <f>SUM(#REF!)</f>
        <v>#REF!</v>
      </c>
      <c r="H51" s="84" t="e">
        <f t="shared" si="9"/>
        <v>#REF!</v>
      </c>
      <c r="I51" s="8" t="e">
        <f t="shared" si="0"/>
        <v>#REF!</v>
      </c>
      <c r="J51" s="8" t="e">
        <f t="shared" si="1"/>
        <v>#REF!</v>
      </c>
    </row>
    <row r="52" spans="1:10" hidden="1">
      <c r="A52" s="80">
        <f t="shared" si="10"/>
        <v>33</v>
      </c>
      <c r="B52" s="803" t="s">
        <v>184</v>
      </c>
      <c r="C52" s="81" t="e">
        <f>SUM(#REF!)</f>
        <v>#REF!</v>
      </c>
      <c r="D52" s="81" t="e">
        <f>SUM(#REF!)</f>
        <v>#REF!</v>
      </c>
      <c r="E52" s="81" t="e">
        <f>SUM(#REF!)</f>
        <v>#REF!</v>
      </c>
      <c r="F52" s="81" t="e">
        <f>SUM(#REF!)</f>
        <v>#REF!</v>
      </c>
      <c r="G52" s="81" t="e">
        <f>SUM(#REF!)</f>
        <v>#REF!</v>
      </c>
      <c r="H52" s="84" t="e">
        <f t="shared" si="9"/>
        <v>#REF!</v>
      </c>
      <c r="I52" s="8" t="e">
        <f t="shared" si="0"/>
        <v>#REF!</v>
      </c>
      <c r="J52" s="8" t="e">
        <f t="shared" si="1"/>
        <v>#REF!</v>
      </c>
    </row>
    <row r="53" spans="1:10" hidden="1">
      <c r="A53" s="80">
        <f t="shared" si="10"/>
        <v>34</v>
      </c>
      <c r="B53" s="803" t="s">
        <v>185</v>
      </c>
      <c r="C53" s="81" t="e">
        <f>SUM(#REF!)</f>
        <v>#REF!</v>
      </c>
      <c r="D53" s="81" t="e">
        <f>SUM(#REF!)</f>
        <v>#REF!</v>
      </c>
      <c r="E53" s="81" t="e">
        <f>SUM(#REF!)</f>
        <v>#REF!</v>
      </c>
      <c r="F53" s="81" t="e">
        <f>SUM(#REF!)</f>
        <v>#REF!</v>
      </c>
      <c r="G53" s="81" t="e">
        <f>SUM(#REF!)</f>
        <v>#REF!</v>
      </c>
      <c r="H53" s="84" t="e">
        <f t="shared" si="9"/>
        <v>#REF!</v>
      </c>
      <c r="I53" s="8" t="e">
        <f t="shared" si="0"/>
        <v>#REF!</v>
      </c>
      <c r="J53" s="8" t="e">
        <f t="shared" si="1"/>
        <v>#REF!</v>
      </c>
    </row>
    <row r="54" spans="1:10" hidden="1">
      <c r="A54" s="80">
        <f t="shared" si="10"/>
        <v>35</v>
      </c>
      <c r="B54" s="803" t="s">
        <v>186</v>
      </c>
      <c r="C54" s="81" t="e">
        <f>SUM(#REF!)</f>
        <v>#REF!</v>
      </c>
      <c r="D54" s="81" t="e">
        <f>SUM(#REF!)</f>
        <v>#REF!</v>
      </c>
      <c r="E54" s="81" t="e">
        <f>SUM(#REF!)</f>
        <v>#REF!</v>
      </c>
      <c r="F54" s="81" t="e">
        <f>SUM(#REF!)</f>
        <v>#REF!</v>
      </c>
      <c r="G54" s="81" t="e">
        <f>SUM(#REF!)</f>
        <v>#REF!</v>
      </c>
      <c r="H54" s="84" t="e">
        <f t="shared" si="9"/>
        <v>#REF!</v>
      </c>
      <c r="I54" s="8" t="e">
        <f t="shared" si="0"/>
        <v>#REF!</v>
      </c>
      <c r="J54" s="8" t="e">
        <f t="shared" si="1"/>
        <v>#REF!</v>
      </c>
    </row>
    <row r="55" spans="1:10" hidden="1">
      <c r="A55" s="80">
        <f t="shared" si="10"/>
        <v>36</v>
      </c>
      <c r="B55" s="803" t="s">
        <v>187</v>
      </c>
      <c r="C55" s="81" t="e">
        <f>SUM(#REF!)</f>
        <v>#REF!</v>
      </c>
      <c r="D55" s="81" t="e">
        <f>SUM(#REF!)</f>
        <v>#REF!</v>
      </c>
      <c r="E55" s="81" t="e">
        <f>SUM(#REF!)</f>
        <v>#REF!</v>
      </c>
      <c r="F55" s="81" t="e">
        <f>SUM(#REF!)</f>
        <v>#REF!</v>
      </c>
      <c r="G55" s="81" t="e">
        <f>SUM(#REF!)</f>
        <v>#REF!</v>
      </c>
      <c r="H55" s="84" t="e">
        <f t="shared" si="9"/>
        <v>#REF!</v>
      </c>
      <c r="I55" s="8" t="e">
        <f t="shared" si="0"/>
        <v>#REF!</v>
      </c>
      <c r="J55" s="8" t="e">
        <f t="shared" si="1"/>
        <v>#REF!</v>
      </c>
    </row>
    <row r="56" spans="1:10" hidden="1">
      <c r="A56" s="80">
        <f t="shared" si="10"/>
        <v>37</v>
      </c>
      <c r="B56" s="803" t="s">
        <v>188</v>
      </c>
      <c r="C56" s="81" t="e">
        <f>SUM(#REF!)</f>
        <v>#REF!</v>
      </c>
      <c r="D56" s="81" t="e">
        <f>SUM(#REF!)</f>
        <v>#REF!</v>
      </c>
      <c r="E56" s="81" t="e">
        <f>SUM(#REF!)</f>
        <v>#REF!</v>
      </c>
      <c r="F56" s="81" t="e">
        <f>SUM(#REF!)</f>
        <v>#REF!</v>
      </c>
      <c r="G56" s="81" t="e">
        <f>SUM(#REF!)</f>
        <v>#REF!</v>
      </c>
      <c r="H56" s="84" t="e">
        <f t="shared" si="9"/>
        <v>#REF!</v>
      </c>
      <c r="I56" s="8" t="e">
        <f t="shared" si="0"/>
        <v>#REF!</v>
      </c>
      <c r="J56" s="8" t="e">
        <f t="shared" si="1"/>
        <v>#REF!</v>
      </c>
    </row>
    <row r="57" spans="1:10" hidden="1">
      <c r="A57" s="80">
        <f t="shared" si="10"/>
        <v>38</v>
      </c>
      <c r="B57" s="803" t="s">
        <v>189</v>
      </c>
      <c r="C57" s="81" t="e">
        <f>SUM(#REF!)</f>
        <v>#REF!</v>
      </c>
      <c r="D57" s="81" t="e">
        <f>SUM(#REF!)</f>
        <v>#REF!</v>
      </c>
      <c r="E57" s="81" t="e">
        <f>SUM(#REF!)</f>
        <v>#REF!</v>
      </c>
      <c r="F57" s="81" t="e">
        <f>SUM(#REF!)</f>
        <v>#REF!</v>
      </c>
      <c r="G57" s="81" t="e">
        <f>SUM(#REF!)</f>
        <v>#REF!</v>
      </c>
      <c r="H57" s="84" t="e">
        <f t="shared" si="9"/>
        <v>#REF!</v>
      </c>
      <c r="I57" s="8" t="e">
        <f t="shared" si="0"/>
        <v>#REF!</v>
      </c>
      <c r="J57" s="8" t="e">
        <f t="shared" si="1"/>
        <v>#REF!</v>
      </c>
    </row>
    <row r="58" spans="1:10" hidden="1">
      <c r="A58" s="80">
        <f t="shared" si="10"/>
        <v>39</v>
      </c>
      <c r="B58" s="803" t="s">
        <v>210</v>
      </c>
      <c r="C58" s="81" t="e">
        <f>SUM(#REF!)</f>
        <v>#REF!</v>
      </c>
      <c r="D58" s="81" t="e">
        <f>SUM(#REF!)</f>
        <v>#REF!</v>
      </c>
      <c r="E58" s="81" t="e">
        <f>SUM(#REF!)</f>
        <v>#REF!</v>
      </c>
      <c r="F58" s="81" t="e">
        <f>SUM(#REF!)</f>
        <v>#REF!</v>
      </c>
      <c r="G58" s="81" t="e">
        <f>SUM(#REF!)</f>
        <v>#REF!</v>
      </c>
      <c r="H58" s="84" t="e">
        <f t="shared" si="9"/>
        <v>#REF!</v>
      </c>
      <c r="I58" s="8" t="e">
        <f t="shared" si="0"/>
        <v>#REF!</v>
      </c>
      <c r="J58" s="8" t="e">
        <f t="shared" si="1"/>
        <v>#REF!</v>
      </c>
    </row>
    <row r="59" spans="1:10" hidden="1">
      <c r="A59" s="93">
        <f t="shared" si="10"/>
        <v>40</v>
      </c>
      <c r="B59" s="808" t="s">
        <v>211</v>
      </c>
      <c r="C59" s="81" t="e">
        <f>SUM(#REF!)</f>
        <v>#REF!</v>
      </c>
      <c r="D59" s="81" t="e">
        <f>SUM(#REF!)</f>
        <v>#REF!</v>
      </c>
      <c r="E59" s="81" t="e">
        <f>SUM(#REF!)</f>
        <v>#REF!</v>
      </c>
      <c r="F59" s="81" t="e">
        <f>SUM(#REF!)</f>
        <v>#REF!</v>
      </c>
      <c r="G59" s="81" t="e">
        <f>SUM(#REF!)</f>
        <v>#REF!</v>
      </c>
      <c r="H59" s="84" t="e">
        <f t="shared" si="9"/>
        <v>#REF!</v>
      </c>
      <c r="I59" s="8" t="e">
        <f t="shared" si="0"/>
        <v>#REF!</v>
      </c>
      <c r="J59" s="8" t="e">
        <f t="shared" si="1"/>
        <v>#REF!</v>
      </c>
    </row>
    <row r="60" spans="1:10">
      <c r="A60" s="1313" t="s">
        <v>50</v>
      </c>
      <c r="B60" s="1314"/>
      <c r="C60" s="149" t="e">
        <f t="shared" ref="C60:H60" si="11">SUM(C36:C42)</f>
        <v>#REF!</v>
      </c>
      <c r="D60" s="149" t="e">
        <f t="shared" si="11"/>
        <v>#REF!</v>
      </c>
      <c r="E60" s="149" t="e">
        <f t="shared" si="11"/>
        <v>#REF!</v>
      </c>
      <c r="F60" s="149" t="e">
        <f t="shared" si="11"/>
        <v>#REF!</v>
      </c>
      <c r="G60" s="149" t="e">
        <f t="shared" si="11"/>
        <v>#REF!</v>
      </c>
      <c r="H60" s="149" t="e">
        <f t="shared" si="11"/>
        <v>#REF!</v>
      </c>
      <c r="I60" s="8" t="e">
        <f t="shared" si="0"/>
        <v>#REF!</v>
      </c>
      <c r="J60" s="8" t="e">
        <f>SUM(#REF!+#REF!)</f>
        <v>#REF!</v>
      </c>
    </row>
    <row r="61" spans="1:10">
      <c r="A61" s="1168" t="s">
        <v>74</v>
      </c>
      <c r="B61" s="1168"/>
      <c r="C61" s="1168"/>
      <c r="D61" s="1168"/>
      <c r="E61" s="1168"/>
      <c r="F61" s="1168"/>
      <c r="I61" s="8">
        <f t="shared" si="0"/>
        <v>0</v>
      </c>
      <c r="J61" s="8">
        <f t="shared" si="1"/>
        <v>0</v>
      </c>
    </row>
    <row r="62" spans="1:10" hidden="1">
      <c r="A62" s="189">
        <v>47</v>
      </c>
      <c r="B62" s="812" t="s">
        <v>164</v>
      </c>
      <c r="C62" s="190" t="e">
        <f>SUM(#REF!)</f>
        <v>#REF!</v>
      </c>
      <c r="D62" s="190" t="e">
        <f>SUM(#REF!)</f>
        <v>#REF!</v>
      </c>
      <c r="E62" s="190" t="e">
        <f>SUM(#REF!)</f>
        <v>#REF!</v>
      </c>
      <c r="F62" s="190" t="e">
        <f>SUM(#REF!)</f>
        <v>#REF!</v>
      </c>
      <c r="G62" s="190" t="e">
        <f>SUM(#REF!)</f>
        <v>#REF!</v>
      </c>
      <c r="H62" s="191" t="e">
        <f>SUM(F62+G62)</f>
        <v>#REF!</v>
      </c>
      <c r="I62" s="8" t="e">
        <f t="shared" si="0"/>
        <v>#REF!</v>
      </c>
      <c r="J62" s="8" t="e">
        <f t="shared" si="1"/>
        <v>#REF!</v>
      </c>
    </row>
    <row r="63" spans="1:10">
      <c r="A63" s="79">
        <v>24</v>
      </c>
      <c r="B63" s="802" t="s">
        <v>111</v>
      </c>
      <c r="C63" s="81" t="e">
        <f>SUM(#REF!)</f>
        <v>#REF!</v>
      </c>
      <c r="D63" s="81" t="e">
        <f>SUM(#REF!)</f>
        <v>#REF!</v>
      </c>
      <c r="E63" s="81" t="e">
        <f>SUM(#REF!)</f>
        <v>#REF!</v>
      </c>
      <c r="F63" s="81" t="e">
        <f>SUM(#REF!)</f>
        <v>#REF!</v>
      </c>
      <c r="G63" s="81" t="e">
        <f>SUM(#REF!)</f>
        <v>#REF!</v>
      </c>
      <c r="H63" s="82" t="e">
        <f t="shared" ref="H63:H79" si="12">SUM(F63+G63)</f>
        <v>#REF!</v>
      </c>
      <c r="I63" s="8" t="e">
        <f t="shared" si="0"/>
        <v>#REF!</v>
      </c>
      <c r="J63" s="8" t="e">
        <f t="shared" si="1"/>
        <v>#REF!</v>
      </c>
    </row>
    <row r="64" spans="1:10">
      <c r="A64" s="80">
        <f t="shared" ref="A64:A79" si="13">A63+1</f>
        <v>25</v>
      </c>
      <c r="B64" s="803" t="s">
        <v>112</v>
      </c>
      <c r="C64" s="83" t="e">
        <f>SUM(#REF!)</f>
        <v>#REF!</v>
      </c>
      <c r="D64" s="83" t="e">
        <f>SUM(#REF!)</f>
        <v>#REF!</v>
      </c>
      <c r="E64" s="83" t="e">
        <f>SUM(#REF!)</f>
        <v>#REF!</v>
      </c>
      <c r="F64" s="83" t="e">
        <f>SUM(#REF!)</f>
        <v>#REF!</v>
      </c>
      <c r="G64" s="83" t="e">
        <f>SUM(#REF!)</f>
        <v>#REF!</v>
      </c>
      <c r="H64" s="84" t="e">
        <f t="shared" si="12"/>
        <v>#REF!</v>
      </c>
      <c r="I64" s="8" t="e">
        <f t="shared" si="0"/>
        <v>#REF!</v>
      </c>
      <c r="J64" s="8" t="e">
        <f t="shared" si="1"/>
        <v>#REF!</v>
      </c>
    </row>
    <row r="65" spans="1:10" ht="22.5">
      <c r="A65" s="80">
        <f t="shared" si="13"/>
        <v>26</v>
      </c>
      <c r="B65" s="805" t="s">
        <v>150</v>
      </c>
      <c r="C65" s="83" t="e">
        <f>SUM(#REF!)</f>
        <v>#REF!</v>
      </c>
      <c r="D65" s="83" t="e">
        <f>SUM(#REF!)</f>
        <v>#REF!</v>
      </c>
      <c r="E65" s="83" t="e">
        <f>SUM(#REF!)</f>
        <v>#REF!</v>
      </c>
      <c r="F65" s="83" t="e">
        <f>SUM(#REF!)</f>
        <v>#REF!</v>
      </c>
      <c r="G65" s="83" t="e">
        <f>SUM(#REF!)</f>
        <v>#REF!</v>
      </c>
      <c r="H65" s="84" t="e">
        <f t="shared" si="12"/>
        <v>#REF!</v>
      </c>
      <c r="I65" s="8" t="e">
        <f t="shared" si="0"/>
        <v>#REF!</v>
      </c>
      <c r="J65" s="8" t="e">
        <f t="shared" si="1"/>
        <v>#REF!</v>
      </c>
    </row>
    <row r="66" spans="1:10">
      <c r="A66" s="80">
        <f t="shared" si="13"/>
        <v>27</v>
      </c>
      <c r="B66" s="803" t="s">
        <v>129</v>
      </c>
      <c r="C66" s="83" t="e">
        <f>SUM(#REF!)</f>
        <v>#REF!</v>
      </c>
      <c r="D66" s="83" t="e">
        <f>SUM(#REF!)</f>
        <v>#REF!</v>
      </c>
      <c r="E66" s="83" t="e">
        <f>SUM(#REF!)</f>
        <v>#REF!</v>
      </c>
      <c r="F66" s="83" t="e">
        <f>SUM(#REF!)</f>
        <v>#REF!</v>
      </c>
      <c r="G66" s="83" t="e">
        <f>SUM(#REF!)</f>
        <v>#REF!</v>
      </c>
      <c r="H66" s="84" t="e">
        <f t="shared" si="12"/>
        <v>#REF!</v>
      </c>
      <c r="I66" s="8" t="e">
        <f t="shared" si="0"/>
        <v>#REF!</v>
      </c>
      <c r="J66" s="8" t="e">
        <f t="shared" si="1"/>
        <v>#REF!</v>
      </c>
    </row>
    <row r="67" spans="1:10">
      <c r="A67" s="80">
        <f t="shared" si="13"/>
        <v>28</v>
      </c>
      <c r="B67" s="803" t="s">
        <v>145</v>
      </c>
      <c r="C67" s="83" t="e">
        <f>SUM(#REF!)</f>
        <v>#REF!</v>
      </c>
      <c r="D67" s="83" t="e">
        <f>SUM(#REF!)</f>
        <v>#REF!</v>
      </c>
      <c r="E67" s="83" t="e">
        <f>SUM(#REF!)</f>
        <v>#REF!</v>
      </c>
      <c r="F67" s="83" t="e">
        <f>SUM(#REF!)</f>
        <v>#REF!</v>
      </c>
      <c r="G67" s="83" t="e">
        <f>SUM(#REF!)</f>
        <v>#REF!</v>
      </c>
      <c r="H67" s="84" t="e">
        <f t="shared" si="12"/>
        <v>#REF!</v>
      </c>
      <c r="I67" s="8" t="e">
        <f t="shared" si="0"/>
        <v>#REF!</v>
      </c>
      <c r="J67" s="8" t="e">
        <f t="shared" si="1"/>
        <v>#REF!</v>
      </c>
    </row>
    <row r="68" spans="1:10">
      <c r="A68" s="80">
        <f t="shared" si="13"/>
        <v>29</v>
      </c>
      <c r="B68" s="803" t="s">
        <v>146</v>
      </c>
      <c r="C68" s="83" t="e">
        <f>SUM(#REF!)</f>
        <v>#REF!</v>
      </c>
      <c r="D68" s="83" t="e">
        <f>SUM(#REF!)</f>
        <v>#REF!</v>
      </c>
      <c r="E68" s="83" t="e">
        <f>SUM(#REF!)</f>
        <v>#REF!</v>
      </c>
      <c r="F68" s="83" t="e">
        <f>SUM(#REF!)</f>
        <v>#REF!</v>
      </c>
      <c r="G68" s="83" t="e">
        <f>SUM(#REF!)</f>
        <v>#REF!</v>
      </c>
      <c r="H68" s="84" t="e">
        <f t="shared" si="12"/>
        <v>#REF!</v>
      </c>
      <c r="I68" s="8" t="e">
        <f t="shared" si="0"/>
        <v>#REF!</v>
      </c>
      <c r="J68" s="8" t="e">
        <f t="shared" si="1"/>
        <v>#REF!</v>
      </c>
    </row>
    <row r="69" spans="1:10">
      <c r="A69" s="93">
        <f t="shared" si="13"/>
        <v>30</v>
      </c>
      <c r="B69" s="808" t="s">
        <v>165</v>
      </c>
      <c r="C69" s="94" t="e">
        <f>SUM(#REF!)</f>
        <v>#REF!</v>
      </c>
      <c r="D69" s="94" t="e">
        <f>SUM(#REF!)</f>
        <v>#REF!</v>
      </c>
      <c r="E69" s="94" t="e">
        <f>SUM(#REF!)</f>
        <v>#REF!</v>
      </c>
      <c r="F69" s="94" t="e">
        <f>SUM(#REF!)</f>
        <v>#REF!</v>
      </c>
      <c r="G69" s="94" t="e">
        <f>SUM(#REF!)</f>
        <v>#REF!</v>
      </c>
      <c r="H69" s="95" t="e">
        <f t="shared" si="12"/>
        <v>#REF!</v>
      </c>
      <c r="I69" s="8" t="e">
        <f t="shared" si="0"/>
        <v>#REF!</v>
      </c>
      <c r="J69" s="8" t="e">
        <f t="shared" si="1"/>
        <v>#REF!</v>
      </c>
    </row>
    <row r="70" spans="1:10" hidden="1">
      <c r="A70" s="188">
        <f t="shared" si="13"/>
        <v>31</v>
      </c>
      <c r="B70" s="809" t="s">
        <v>166</v>
      </c>
      <c r="C70" s="21" t="e">
        <f>SUM(#REF!)</f>
        <v>#REF!</v>
      </c>
      <c r="D70" s="21" t="e">
        <f>SUM(#REF!)</f>
        <v>#REF!</v>
      </c>
      <c r="E70" s="21" t="e">
        <f>SUM(#REF!)</f>
        <v>#REF!</v>
      </c>
      <c r="F70" s="21" t="e">
        <f>SUM(#REF!)</f>
        <v>#REF!</v>
      </c>
      <c r="G70" s="21" t="e">
        <f>SUM(#REF!)</f>
        <v>#REF!</v>
      </c>
      <c r="H70" s="119" t="e">
        <f t="shared" si="12"/>
        <v>#REF!</v>
      </c>
      <c r="I70" s="8" t="e">
        <f t="shared" si="0"/>
        <v>#REF!</v>
      </c>
      <c r="J70" s="8" t="e">
        <f t="shared" si="1"/>
        <v>#REF!</v>
      </c>
    </row>
    <row r="71" spans="1:10" hidden="1">
      <c r="A71" s="80">
        <f t="shared" si="13"/>
        <v>32</v>
      </c>
      <c r="B71" s="803" t="s">
        <v>167</v>
      </c>
      <c r="C71" s="81" t="e">
        <f>SUM(#REF!)</f>
        <v>#REF!</v>
      </c>
      <c r="D71" s="81" t="e">
        <f>SUM(#REF!)</f>
        <v>#REF!</v>
      </c>
      <c r="E71" s="81" t="e">
        <f>SUM(#REF!)</f>
        <v>#REF!</v>
      </c>
      <c r="F71" s="81" t="e">
        <f>SUM(#REF!)</f>
        <v>#REF!</v>
      </c>
      <c r="G71" s="81" t="e">
        <f>SUM(#REF!)</f>
        <v>#REF!</v>
      </c>
      <c r="H71" s="84" t="e">
        <f t="shared" si="12"/>
        <v>#REF!</v>
      </c>
      <c r="I71" s="8" t="e">
        <f t="shared" ref="I71:I80" si="14">SUM(C71+D71-E71)</f>
        <v>#REF!</v>
      </c>
      <c r="J71" s="8" t="e">
        <f t="shared" ref="J71:J79" si="15">SUM(F71-I71)</f>
        <v>#REF!</v>
      </c>
    </row>
    <row r="72" spans="1:10" hidden="1">
      <c r="A72" s="80">
        <f t="shared" si="13"/>
        <v>33</v>
      </c>
      <c r="B72" s="803" t="s">
        <v>168</v>
      </c>
      <c r="C72" s="81" t="e">
        <f>SUM(#REF!)</f>
        <v>#REF!</v>
      </c>
      <c r="D72" s="81" t="e">
        <f>SUM(#REF!)</f>
        <v>#REF!</v>
      </c>
      <c r="E72" s="81" t="e">
        <f>SUM(#REF!)</f>
        <v>#REF!</v>
      </c>
      <c r="F72" s="81" t="e">
        <f>SUM(#REF!)</f>
        <v>#REF!</v>
      </c>
      <c r="G72" s="81" t="e">
        <f>SUM(#REF!)</f>
        <v>#REF!</v>
      </c>
      <c r="H72" s="84" t="e">
        <f t="shared" si="12"/>
        <v>#REF!</v>
      </c>
      <c r="I72" s="8" t="e">
        <f t="shared" si="14"/>
        <v>#REF!</v>
      </c>
      <c r="J72" s="8" t="e">
        <f t="shared" si="15"/>
        <v>#REF!</v>
      </c>
    </row>
    <row r="73" spans="1:10" hidden="1">
      <c r="A73" s="80">
        <f t="shared" si="13"/>
        <v>34</v>
      </c>
      <c r="B73" s="803" t="s">
        <v>169</v>
      </c>
      <c r="C73" s="81" t="e">
        <f>SUM(#REF!)</f>
        <v>#REF!</v>
      </c>
      <c r="D73" s="81" t="e">
        <f>SUM(#REF!)</f>
        <v>#REF!</v>
      </c>
      <c r="E73" s="81" t="e">
        <f>SUM(#REF!)</f>
        <v>#REF!</v>
      </c>
      <c r="F73" s="81" t="e">
        <f>SUM(#REF!)</f>
        <v>#REF!</v>
      </c>
      <c r="G73" s="81" t="e">
        <f>SUM(#REF!)</f>
        <v>#REF!</v>
      </c>
      <c r="H73" s="84" t="e">
        <f t="shared" si="12"/>
        <v>#REF!</v>
      </c>
      <c r="I73" s="8" t="e">
        <f t="shared" si="14"/>
        <v>#REF!</v>
      </c>
      <c r="J73" s="8" t="e">
        <f t="shared" si="15"/>
        <v>#REF!</v>
      </c>
    </row>
    <row r="74" spans="1:10" hidden="1">
      <c r="A74" s="80">
        <f t="shared" si="13"/>
        <v>35</v>
      </c>
      <c r="B74" s="803" t="s">
        <v>170</v>
      </c>
      <c r="C74" s="81" t="e">
        <f>SUM(#REF!)</f>
        <v>#REF!</v>
      </c>
      <c r="D74" s="81" t="e">
        <f>SUM(#REF!)</f>
        <v>#REF!</v>
      </c>
      <c r="E74" s="81" t="e">
        <f>SUM(#REF!)</f>
        <v>#REF!</v>
      </c>
      <c r="F74" s="81" t="e">
        <f>SUM(#REF!)</f>
        <v>#REF!</v>
      </c>
      <c r="G74" s="81" t="e">
        <f>SUM(#REF!)</f>
        <v>#REF!</v>
      </c>
      <c r="H74" s="84" t="e">
        <f t="shared" si="12"/>
        <v>#REF!</v>
      </c>
      <c r="I74" s="8" t="e">
        <f t="shared" si="14"/>
        <v>#REF!</v>
      </c>
      <c r="J74" s="8" t="e">
        <f t="shared" si="15"/>
        <v>#REF!</v>
      </c>
    </row>
    <row r="75" spans="1:10" hidden="1">
      <c r="A75" s="80">
        <f t="shared" si="13"/>
        <v>36</v>
      </c>
      <c r="B75" s="803" t="s">
        <v>206</v>
      </c>
      <c r="C75" s="81" t="e">
        <f>SUM(#REF!)</f>
        <v>#REF!</v>
      </c>
      <c r="D75" s="81" t="e">
        <f>SUM(#REF!)</f>
        <v>#REF!</v>
      </c>
      <c r="E75" s="81" t="e">
        <f>SUM(#REF!)</f>
        <v>#REF!</v>
      </c>
      <c r="F75" s="81" t="e">
        <f>SUM(#REF!)</f>
        <v>#REF!</v>
      </c>
      <c r="G75" s="81" t="e">
        <f>SUM(#REF!)</f>
        <v>#REF!</v>
      </c>
      <c r="H75" s="84" t="e">
        <f t="shared" si="12"/>
        <v>#REF!</v>
      </c>
      <c r="I75" s="8" t="e">
        <f t="shared" si="14"/>
        <v>#REF!</v>
      </c>
      <c r="J75" s="8" t="e">
        <f t="shared" si="15"/>
        <v>#REF!</v>
      </c>
    </row>
    <row r="76" spans="1:10" hidden="1">
      <c r="A76" s="80">
        <f t="shared" si="13"/>
        <v>37</v>
      </c>
      <c r="B76" s="803" t="s">
        <v>207</v>
      </c>
      <c r="C76" s="81" t="e">
        <f>SUM(#REF!)</f>
        <v>#REF!</v>
      </c>
      <c r="D76" s="81" t="e">
        <f>SUM(#REF!)</f>
        <v>#REF!</v>
      </c>
      <c r="E76" s="81" t="e">
        <f>SUM(#REF!)</f>
        <v>#REF!</v>
      </c>
      <c r="F76" s="81" t="e">
        <f>SUM(#REF!)</f>
        <v>#REF!</v>
      </c>
      <c r="G76" s="81" t="e">
        <f>SUM(#REF!)</f>
        <v>#REF!</v>
      </c>
      <c r="H76" s="84" t="e">
        <f t="shared" si="12"/>
        <v>#REF!</v>
      </c>
      <c r="I76" s="8" t="e">
        <f t="shared" si="14"/>
        <v>#REF!</v>
      </c>
      <c r="J76" s="8" t="e">
        <f t="shared" si="15"/>
        <v>#REF!</v>
      </c>
    </row>
    <row r="77" spans="1:10" hidden="1">
      <c r="A77" s="80">
        <f t="shared" si="13"/>
        <v>38</v>
      </c>
      <c r="B77" s="803" t="s">
        <v>171</v>
      </c>
      <c r="C77" s="81" t="e">
        <f>SUM(#REF!)</f>
        <v>#REF!</v>
      </c>
      <c r="D77" s="81" t="e">
        <f>SUM(#REF!)</f>
        <v>#REF!</v>
      </c>
      <c r="E77" s="81" t="e">
        <f>SUM(#REF!)</f>
        <v>#REF!</v>
      </c>
      <c r="F77" s="81" t="e">
        <f>SUM(#REF!)</f>
        <v>#REF!</v>
      </c>
      <c r="G77" s="81" t="e">
        <f>SUM(#REF!)</f>
        <v>#REF!</v>
      </c>
      <c r="H77" s="84" t="e">
        <f t="shared" si="12"/>
        <v>#REF!</v>
      </c>
      <c r="I77" s="8" t="e">
        <f t="shared" si="14"/>
        <v>#REF!</v>
      </c>
      <c r="J77" s="8" t="e">
        <f t="shared" si="15"/>
        <v>#REF!</v>
      </c>
    </row>
    <row r="78" spans="1:10" hidden="1">
      <c r="A78" s="80">
        <f t="shared" si="13"/>
        <v>39</v>
      </c>
      <c r="B78" s="803" t="s">
        <v>14</v>
      </c>
      <c r="C78" s="81" t="e">
        <f>SUM(#REF!)</f>
        <v>#REF!</v>
      </c>
      <c r="D78" s="81" t="e">
        <f>SUM(#REF!)</f>
        <v>#REF!</v>
      </c>
      <c r="E78" s="81" t="e">
        <f>SUM(#REF!)</f>
        <v>#REF!</v>
      </c>
      <c r="F78" s="81" t="e">
        <f>SUM(#REF!)</f>
        <v>#REF!</v>
      </c>
      <c r="G78" s="81" t="e">
        <f>SUM(#REF!)</f>
        <v>#REF!</v>
      </c>
      <c r="H78" s="84" t="e">
        <f t="shared" si="12"/>
        <v>#REF!</v>
      </c>
      <c r="I78" s="8" t="e">
        <f t="shared" si="14"/>
        <v>#REF!</v>
      </c>
      <c r="J78" s="8" t="e">
        <f t="shared" si="15"/>
        <v>#REF!</v>
      </c>
    </row>
    <row r="79" spans="1:10" hidden="1">
      <c r="A79" s="93">
        <f t="shared" si="13"/>
        <v>40</v>
      </c>
      <c r="B79" s="808" t="s">
        <v>15</v>
      </c>
      <c r="C79" s="81" t="e">
        <f>SUM(#REF!)</f>
        <v>#REF!</v>
      </c>
      <c r="D79" s="81" t="e">
        <f>SUM(#REF!)</f>
        <v>#REF!</v>
      </c>
      <c r="E79" s="81" t="e">
        <f>SUM(#REF!)</f>
        <v>#REF!</v>
      </c>
      <c r="F79" s="81" t="e">
        <f>SUM(#REF!)</f>
        <v>#REF!</v>
      </c>
      <c r="G79" s="81" t="e">
        <f>SUM(#REF!)</f>
        <v>#REF!</v>
      </c>
      <c r="H79" s="84" t="e">
        <f t="shared" si="12"/>
        <v>#REF!</v>
      </c>
      <c r="I79" s="8" t="e">
        <f t="shared" si="14"/>
        <v>#REF!</v>
      </c>
      <c r="J79" s="8" t="e">
        <f t="shared" si="15"/>
        <v>#REF!</v>
      </c>
    </row>
    <row r="80" spans="1:10">
      <c r="A80" s="1315" t="s">
        <v>73</v>
      </c>
      <c r="B80" s="1316"/>
      <c r="C80" s="151" t="e">
        <f t="shared" ref="C80:H80" si="16">SUM(C63:C69)</f>
        <v>#REF!</v>
      </c>
      <c r="D80" s="151" t="e">
        <f t="shared" si="16"/>
        <v>#REF!</v>
      </c>
      <c r="E80" s="151" t="e">
        <f t="shared" si="16"/>
        <v>#REF!</v>
      </c>
      <c r="F80" s="151" t="e">
        <f t="shared" si="16"/>
        <v>#REF!</v>
      </c>
      <c r="G80" s="151" t="e">
        <f t="shared" si="16"/>
        <v>#REF!</v>
      </c>
      <c r="H80" s="151" t="e">
        <f t="shared" si="16"/>
        <v>#REF!</v>
      </c>
      <c r="I80" s="8" t="e">
        <f t="shared" si="14"/>
        <v>#REF!</v>
      </c>
      <c r="J80" s="8" t="e">
        <f>SUM(#REF!+#REF!)</f>
        <v>#REF!</v>
      </c>
    </row>
    <row r="81" spans="1:10" hidden="1">
      <c r="A81" s="1168" t="s">
        <v>7</v>
      </c>
      <c r="B81" s="1168"/>
      <c r="C81" s="1168"/>
      <c r="D81" s="1168"/>
      <c r="E81" s="1168"/>
      <c r="F81" s="1168"/>
    </row>
    <row r="82" spans="1:10" hidden="1">
      <c r="A82" s="79">
        <v>65</v>
      </c>
      <c r="B82" s="802" t="s">
        <v>161</v>
      </c>
      <c r="C82" s="81" t="e">
        <f>SUM(#REF!)</f>
        <v>#REF!</v>
      </c>
      <c r="D82" s="81" t="e">
        <f>SUM(#REF!)</f>
        <v>#REF!</v>
      </c>
      <c r="E82" s="81" t="e">
        <f>SUM(#REF!)</f>
        <v>#REF!</v>
      </c>
      <c r="F82" s="81" t="e">
        <f>SUM(#REF!)</f>
        <v>#REF!</v>
      </c>
      <c r="G82" s="171" t="e">
        <f>SUM(#REF!)</f>
        <v>#REF!</v>
      </c>
      <c r="H82" s="82" t="e">
        <f>SUM(F82+G82)</f>
        <v>#REF!</v>
      </c>
      <c r="I82" s="8" t="e">
        <f t="shared" ref="I82:I88" si="17">SUM(C82+D82-E82)</f>
        <v>#REF!</v>
      </c>
      <c r="J82" s="8" t="e">
        <f t="shared" ref="J82:J88" si="18">SUM(F82-I82)</f>
        <v>#REF!</v>
      </c>
    </row>
    <row r="83" spans="1:10" hidden="1">
      <c r="A83" s="80">
        <f>A82+1</f>
        <v>66</v>
      </c>
      <c r="B83" s="803" t="s">
        <v>162</v>
      </c>
      <c r="C83" s="81" t="e">
        <f>SUM(#REF!)</f>
        <v>#REF!</v>
      </c>
      <c r="D83" s="81" t="e">
        <f>SUM(#REF!)</f>
        <v>#REF!</v>
      </c>
      <c r="E83" s="81" t="e">
        <f>SUM(#REF!)</f>
        <v>#REF!</v>
      </c>
      <c r="F83" s="81" t="e">
        <f>SUM(#REF!)</f>
        <v>#REF!</v>
      </c>
      <c r="G83" s="171" t="e">
        <f>SUM(#REF!)</f>
        <v>#REF!</v>
      </c>
      <c r="H83" s="84" t="e">
        <f>SUM(F83+G83)</f>
        <v>#REF!</v>
      </c>
      <c r="I83" s="8" t="e">
        <f t="shared" si="17"/>
        <v>#REF!</v>
      </c>
      <c r="J83" s="8" t="e">
        <f t="shared" si="18"/>
        <v>#REF!</v>
      </c>
    </row>
    <row r="84" spans="1:10" hidden="1">
      <c r="A84" s="80">
        <f>A83+1</f>
        <v>67</v>
      </c>
      <c r="B84" s="803" t="s">
        <v>24</v>
      </c>
      <c r="C84" s="81" t="e">
        <f>SUM(#REF!)</f>
        <v>#REF!</v>
      </c>
      <c r="D84" s="81" t="e">
        <f>SUM(#REF!)</f>
        <v>#REF!</v>
      </c>
      <c r="E84" s="81" t="e">
        <f>SUM(#REF!)</f>
        <v>#REF!</v>
      </c>
      <c r="F84" s="81" t="e">
        <f>SUM(#REF!)</f>
        <v>#REF!</v>
      </c>
      <c r="G84" s="171" t="e">
        <f>SUM(#REF!)</f>
        <v>#REF!</v>
      </c>
      <c r="H84" s="84" t="e">
        <f>SUM(F84+G84)</f>
        <v>#REF!</v>
      </c>
      <c r="I84" s="8" t="e">
        <f t="shared" si="17"/>
        <v>#REF!</v>
      </c>
      <c r="J84" s="8" t="e">
        <f t="shared" si="18"/>
        <v>#REF!</v>
      </c>
    </row>
    <row r="85" spans="1:10" hidden="1">
      <c r="A85" s="93">
        <f>A84+1</f>
        <v>68</v>
      </c>
      <c r="B85" s="813" t="s">
        <v>163</v>
      </c>
      <c r="C85" s="81" t="e">
        <f>SUM(#REF!)</f>
        <v>#REF!</v>
      </c>
      <c r="D85" s="81" t="e">
        <f>SUM(#REF!)</f>
        <v>#REF!</v>
      </c>
      <c r="E85" s="81" t="e">
        <f>SUM(#REF!)</f>
        <v>#REF!</v>
      </c>
      <c r="F85" s="81" t="e">
        <f>SUM(#REF!)</f>
        <v>#REF!</v>
      </c>
      <c r="G85" s="171" t="e">
        <f>SUM(#REF!)</f>
        <v>#REF!</v>
      </c>
      <c r="H85" s="84" t="e">
        <f>SUM(F85+G85)</f>
        <v>#REF!</v>
      </c>
      <c r="I85" s="8" t="e">
        <f t="shared" si="17"/>
        <v>#REF!</v>
      </c>
      <c r="J85" s="8" t="e">
        <f t="shared" si="18"/>
        <v>#REF!</v>
      </c>
    </row>
    <row r="86" spans="1:10" hidden="1">
      <c r="A86" s="1313" t="s">
        <v>26</v>
      </c>
      <c r="B86" s="1314"/>
      <c r="C86" s="149" t="e">
        <f t="shared" ref="C86:H86" si="19">SUM(C82:C85)</f>
        <v>#REF!</v>
      </c>
      <c r="D86" s="149" t="e">
        <f t="shared" si="19"/>
        <v>#REF!</v>
      </c>
      <c r="E86" s="149" t="e">
        <f t="shared" si="19"/>
        <v>#REF!</v>
      </c>
      <c r="F86" s="149" t="e">
        <f t="shared" si="19"/>
        <v>#REF!</v>
      </c>
      <c r="G86" s="149" t="e">
        <f t="shared" si="19"/>
        <v>#REF!</v>
      </c>
      <c r="H86" s="149" t="e">
        <f t="shared" si="19"/>
        <v>#REF!</v>
      </c>
      <c r="I86" s="8" t="e">
        <f t="shared" si="17"/>
        <v>#REF!</v>
      </c>
      <c r="J86" s="8" t="e">
        <f>SUM(#REF!+#REF!)</f>
        <v>#REF!</v>
      </c>
    </row>
    <row r="87" spans="1:10" hidden="1">
      <c r="A87" s="5"/>
      <c r="B87" s="807"/>
      <c r="C87" s="33"/>
      <c r="D87" s="33"/>
      <c r="E87" s="33"/>
      <c r="F87" s="33"/>
      <c r="I87" s="8">
        <f t="shared" si="17"/>
        <v>0</v>
      </c>
      <c r="J87" s="8">
        <f t="shared" si="18"/>
        <v>0</v>
      </c>
    </row>
    <row r="88" spans="1:10" ht="69" hidden="1" customHeight="1">
      <c r="A88" s="1160" t="s">
        <v>247</v>
      </c>
      <c r="B88" s="1174"/>
      <c r="C88" s="159">
        <v>743909000</v>
      </c>
      <c r="D88" s="159">
        <v>0</v>
      </c>
      <c r="E88" s="159">
        <v>0</v>
      </c>
      <c r="F88" s="159">
        <v>743909000</v>
      </c>
      <c r="I88" s="8">
        <f t="shared" si="17"/>
        <v>743909000</v>
      </c>
      <c r="J88" s="8">
        <f t="shared" si="18"/>
        <v>0</v>
      </c>
    </row>
    <row r="89" spans="1:10" ht="66" hidden="1" customHeight="1">
      <c r="A89" s="1162" t="s">
        <v>248</v>
      </c>
      <c r="B89" s="1175"/>
      <c r="C89" s="96">
        <v>743909000</v>
      </c>
      <c r="D89" s="96">
        <v>0</v>
      </c>
      <c r="E89" s="96">
        <v>0</v>
      </c>
      <c r="F89" s="96">
        <v>743909000</v>
      </c>
      <c r="I89" s="8"/>
      <c r="J89" s="8"/>
    </row>
    <row r="90" spans="1:10" hidden="1">
      <c r="A90" s="5"/>
      <c r="B90" s="807"/>
      <c r="C90" s="33"/>
      <c r="D90" s="33"/>
      <c r="E90" s="33"/>
      <c r="F90" s="33"/>
    </row>
    <row r="92" spans="1:10">
      <c r="A92" s="1172" t="s">
        <v>77</v>
      </c>
      <c r="B92" s="1173"/>
      <c r="C92" s="96" t="e">
        <f t="shared" ref="C92:H92" si="20">SUM(C80+C60+C33+C16+C23)</f>
        <v>#REF!</v>
      </c>
      <c r="D92" s="96" t="e">
        <f t="shared" si="20"/>
        <v>#REF!</v>
      </c>
      <c r="E92" s="96" t="e">
        <f t="shared" si="20"/>
        <v>#REF!</v>
      </c>
      <c r="F92" s="96" t="e">
        <f t="shared" si="20"/>
        <v>#REF!</v>
      </c>
      <c r="G92" s="96" t="e">
        <f t="shared" si="20"/>
        <v>#REF!</v>
      </c>
      <c r="H92" s="96" t="e">
        <f t="shared" si="20"/>
        <v>#REF!</v>
      </c>
    </row>
    <row r="93" spans="1:10" ht="13.5" customHeight="1"/>
    <row r="94" spans="1:10" ht="21.75" customHeight="1">
      <c r="B94" s="800" t="s">
        <v>260</v>
      </c>
      <c r="D94" s="8"/>
      <c r="E94" s="8"/>
      <c r="F94" s="8"/>
      <c r="I94" s="8"/>
    </row>
    <row r="95" spans="1:10">
      <c r="B95" s="1124" t="s">
        <v>259</v>
      </c>
      <c r="C95" s="1124"/>
      <c r="D95" s="1124"/>
      <c r="E95" s="8"/>
      <c r="F95" s="8"/>
      <c r="G95" s="8"/>
    </row>
    <row r="96" spans="1:10">
      <c r="C96" s="8"/>
      <c r="G96" s="8"/>
    </row>
    <row r="97" spans="4:6">
      <c r="D97" s="8"/>
      <c r="E97" s="8" t="e">
        <f>SUM(C92+D92-E92)</f>
        <v>#REF!</v>
      </c>
      <c r="F97" s="8"/>
    </row>
    <row r="98" spans="4:6">
      <c r="D98" s="8"/>
    </row>
    <row r="99" spans="4:6">
      <c r="D99" s="8"/>
      <c r="E99" s="8"/>
    </row>
    <row r="101" spans="4:6">
      <c r="E101" s="8"/>
    </row>
    <row r="103" spans="4:6">
      <c r="D103" s="8"/>
    </row>
  </sheetData>
  <mergeCells count="26">
    <mergeCell ref="G4:G5"/>
    <mergeCell ref="H4:H5"/>
    <mergeCell ref="A7:F7"/>
    <mergeCell ref="A16:B16"/>
    <mergeCell ref="A1:F1"/>
    <mergeCell ref="A2:F2"/>
    <mergeCell ref="A4:A5"/>
    <mergeCell ref="B4:B5"/>
    <mergeCell ref="C4:C5"/>
    <mergeCell ref="D4:D5"/>
    <mergeCell ref="E4:E5"/>
    <mergeCell ref="F4:F5"/>
    <mergeCell ref="A34:F34"/>
    <mergeCell ref="A60:B60"/>
    <mergeCell ref="A61:F61"/>
    <mergeCell ref="A80:B80"/>
    <mergeCell ref="A17:F17"/>
    <mergeCell ref="A23:B23"/>
    <mergeCell ref="A24:F24"/>
    <mergeCell ref="A33:B33"/>
    <mergeCell ref="A92:B92"/>
    <mergeCell ref="B95:D95"/>
    <mergeCell ref="A81:F81"/>
    <mergeCell ref="A86:B86"/>
    <mergeCell ref="A88:B88"/>
    <mergeCell ref="A89:B89"/>
  </mergeCells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Лист23">
    <tabColor indexed="53"/>
  </sheetPr>
  <dimension ref="A1:H92"/>
  <sheetViews>
    <sheetView topLeftCell="A34" zoomScale="75" workbookViewId="0">
      <selection activeCell="D90" sqref="D90"/>
    </sheetView>
  </sheetViews>
  <sheetFormatPr defaultColWidth="9.140625" defaultRowHeight="22.5"/>
  <cols>
    <col min="1" max="1" width="7" style="863" customWidth="1"/>
    <col min="2" max="2" width="54.7109375" style="864" customWidth="1"/>
    <col min="3" max="3" width="22.28515625" style="863" customWidth="1"/>
    <col min="4" max="4" width="22.42578125" style="863" customWidth="1"/>
    <col min="5" max="5" width="9.140625" style="865"/>
    <col min="6" max="6" width="18.140625" style="865" customWidth="1"/>
    <col min="7" max="7" width="18.5703125" style="865" customWidth="1"/>
    <col min="8" max="8" width="16.7109375" style="865" customWidth="1"/>
    <col min="9" max="16384" width="9.140625" style="865"/>
  </cols>
  <sheetData>
    <row r="1" spans="1:8" hidden="1"/>
    <row r="2" spans="1:8" hidden="1"/>
    <row r="3" spans="1:8" ht="24" hidden="1" customHeight="1">
      <c r="A3" s="1330"/>
      <c r="B3" s="1330"/>
      <c r="C3" s="1330"/>
      <c r="D3" s="1330"/>
    </row>
    <row r="4" spans="1:8" ht="57" customHeight="1">
      <c r="A4" s="1331" t="s">
        <v>438</v>
      </c>
      <c r="B4" s="1331"/>
      <c r="C4" s="1331"/>
      <c r="D4" s="1331"/>
    </row>
    <row r="5" spans="1:8" ht="23.25" customHeight="1">
      <c r="A5" s="866"/>
      <c r="B5" s="1332" t="e">
        <f>CLEAN(#REF!)</f>
        <v>#REF!</v>
      </c>
      <c r="C5" s="1332"/>
      <c r="D5" s="976" t="s">
        <v>104</v>
      </c>
      <c r="E5" s="867"/>
      <c r="F5" s="209">
        <v>1000</v>
      </c>
    </row>
    <row r="6" spans="1:8" ht="22.5" customHeight="1">
      <c r="A6" s="1333" t="s">
        <v>105</v>
      </c>
      <c r="B6" s="1334" t="s">
        <v>106</v>
      </c>
      <c r="C6" s="1335" t="s">
        <v>388</v>
      </c>
      <c r="D6" s="1335"/>
    </row>
    <row r="7" spans="1:8" ht="57.75" customHeight="1">
      <c r="A7" s="1333"/>
      <c r="B7" s="1334"/>
      <c r="C7" s="966" t="s">
        <v>118</v>
      </c>
      <c r="D7" s="992" t="s">
        <v>389</v>
      </c>
      <c r="E7" s="868"/>
      <c r="F7" s="857"/>
    </row>
    <row r="8" spans="1:8" ht="24" customHeight="1">
      <c r="A8" s="968">
        <v>1</v>
      </c>
      <c r="B8" s="969">
        <v>2</v>
      </c>
      <c r="C8" s="967">
        <v>3</v>
      </c>
      <c r="D8" s="970">
        <v>4</v>
      </c>
      <c r="E8" s="868"/>
      <c r="F8" s="857"/>
    </row>
    <row r="9" spans="1:8" ht="22.5" customHeight="1">
      <c r="A9" s="1328" t="s">
        <v>107</v>
      </c>
      <c r="B9" s="1328"/>
      <c r="C9" s="1328"/>
      <c r="D9" s="1328"/>
      <c r="E9" s="857"/>
      <c r="F9" s="880"/>
    </row>
    <row r="10" spans="1:8" ht="21.95" customHeight="1">
      <c r="A10" s="858">
        <v>1</v>
      </c>
      <c r="B10" s="869" t="s">
        <v>138</v>
      </c>
      <c r="C10" s="977" t="e">
        <f>(SUM('Общ свод район (пог+выд)сомони'!D9))/1000</f>
        <v>#REF!</v>
      </c>
      <c r="D10" s="978" t="e">
        <f>#REF!/1000</f>
        <v>#REF!</v>
      </c>
      <c r="E10" s="857"/>
      <c r="F10" s="964" t="e">
        <f>SUM(C10-D10)</f>
        <v>#REF!</v>
      </c>
      <c r="G10" s="209" t="e">
        <f>(SUM(#REF!)/1000)</f>
        <v>#REF!</v>
      </c>
      <c r="H10" s="870" t="e">
        <f t="shared" ref="H10:H18" si="0">SUM(D10-G10)</f>
        <v>#REF!</v>
      </c>
    </row>
    <row r="11" spans="1:8" ht="21.95" customHeight="1">
      <c r="A11" s="859">
        <f>A10+1</f>
        <v>2</v>
      </c>
      <c r="B11" s="871" t="s">
        <v>139</v>
      </c>
      <c r="C11" s="979" t="e">
        <f>(SUM('Общ свод район (пог+выд)сомони'!D10))/1000</f>
        <v>#REF!</v>
      </c>
      <c r="D11" s="980" t="e">
        <f>#REF!/1000</f>
        <v>#REF!</v>
      </c>
      <c r="E11" s="1329"/>
      <c r="F11" s="965" t="e">
        <f t="shared" ref="F11:F17" si="1">SUM(C11-D11)</f>
        <v>#REF!</v>
      </c>
      <c r="G11" s="209" t="e">
        <f>(SUM(#REF!)/1000)</f>
        <v>#REF!</v>
      </c>
      <c r="H11" s="870" t="e">
        <f t="shared" si="0"/>
        <v>#REF!</v>
      </c>
    </row>
    <row r="12" spans="1:8" ht="21.95" customHeight="1">
      <c r="A12" s="859">
        <v>3</v>
      </c>
      <c r="B12" s="871" t="s">
        <v>64</v>
      </c>
      <c r="C12" s="979" t="e">
        <f>(SUM('Общ свод район (пог+выд)сомони'!D11))/1000</f>
        <v>#REF!</v>
      </c>
      <c r="D12" s="980" t="e">
        <f>#REF!/1000</f>
        <v>#REF!</v>
      </c>
      <c r="E12" s="1329"/>
      <c r="F12" s="965" t="e">
        <f t="shared" si="1"/>
        <v>#REF!</v>
      </c>
      <c r="G12" s="209" t="e">
        <f>(SUM(#REF!)/1000)</f>
        <v>#REF!</v>
      </c>
      <c r="H12" s="870" t="e">
        <f t="shared" si="0"/>
        <v>#REF!</v>
      </c>
    </row>
    <row r="13" spans="1:8" ht="21.95" customHeight="1">
      <c r="A13" s="859">
        <v>4</v>
      </c>
      <c r="B13" s="871" t="s">
        <v>65</v>
      </c>
      <c r="C13" s="979" t="e">
        <f>(SUM('Общ свод район (пог+выд)сомони'!D12))/1000</f>
        <v>#REF!</v>
      </c>
      <c r="D13" s="980" t="e">
        <f>#REF!/1000</f>
        <v>#REF!</v>
      </c>
      <c r="E13" s="857"/>
      <c r="F13" s="965" t="e">
        <f t="shared" si="1"/>
        <v>#REF!</v>
      </c>
      <c r="G13" s="209" t="e">
        <f>(SUM(#REF!)/1000)</f>
        <v>#REF!</v>
      </c>
      <c r="H13" s="870" t="e">
        <f t="shared" si="0"/>
        <v>#REF!</v>
      </c>
    </row>
    <row r="14" spans="1:8" ht="21.95" customHeight="1">
      <c r="A14" s="859">
        <v>5</v>
      </c>
      <c r="B14" s="871" t="s">
        <v>66</v>
      </c>
      <c r="C14" s="979" t="e">
        <f>(SUM('Общ свод район (пог+выд)сомони'!D13))/1000</f>
        <v>#REF!</v>
      </c>
      <c r="D14" s="980" t="e">
        <f>#REF!/1000</f>
        <v>#REF!</v>
      </c>
      <c r="F14" s="870" t="e">
        <f t="shared" si="1"/>
        <v>#REF!</v>
      </c>
      <c r="G14" s="209" t="e">
        <f>(SUM(#REF!)/1000)</f>
        <v>#REF!</v>
      </c>
      <c r="H14" s="870" t="e">
        <f t="shared" si="0"/>
        <v>#REF!</v>
      </c>
    </row>
    <row r="15" spans="1:8" ht="21.95" customHeight="1">
      <c r="A15" s="859">
        <f>A14+1</f>
        <v>6</v>
      </c>
      <c r="B15" s="871" t="s">
        <v>67</v>
      </c>
      <c r="C15" s="979" t="e">
        <f>(SUM('Общ свод район (пог+выд)сомони'!D14))/1000</f>
        <v>#REF!</v>
      </c>
      <c r="D15" s="980" t="e">
        <f>#REF!/1000</f>
        <v>#REF!</v>
      </c>
      <c r="F15" s="870" t="e">
        <f t="shared" si="1"/>
        <v>#REF!</v>
      </c>
      <c r="G15" s="209" t="e">
        <f>(SUM(#REF!)/1000)</f>
        <v>#REF!</v>
      </c>
      <c r="H15" s="870" t="e">
        <f t="shared" si="0"/>
        <v>#REF!</v>
      </c>
    </row>
    <row r="16" spans="1:8" ht="21.95" customHeight="1">
      <c r="A16" s="859">
        <f>A15+1</f>
        <v>7</v>
      </c>
      <c r="B16" s="871" t="s">
        <v>68</v>
      </c>
      <c r="C16" s="979" t="e">
        <f>(SUM('Общ свод район (пог+выд)сомони'!D15))/1000</f>
        <v>#REF!</v>
      </c>
      <c r="D16" s="980" t="e">
        <f>#REF!/1000</f>
        <v>#REF!</v>
      </c>
      <c r="F16" s="872" t="e">
        <f t="shared" si="1"/>
        <v>#REF!</v>
      </c>
      <c r="G16" s="209" t="e">
        <f>(SUM(#REF!)/1000)</f>
        <v>#REF!</v>
      </c>
      <c r="H16" s="870" t="e">
        <f t="shared" si="0"/>
        <v>#REF!</v>
      </c>
    </row>
    <row r="17" spans="1:8" ht="21.95" customHeight="1">
      <c r="A17" s="974">
        <f>A16+1</f>
        <v>8</v>
      </c>
      <c r="B17" s="975" t="s">
        <v>69</v>
      </c>
      <c r="C17" s="981" t="e">
        <f>(SUM('Общ свод район (пог+выд)сомони'!D16))/1000</f>
        <v>#REF!</v>
      </c>
      <c r="D17" s="982" t="e">
        <f>#REF!/1000</f>
        <v>#REF!</v>
      </c>
      <c r="F17" s="870" t="e">
        <f t="shared" si="1"/>
        <v>#REF!</v>
      </c>
      <c r="G17" s="209" t="e">
        <f>(SUM(#REF!)/1000)</f>
        <v>#REF!</v>
      </c>
      <c r="H17" s="870" t="e">
        <f t="shared" si="0"/>
        <v>#REF!</v>
      </c>
    </row>
    <row r="18" spans="1:8" ht="22.5" customHeight="1">
      <c r="A18" s="1324" t="s">
        <v>71</v>
      </c>
      <c r="B18" s="1324"/>
      <c r="C18" s="983" t="e">
        <f>SUM(C10:C17)</f>
        <v>#REF!</v>
      </c>
      <c r="D18" s="984" t="e">
        <f>SUM(D10:D17)</f>
        <v>#REF!</v>
      </c>
      <c r="F18" s="999" t="e">
        <f>SUM(F10:F17)</f>
        <v>#REF!</v>
      </c>
      <c r="G18" s="999" t="e">
        <f>SUM(G10:G17)</f>
        <v>#REF!</v>
      </c>
      <c r="H18" s="870" t="e">
        <f t="shared" si="0"/>
        <v>#REF!</v>
      </c>
    </row>
    <row r="19" spans="1:8" ht="22.5" customHeight="1">
      <c r="A19" s="1325" t="s">
        <v>269</v>
      </c>
      <c r="B19" s="1325"/>
      <c r="C19" s="1325"/>
      <c r="D19" s="1325"/>
      <c r="H19" s="870">
        <f>SUM(C19-'район без курсовой'!D18)</f>
        <v>0</v>
      </c>
    </row>
    <row r="20" spans="1:8" ht="21.95" customHeight="1">
      <c r="A20" s="858">
        <f>A17+1</f>
        <v>9</v>
      </c>
      <c r="B20" s="869" t="s">
        <v>51</v>
      </c>
      <c r="C20" s="977" t="e">
        <f>(SUM('Общ свод район (пог+выд)сомони'!D19))/1000</f>
        <v>#REF!</v>
      </c>
      <c r="D20" s="978" t="e">
        <f>#REF!/1000</f>
        <v>#REF!</v>
      </c>
      <c r="F20" s="870" t="e">
        <f t="shared" ref="F20:F35" si="2">SUM(C20-D20)</f>
        <v>#REF!</v>
      </c>
      <c r="G20" s="209" t="e">
        <f>(SUM(#REF!)/1000)</f>
        <v>#REF!</v>
      </c>
      <c r="H20" s="870" t="e">
        <f t="shared" ref="H20:H83" si="3">SUM(D20-G20)</f>
        <v>#REF!</v>
      </c>
    </row>
    <row r="21" spans="1:8" ht="21.95" customHeight="1">
      <c r="A21" s="859">
        <f t="shared" ref="A21:A34" si="4">A20+1</f>
        <v>10</v>
      </c>
      <c r="B21" s="871" t="s">
        <v>52</v>
      </c>
      <c r="C21" s="979" t="e">
        <f>(SUM('Общ свод район (пог+выд)сомони'!D20))/1000</f>
        <v>#REF!</v>
      </c>
      <c r="D21" s="980" t="e">
        <f>#REF!/1000</f>
        <v>#REF!</v>
      </c>
      <c r="F21" s="870" t="e">
        <f t="shared" si="2"/>
        <v>#REF!</v>
      </c>
      <c r="G21" s="209" t="e">
        <f>(SUM(#REF!)/1000)</f>
        <v>#REF!</v>
      </c>
      <c r="H21" s="870" t="e">
        <f t="shared" si="3"/>
        <v>#REF!</v>
      </c>
    </row>
    <row r="22" spans="1:8" ht="21.95" customHeight="1">
      <c r="A22" s="859">
        <f t="shared" si="4"/>
        <v>11</v>
      </c>
      <c r="B22" s="871" t="s">
        <v>53</v>
      </c>
      <c r="C22" s="979" t="e">
        <f>(SUM('Общ свод район (пог+выд)сомони'!D21))/1000</f>
        <v>#REF!</v>
      </c>
      <c r="D22" s="980" t="e">
        <f>#REF!/1000</f>
        <v>#REF!</v>
      </c>
      <c r="F22" s="873" t="e">
        <f t="shared" si="2"/>
        <v>#REF!</v>
      </c>
      <c r="G22" s="209" t="e">
        <f>(SUM(#REF!)/1000)</f>
        <v>#REF!</v>
      </c>
      <c r="H22" s="870" t="e">
        <f t="shared" si="3"/>
        <v>#REF!</v>
      </c>
    </row>
    <row r="23" spans="1:8" ht="21.95" customHeight="1">
      <c r="A23" s="859">
        <f t="shared" si="4"/>
        <v>12</v>
      </c>
      <c r="B23" s="871" t="s">
        <v>54</v>
      </c>
      <c r="C23" s="979" t="e">
        <f>(SUM('Общ свод район (пог+выд)сомони'!D22))/1000</f>
        <v>#REF!</v>
      </c>
      <c r="D23" s="980" t="e">
        <f>#REF!/1000</f>
        <v>#REF!</v>
      </c>
      <c r="F23" s="870" t="e">
        <f t="shared" si="2"/>
        <v>#REF!</v>
      </c>
      <c r="G23" s="209" t="e">
        <f>(SUM(#REF!)/1000)</f>
        <v>#REF!</v>
      </c>
      <c r="H23" s="870" t="e">
        <f t="shared" si="3"/>
        <v>#REF!</v>
      </c>
    </row>
    <row r="24" spans="1:8" ht="21.95" customHeight="1">
      <c r="A24" s="971">
        <f t="shared" si="4"/>
        <v>13</v>
      </c>
      <c r="B24" s="972" t="s">
        <v>95</v>
      </c>
      <c r="C24" s="985" t="e">
        <f>(SUM('Общ свод район (пог+выд)сомони'!D23))/1000</f>
        <v>#REF!</v>
      </c>
      <c r="D24" s="986" t="e">
        <f>#REF!/1000</f>
        <v>#REF!</v>
      </c>
      <c r="F24" s="870" t="e">
        <f t="shared" si="2"/>
        <v>#REF!</v>
      </c>
      <c r="G24" s="209" t="e">
        <f>(SUM(#REF!)/1000)</f>
        <v>#REF!</v>
      </c>
      <c r="H24" s="870" t="e">
        <f t="shared" si="3"/>
        <v>#REF!</v>
      </c>
    </row>
    <row r="25" spans="1:8" ht="26.25" customHeight="1">
      <c r="A25" s="1324" t="s">
        <v>267</v>
      </c>
      <c r="B25" s="1324"/>
      <c r="C25" s="983" t="e">
        <f>SUM(C20:C24)</f>
        <v>#REF!</v>
      </c>
      <c r="D25" s="987" t="e">
        <f>SUM(D20:D24)</f>
        <v>#REF!</v>
      </c>
      <c r="E25" s="870"/>
      <c r="F25" s="999" t="e">
        <f>SUM(C25-D25)</f>
        <v>#REF!</v>
      </c>
      <c r="G25" s="999" t="e">
        <f>SUM(G20:G24)</f>
        <v>#REF!</v>
      </c>
      <c r="H25" s="870" t="e">
        <f t="shared" si="3"/>
        <v>#REF!</v>
      </c>
    </row>
    <row r="26" spans="1:8" ht="22.5" customHeight="1">
      <c r="A26" s="1325" t="s">
        <v>266</v>
      </c>
      <c r="B26" s="1325"/>
      <c r="C26" s="1325"/>
      <c r="D26" s="1325"/>
      <c r="H26" s="870">
        <f t="shared" si="3"/>
        <v>0</v>
      </c>
    </row>
    <row r="27" spans="1:8" ht="21.95" customHeight="1">
      <c r="A27" s="858">
        <f>A24+1</f>
        <v>14</v>
      </c>
      <c r="B27" s="869" t="s">
        <v>59</v>
      </c>
      <c r="C27" s="977" t="e">
        <f>(SUM('Общ свод район (пог+выд)сомони'!D26))/1000</f>
        <v>#REF!</v>
      </c>
      <c r="D27" s="978" t="e">
        <f>#REF!/1000</f>
        <v>#REF!</v>
      </c>
      <c r="F27" s="870" t="e">
        <f t="shared" si="2"/>
        <v>#REF!</v>
      </c>
      <c r="G27" s="209" t="e">
        <f>(SUM(#REF!)/1000)</f>
        <v>#REF!</v>
      </c>
      <c r="H27" s="870" t="e">
        <f t="shared" si="3"/>
        <v>#REF!</v>
      </c>
    </row>
    <row r="28" spans="1:8" ht="21.95" customHeight="1">
      <c r="A28" s="859">
        <f t="shared" si="4"/>
        <v>15</v>
      </c>
      <c r="B28" s="871" t="s">
        <v>56</v>
      </c>
      <c r="C28" s="979" t="e">
        <f>(SUM('Общ свод район (пог+выд)сомони'!D27))/1000</f>
        <v>#REF!</v>
      </c>
      <c r="D28" s="980" t="e">
        <f>#REF!/1000</f>
        <v>#REF!</v>
      </c>
      <c r="F28" s="873" t="e">
        <f t="shared" si="2"/>
        <v>#REF!</v>
      </c>
      <c r="G28" s="209" t="e">
        <f>(SUM(#REF!)/1000)</f>
        <v>#REF!</v>
      </c>
      <c r="H28" s="870" t="e">
        <f t="shared" si="3"/>
        <v>#REF!</v>
      </c>
    </row>
    <row r="29" spans="1:8" ht="21.95" customHeight="1">
      <c r="A29" s="859">
        <f t="shared" si="4"/>
        <v>16</v>
      </c>
      <c r="B29" s="871" t="s">
        <v>140</v>
      </c>
      <c r="C29" s="979" t="e">
        <f>(SUM('Общ свод район (пог+выд)сомони'!D28))/1000</f>
        <v>#REF!</v>
      </c>
      <c r="D29" s="980" t="e">
        <f>#REF!/1000</f>
        <v>#REF!</v>
      </c>
      <c r="F29" s="870" t="e">
        <f t="shared" si="2"/>
        <v>#REF!</v>
      </c>
      <c r="G29" s="209" t="e">
        <f>(SUM(#REF!)/1000)</f>
        <v>#REF!</v>
      </c>
      <c r="H29" s="870" t="e">
        <f t="shared" si="3"/>
        <v>#REF!</v>
      </c>
    </row>
    <row r="30" spans="1:8" ht="21.95" customHeight="1">
      <c r="A30" s="859">
        <v>17</v>
      </c>
      <c r="B30" s="871" t="s">
        <v>58</v>
      </c>
      <c r="C30" s="979" t="e">
        <f>(SUM('Общ свод район (пог+выд)сомони'!D29))/1000</f>
        <v>#REF!</v>
      </c>
      <c r="D30" s="980" t="e">
        <f>#REF!/1000</f>
        <v>#REF!</v>
      </c>
      <c r="F30" s="870" t="e">
        <f t="shared" si="2"/>
        <v>#REF!</v>
      </c>
      <c r="G30" s="209" t="e">
        <f>(SUM(#REF!)/1000)</f>
        <v>#REF!</v>
      </c>
      <c r="H30" s="870" t="e">
        <f t="shared" si="3"/>
        <v>#REF!</v>
      </c>
    </row>
    <row r="31" spans="1:8" ht="21.95" customHeight="1">
      <c r="A31" s="859">
        <f t="shared" si="4"/>
        <v>18</v>
      </c>
      <c r="B31" s="874" t="s">
        <v>57</v>
      </c>
      <c r="C31" s="979" t="e">
        <f>(SUM('Общ свод район (пог+выд)сомони'!D30))/1000</f>
        <v>#REF!</v>
      </c>
      <c r="D31" s="980" t="e">
        <f>#REF!/1000</f>
        <v>#REF!</v>
      </c>
      <c r="F31" s="870" t="e">
        <f>SUM(C31-D31)</f>
        <v>#REF!</v>
      </c>
      <c r="G31" s="209" t="e">
        <f>(SUM(#REF!)/1000)</f>
        <v>#REF!</v>
      </c>
      <c r="H31" s="870" t="e">
        <f t="shared" si="3"/>
        <v>#REF!</v>
      </c>
    </row>
    <row r="32" spans="1:8" ht="21.95" customHeight="1">
      <c r="A32" s="859">
        <f t="shared" si="4"/>
        <v>19</v>
      </c>
      <c r="B32" s="874" t="s">
        <v>108</v>
      </c>
      <c r="C32" s="979" t="e">
        <f>(SUM('Общ свод район (пог+выд)сомони'!D31))/1000</f>
        <v>#REF!</v>
      </c>
      <c r="D32" s="980" t="e">
        <f>#REF!/1000</f>
        <v>#REF!</v>
      </c>
      <c r="F32" s="870" t="e">
        <f t="shared" si="2"/>
        <v>#REF!</v>
      </c>
      <c r="G32" s="209" t="e">
        <f>(SUM(#REF!)/1000)</f>
        <v>#REF!</v>
      </c>
      <c r="H32" s="870" t="e">
        <f t="shared" si="3"/>
        <v>#REF!</v>
      </c>
    </row>
    <row r="33" spans="1:8" ht="21.95" customHeight="1">
      <c r="A33" s="859">
        <f t="shared" si="4"/>
        <v>20</v>
      </c>
      <c r="B33" s="874" t="s">
        <v>61</v>
      </c>
      <c r="C33" s="979" t="e">
        <f>(SUM('Общ свод район (пог+выд)сомони'!D32))/1000</f>
        <v>#REF!</v>
      </c>
      <c r="D33" s="980" t="e">
        <f>#REF!/1000</f>
        <v>#REF!</v>
      </c>
      <c r="F33" s="870" t="e">
        <f t="shared" si="2"/>
        <v>#REF!</v>
      </c>
      <c r="G33" s="209" t="e">
        <f>(SUM(#REF!)/1000)</f>
        <v>#REF!</v>
      </c>
      <c r="H33" s="870" t="e">
        <f t="shared" si="3"/>
        <v>#REF!</v>
      </c>
    </row>
    <row r="34" spans="1:8" ht="21.95" customHeight="1">
      <c r="A34" s="971">
        <f t="shared" si="4"/>
        <v>21</v>
      </c>
      <c r="B34" s="973" t="s">
        <v>109</v>
      </c>
      <c r="C34" s="985" t="e">
        <f>(SUM('Общ свод район (пог+выд)сомони'!D33))/1000</f>
        <v>#REF!</v>
      </c>
      <c r="D34" s="986" t="e">
        <f>#REF!/1000</f>
        <v>#REF!</v>
      </c>
      <c r="F34" s="870" t="e">
        <f t="shared" si="2"/>
        <v>#REF!</v>
      </c>
      <c r="G34" s="209" t="e">
        <f>(SUM(#REF!)/1000)</f>
        <v>#REF!</v>
      </c>
      <c r="H34" s="870" t="e">
        <f t="shared" si="3"/>
        <v>#REF!</v>
      </c>
    </row>
    <row r="35" spans="1:8" ht="24" customHeight="1">
      <c r="A35" s="1324" t="s">
        <v>268</v>
      </c>
      <c r="B35" s="1324"/>
      <c r="C35" s="983" t="e">
        <f>SUM(C27:C34)</f>
        <v>#REF!</v>
      </c>
      <c r="D35" s="987" t="e">
        <f>SUM(D27:D34)</f>
        <v>#REF!</v>
      </c>
      <c r="E35" s="870"/>
      <c r="F35" s="999" t="e">
        <f t="shared" si="2"/>
        <v>#REF!</v>
      </c>
      <c r="G35" s="999" t="e">
        <f>SUM(G27:G34)</f>
        <v>#REF!</v>
      </c>
      <c r="H35" s="870" t="e">
        <f t="shared" si="3"/>
        <v>#REF!</v>
      </c>
    </row>
    <row r="36" spans="1:8" ht="22.5" customHeight="1">
      <c r="A36" s="1325" t="s">
        <v>72</v>
      </c>
      <c r="B36" s="1325"/>
      <c r="C36" s="1325"/>
      <c r="D36" s="1325"/>
      <c r="H36" s="870">
        <f t="shared" si="3"/>
        <v>0</v>
      </c>
    </row>
    <row r="37" spans="1:8" ht="21.95" customHeight="1">
      <c r="A37" s="858">
        <v>22</v>
      </c>
      <c r="B37" s="875" t="s">
        <v>141</v>
      </c>
      <c r="C37" s="977" t="e">
        <f>(SUM('Общ свод район (пог+выд)сомони'!D36))/1000</f>
        <v>#REF!</v>
      </c>
      <c r="D37" s="978" t="e">
        <f>#REF!/1000</f>
        <v>#REF!</v>
      </c>
      <c r="F37" s="870" t="e">
        <f t="shared" ref="F37:F61" si="5">SUM(C37-D37)</f>
        <v>#REF!</v>
      </c>
      <c r="G37" s="209" t="e">
        <f>(SUM(#REF!)/1000)</f>
        <v>#REF!</v>
      </c>
      <c r="H37" s="870" t="e">
        <f t="shared" si="3"/>
        <v>#REF!</v>
      </c>
    </row>
    <row r="38" spans="1:8" ht="21.95" customHeight="1">
      <c r="A38" s="859">
        <f>A37+1</f>
        <v>23</v>
      </c>
      <c r="B38" s="871" t="s">
        <v>31</v>
      </c>
      <c r="C38" s="979" t="e">
        <f>(SUM('Общ свод район (пог+выд)сомони'!D37))/1000</f>
        <v>#REF!</v>
      </c>
      <c r="D38" s="980" t="e">
        <f>#REF!/1000</f>
        <v>#REF!</v>
      </c>
      <c r="F38" s="870" t="e">
        <f t="shared" si="5"/>
        <v>#REF!</v>
      </c>
      <c r="G38" s="209" t="e">
        <f>(SUM(#REF!)/1000)</f>
        <v>#REF!</v>
      </c>
      <c r="H38" s="870" t="e">
        <f t="shared" si="3"/>
        <v>#REF!</v>
      </c>
    </row>
    <row r="39" spans="1:8" ht="21.95" customHeight="1">
      <c r="A39" s="859">
        <f t="shared" ref="A39:A61" si="6">A38+1</f>
        <v>24</v>
      </c>
      <c r="B39" s="871" t="s">
        <v>36</v>
      </c>
      <c r="C39" s="979" t="e">
        <f>(SUM('Общ свод район (пог+выд)сомони'!D38))/1000</f>
        <v>#REF!</v>
      </c>
      <c r="D39" s="980" t="e">
        <f>#REF!/1000</f>
        <v>#REF!</v>
      </c>
      <c r="F39" s="870" t="e">
        <f t="shared" si="5"/>
        <v>#REF!</v>
      </c>
      <c r="G39" s="209" t="e">
        <f>(SUM(#REF!)/1000)</f>
        <v>#REF!</v>
      </c>
      <c r="H39" s="870" t="e">
        <f t="shared" si="3"/>
        <v>#REF!</v>
      </c>
    </row>
    <row r="40" spans="1:8" ht="21.95" customHeight="1">
      <c r="A40" s="859">
        <f t="shared" si="6"/>
        <v>25</v>
      </c>
      <c r="B40" s="871" t="s">
        <v>44</v>
      </c>
      <c r="C40" s="979" t="e">
        <f>(SUM('Общ свод район (пог+выд)сомони'!D39))/1000</f>
        <v>#REF!</v>
      </c>
      <c r="D40" s="980" t="e">
        <f>#REF!/1000</f>
        <v>#REF!</v>
      </c>
      <c r="F40" s="870" t="e">
        <f t="shared" si="5"/>
        <v>#REF!</v>
      </c>
      <c r="G40" s="209" t="e">
        <f>(SUM(#REF!)/1000)</f>
        <v>#REF!</v>
      </c>
      <c r="H40" s="870" t="e">
        <f t="shared" si="3"/>
        <v>#REF!</v>
      </c>
    </row>
    <row r="41" spans="1:8" ht="21.95" customHeight="1">
      <c r="A41" s="859">
        <f t="shared" si="6"/>
        <v>26</v>
      </c>
      <c r="B41" s="871" t="s">
        <v>28</v>
      </c>
      <c r="C41" s="979" t="e">
        <f>(SUM('Общ свод район (пог+выд)сомони'!D40))/1000</f>
        <v>#REF!</v>
      </c>
      <c r="D41" s="980" t="e">
        <f>#REF!/1000</f>
        <v>#REF!</v>
      </c>
      <c r="F41" s="870" t="e">
        <f t="shared" si="5"/>
        <v>#REF!</v>
      </c>
      <c r="G41" s="209" t="e">
        <f>(SUM(#REF!)/1000)</f>
        <v>#REF!</v>
      </c>
      <c r="H41" s="870" t="e">
        <f t="shared" si="3"/>
        <v>#REF!</v>
      </c>
    </row>
    <row r="42" spans="1:8" ht="21.95" customHeight="1">
      <c r="A42" s="859">
        <f t="shared" si="6"/>
        <v>27</v>
      </c>
      <c r="B42" s="871" t="s">
        <v>48</v>
      </c>
      <c r="C42" s="979" t="e">
        <f>(SUM('Общ свод район (пог+выд)сомони'!D41))/1000</f>
        <v>#REF!</v>
      </c>
      <c r="D42" s="980" t="e">
        <f>#REF!/1000</f>
        <v>#REF!</v>
      </c>
      <c r="F42" s="876" t="e">
        <f t="shared" si="5"/>
        <v>#REF!</v>
      </c>
      <c r="G42" s="209" t="e">
        <f>(SUM(#REF!)/1000)</f>
        <v>#REF!</v>
      </c>
      <c r="H42" s="870" t="e">
        <f t="shared" si="3"/>
        <v>#REF!</v>
      </c>
    </row>
    <row r="43" spans="1:8" ht="21.95" customHeight="1">
      <c r="A43" s="859">
        <f t="shared" si="6"/>
        <v>28</v>
      </c>
      <c r="B43" s="871" t="s">
        <v>142</v>
      </c>
      <c r="C43" s="979" t="e">
        <f>(SUM('Общ свод район (пог+выд)сомони'!D42))/1000</f>
        <v>#REF!</v>
      </c>
      <c r="D43" s="980" t="e">
        <f>#REF!/1000</f>
        <v>#REF!</v>
      </c>
      <c r="F43" s="870" t="e">
        <f t="shared" si="5"/>
        <v>#REF!</v>
      </c>
      <c r="G43" s="209" t="e">
        <f>(SUM(#REF!)/1000)</f>
        <v>#REF!</v>
      </c>
      <c r="H43" s="870" t="e">
        <f t="shared" si="3"/>
        <v>#REF!</v>
      </c>
    </row>
    <row r="44" spans="1:8" ht="21.95" customHeight="1">
      <c r="A44" s="859">
        <f t="shared" si="6"/>
        <v>29</v>
      </c>
      <c r="B44" s="871" t="s">
        <v>143</v>
      </c>
      <c r="C44" s="979" t="e">
        <f>(SUM('Общ свод район (пог+выд)сомони'!D43))/1000</f>
        <v>#REF!</v>
      </c>
      <c r="D44" s="980" t="e">
        <f>#REF!/1000</f>
        <v>#REF!</v>
      </c>
      <c r="F44" s="873" t="e">
        <f t="shared" si="5"/>
        <v>#REF!</v>
      </c>
      <c r="G44" s="209" t="e">
        <f>(SUM(#REF!)/1000)</f>
        <v>#REF!</v>
      </c>
      <c r="H44" s="870" t="e">
        <f t="shared" si="3"/>
        <v>#REF!</v>
      </c>
    </row>
    <row r="45" spans="1:8" ht="21.95" customHeight="1">
      <c r="A45" s="859">
        <f t="shared" si="6"/>
        <v>30</v>
      </c>
      <c r="B45" s="874" t="s">
        <v>4</v>
      </c>
      <c r="C45" s="979" t="e">
        <f>(SUM('Общ свод район (пог+выд)сомони'!D44))/1000</f>
        <v>#REF!</v>
      </c>
      <c r="D45" s="980" t="e">
        <f>#REF!/1000</f>
        <v>#REF!</v>
      </c>
      <c r="F45" s="870" t="e">
        <f t="shared" si="5"/>
        <v>#REF!</v>
      </c>
      <c r="G45" s="209" t="e">
        <f>(SUM(#REF!)/1000)</f>
        <v>#REF!</v>
      </c>
      <c r="H45" s="870" t="e">
        <f t="shared" si="3"/>
        <v>#REF!</v>
      </c>
    </row>
    <row r="46" spans="1:8" ht="21.95" customHeight="1">
      <c r="A46" s="859">
        <f t="shared" si="6"/>
        <v>31</v>
      </c>
      <c r="B46" s="874" t="s">
        <v>29</v>
      </c>
      <c r="C46" s="979" t="e">
        <f>(SUM('Общ свод район (пог+выд)сомони'!D45))/1000</f>
        <v>#REF!</v>
      </c>
      <c r="D46" s="980" t="e">
        <f>#REF!/1000</f>
        <v>#REF!</v>
      </c>
      <c r="F46" s="870" t="e">
        <f t="shared" si="5"/>
        <v>#REF!</v>
      </c>
      <c r="G46" s="209" t="e">
        <f>(SUM(#REF!)/1000)</f>
        <v>#REF!</v>
      </c>
      <c r="H46" s="870" t="e">
        <f t="shared" si="3"/>
        <v>#REF!</v>
      </c>
    </row>
    <row r="47" spans="1:8" ht="21.95" customHeight="1">
      <c r="A47" s="859">
        <f t="shared" si="6"/>
        <v>32</v>
      </c>
      <c r="B47" s="874" t="s">
        <v>30</v>
      </c>
      <c r="C47" s="979" t="e">
        <f>(SUM('Общ свод район (пог+выд)сомони'!D46))/1000</f>
        <v>#REF!</v>
      </c>
      <c r="D47" s="980" t="e">
        <f>#REF!/1000</f>
        <v>#REF!</v>
      </c>
      <c r="F47" s="870" t="e">
        <f t="shared" si="5"/>
        <v>#REF!</v>
      </c>
      <c r="G47" s="209" t="e">
        <f>(SUM(#REF!)/1000)</f>
        <v>#REF!</v>
      </c>
      <c r="H47" s="870" t="e">
        <f t="shared" si="3"/>
        <v>#REF!</v>
      </c>
    </row>
    <row r="48" spans="1:8" ht="21.95" customHeight="1">
      <c r="A48" s="859">
        <f t="shared" si="6"/>
        <v>33</v>
      </c>
      <c r="B48" s="874" t="s">
        <v>32</v>
      </c>
      <c r="C48" s="979" t="e">
        <f>(SUM('Общ свод район (пог+выд)сомони'!D47))/1000</f>
        <v>#REF!</v>
      </c>
      <c r="D48" s="980" t="e">
        <f>#REF!/1000</f>
        <v>#REF!</v>
      </c>
      <c r="F48" s="870" t="e">
        <f t="shared" si="5"/>
        <v>#REF!</v>
      </c>
      <c r="G48" s="209" t="e">
        <f>(SUM(#REF!)/1000)</f>
        <v>#REF!</v>
      </c>
      <c r="H48" s="870" t="e">
        <f t="shared" si="3"/>
        <v>#REF!</v>
      </c>
    </row>
    <row r="49" spans="1:8" ht="21.95" customHeight="1">
      <c r="A49" s="859">
        <f t="shared" si="6"/>
        <v>34</v>
      </c>
      <c r="B49" s="874" t="s">
        <v>33</v>
      </c>
      <c r="C49" s="979" t="e">
        <f>(SUM('Общ свод район (пог+выд)сомони'!D48))/1000</f>
        <v>#REF!</v>
      </c>
      <c r="D49" s="980" t="e">
        <f>#REF!/1000</f>
        <v>#REF!</v>
      </c>
      <c r="F49" s="870" t="e">
        <f t="shared" si="5"/>
        <v>#REF!</v>
      </c>
      <c r="G49" s="209" t="e">
        <f>(SUM(#REF!)/1000)</f>
        <v>#REF!</v>
      </c>
      <c r="H49" s="870" t="e">
        <f t="shared" si="3"/>
        <v>#REF!</v>
      </c>
    </row>
    <row r="50" spans="1:8" ht="21.95" customHeight="1">
      <c r="A50" s="859">
        <f t="shared" si="6"/>
        <v>35</v>
      </c>
      <c r="B50" s="874" t="s">
        <v>435</v>
      </c>
      <c r="C50" s="979" t="e">
        <f>(SUM('Общ свод район (пог+выд)сомони'!D49))/1000</f>
        <v>#REF!</v>
      </c>
      <c r="D50" s="980" t="e">
        <f>#REF!/1000</f>
        <v>#REF!</v>
      </c>
      <c r="F50" s="870" t="e">
        <f>SUM(C50-D50)</f>
        <v>#REF!</v>
      </c>
      <c r="G50" s="209" t="e">
        <f>(SUM(#REF!)/1000)</f>
        <v>#REF!</v>
      </c>
      <c r="H50" s="870" t="e">
        <f t="shared" si="3"/>
        <v>#REF!</v>
      </c>
    </row>
    <row r="51" spans="1:8" ht="21.95" customHeight="1">
      <c r="A51" s="859">
        <f t="shared" si="6"/>
        <v>36</v>
      </c>
      <c r="B51" s="874" t="s">
        <v>209</v>
      </c>
      <c r="C51" s="979" t="e">
        <f>(SUM('Общ свод район (пог+выд)сомони'!D50))/1000</f>
        <v>#REF!</v>
      </c>
      <c r="D51" s="980" t="e">
        <f>#REF!/1000</f>
        <v>#REF!</v>
      </c>
      <c r="F51" s="870" t="e">
        <f t="shared" si="5"/>
        <v>#REF!</v>
      </c>
      <c r="G51" s="209" t="e">
        <f>(SUM(#REF!)/1000)</f>
        <v>#REF!</v>
      </c>
      <c r="H51" s="870" t="e">
        <f t="shared" si="3"/>
        <v>#REF!</v>
      </c>
    </row>
    <row r="52" spans="1:8" ht="21.95" customHeight="1">
      <c r="A52" s="859">
        <f>A51+1</f>
        <v>37</v>
      </c>
      <c r="B52" s="874" t="s">
        <v>35</v>
      </c>
      <c r="C52" s="979" t="e">
        <f>(SUM('Общ свод район (пог+выд)сомони'!D51))/1000</f>
        <v>#REF!</v>
      </c>
      <c r="D52" s="980" t="e">
        <f>#REF!/1000</f>
        <v>#REF!</v>
      </c>
      <c r="F52" s="870" t="e">
        <f t="shared" si="5"/>
        <v>#REF!</v>
      </c>
      <c r="G52" s="209" t="e">
        <f>(SUM(#REF!)/1000)</f>
        <v>#REF!</v>
      </c>
      <c r="H52" s="870" t="e">
        <f t="shared" si="3"/>
        <v>#REF!</v>
      </c>
    </row>
    <row r="53" spans="1:8" ht="21.95" customHeight="1">
      <c r="A53" s="859">
        <f t="shared" si="6"/>
        <v>38</v>
      </c>
      <c r="B53" s="874" t="s">
        <v>144</v>
      </c>
      <c r="C53" s="979" t="e">
        <f>(SUM('Общ свод район (пог+выд)сомони'!D52))/1000</f>
        <v>#REF!</v>
      </c>
      <c r="D53" s="980" t="e">
        <f>#REF!/1000</f>
        <v>#REF!</v>
      </c>
      <c r="F53" s="870" t="e">
        <f t="shared" si="5"/>
        <v>#REF!</v>
      </c>
      <c r="G53" s="209" t="e">
        <f>(SUM(#REF!)/1000)</f>
        <v>#REF!</v>
      </c>
      <c r="H53" s="870" t="e">
        <f t="shared" si="3"/>
        <v>#REF!</v>
      </c>
    </row>
    <row r="54" spans="1:8" ht="21.95" customHeight="1">
      <c r="A54" s="859">
        <f t="shared" si="6"/>
        <v>39</v>
      </c>
      <c r="B54" s="874" t="s">
        <v>38</v>
      </c>
      <c r="C54" s="979" t="e">
        <f>(SUM('Общ свод район (пог+выд)сомони'!D53))/1000</f>
        <v>#REF!</v>
      </c>
      <c r="D54" s="980" t="e">
        <f>#REF!/1000</f>
        <v>#REF!</v>
      </c>
      <c r="F54" s="870" t="e">
        <f t="shared" si="5"/>
        <v>#REF!</v>
      </c>
      <c r="G54" s="209" t="e">
        <f>(SUM(#REF!)/1000)</f>
        <v>#REF!</v>
      </c>
      <c r="H54" s="870" t="e">
        <f t="shared" si="3"/>
        <v>#REF!</v>
      </c>
    </row>
    <row r="55" spans="1:8" ht="21.95" customHeight="1">
      <c r="A55" s="859">
        <f t="shared" si="6"/>
        <v>40</v>
      </c>
      <c r="B55" s="874" t="s">
        <v>39</v>
      </c>
      <c r="C55" s="979" t="e">
        <f>(SUM('Общ свод район (пог+выд)сомони'!D54))/1000</f>
        <v>#REF!</v>
      </c>
      <c r="D55" s="980" t="e">
        <f>#REF!/1000</f>
        <v>#REF!</v>
      </c>
      <c r="F55" s="870" t="e">
        <f t="shared" si="5"/>
        <v>#REF!</v>
      </c>
      <c r="G55" s="209" t="e">
        <f>(SUM(#REF!)/1000)</f>
        <v>#REF!</v>
      </c>
      <c r="H55" s="870" t="e">
        <f t="shared" si="3"/>
        <v>#REF!</v>
      </c>
    </row>
    <row r="56" spans="1:8" ht="21.95" customHeight="1">
      <c r="A56" s="859">
        <f t="shared" si="6"/>
        <v>41</v>
      </c>
      <c r="B56" s="874" t="s">
        <v>40</v>
      </c>
      <c r="C56" s="979" t="e">
        <f>(SUM('Общ свод район (пог+выд)сомони'!D55))/1000</f>
        <v>#REF!</v>
      </c>
      <c r="D56" s="980" t="e">
        <f>#REF!/1000</f>
        <v>#REF!</v>
      </c>
      <c r="F56" s="870" t="e">
        <f t="shared" si="5"/>
        <v>#REF!</v>
      </c>
      <c r="G56" s="209" t="e">
        <f>(SUM(#REF!)/1000)</f>
        <v>#REF!</v>
      </c>
      <c r="H56" s="870" t="e">
        <f t="shared" si="3"/>
        <v>#REF!</v>
      </c>
    </row>
    <row r="57" spans="1:8" ht="21.95" customHeight="1">
      <c r="A57" s="859">
        <f t="shared" si="6"/>
        <v>42</v>
      </c>
      <c r="B57" s="874" t="s">
        <v>42</v>
      </c>
      <c r="C57" s="979" t="e">
        <f>(SUM('Общ свод район (пог+выд)сомони'!D56))/1000</f>
        <v>#REF!</v>
      </c>
      <c r="D57" s="980" t="e">
        <f>#REF!/1000</f>
        <v>#REF!</v>
      </c>
      <c r="F57" s="870" t="e">
        <f t="shared" si="5"/>
        <v>#REF!</v>
      </c>
      <c r="G57" s="209" t="e">
        <f>(SUM(#REF!)/1000)</f>
        <v>#REF!</v>
      </c>
      <c r="H57" s="870" t="e">
        <f t="shared" si="3"/>
        <v>#REF!</v>
      </c>
    </row>
    <row r="58" spans="1:8" ht="21.95" customHeight="1">
      <c r="A58" s="859">
        <f t="shared" si="6"/>
        <v>43</v>
      </c>
      <c r="B58" s="874" t="s">
        <v>43</v>
      </c>
      <c r="C58" s="979" t="e">
        <f>(SUM('Общ свод район (пог+выд)сомони'!D57))/1000</f>
        <v>#REF!</v>
      </c>
      <c r="D58" s="980" t="e">
        <f>#REF!/1000</f>
        <v>#REF!</v>
      </c>
      <c r="F58" s="870" t="e">
        <f t="shared" si="5"/>
        <v>#REF!</v>
      </c>
      <c r="G58" s="209" t="e">
        <f>(SUM(#REF!)/1000)</f>
        <v>#REF!</v>
      </c>
      <c r="H58" s="870" t="e">
        <f t="shared" si="3"/>
        <v>#REF!</v>
      </c>
    </row>
    <row r="59" spans="1:8" ht="21.95" customHeight="1">
      <c r="A59" s="859">
        <f t="shared" si="6"/>
        <v>44</v>
      </c>
      <c r="B59" s="874" t="s">
        <v>45</v>
      </c>
      <c r="C59" s="979" t="e">
        <f>(SUM('Общ свод район (пог+выд)сомони'!D58))/1000</f>
        <v>#REF!</v>
      </c>
      <c r="D59" s="980" t="e">
        <f>#REF!/1000</f>
        <v>#REF!</v>
      </c>
      <c r="F59" s="870" t="e">
        <f t="shared" si="5"/>
        <v>#REF!</v>
      </c>
      <c r="G59" s="209" t="e">
        <f>(SUM(#REF!)/1000)</f>
        <v>#REF!</v>
      </c>
      <c r="H59" s="870" t="e">
        <f t="shared" si="3"/>
        <v>#REF!</v>
      </c>
    </row>
    <row r="60" spans="1:8" ht="21.95" customHeight="1">
      <c r="A60" s="859">
        <f t="shared" si="6"/>
        <v>45</v>
      </c>
      <c r="B60" s="874" t="s">
        <v>46</v>
      </c>
      <c r="C60" s="979" t="e">
        <f>(SUM('Общ свод район (пог+выд)сомони'!D59))/1000</f>
        <v>#REF!</v>
      </c>
      <c r="D60" s="980" t="e">
        <f>#REF!/1000</f>
        <v>#REF!</v>
      </c>
      <c r="F60" s="870" t="e">
        <f t="shared" si="5"/>
        <v>#REF!</v>
      </c>
      <c r="G60" s="209" t="e">
        <f>(SUM(#REF!)/1000)</f>
        <v>#REF!</v>
      </c>
      <c r="H60" s="870" t="e">
        <f t="shared" si="3"/>
        <v>#REF!</v>
      </c>
    </row>
    <row r="61" spans="1:8" ht="21.95" customHeight="1">
      <c r="A61" s="974">
        <f t="shared" si="6"/>
        <v>46</v>
      </c>
      <c r="B61" s="993" t="s">
        <v>47</v>
      </c>
      <c r="C61" s="981" t="e">
        <f>(SUM('Общ свод район (пог+выд)сомони'!D60))/1000</f>
        <v>#REF!</v>
      </c>
      <c r="D61" s="982" t="e">
        <f>#REF!/1000</f>
        <v>#REF!</v>
      </c>
      <c r="F61" s="870" t="e">
        <f t="shared" si="5"/>
        <v>#REF!</v>
      </c>
      <c r="G61" s="209" t="e">
        <f>(SUM(#REF!)/1000)</f>
        <v>#REF!</v>
      </c>
      <c r="H61" s="870" t="e">
        <f t="shared" si="3"/>
        <v>#REF!</v>
      </c>
    </row>
    <row r="62" spans="1:8" ht="22.5" customHeight="1">
      <c r="A62" s="1324" t="s">
        <v>50</v>
      </c>
      <c r="B62" s="1324"/>
      <c r="C62" s="983" t="e">
        <f>SUM(C37:C61)</f>
        <v>#REF!</v>
      </c>
      <c r="D62" s="987" t="e">
        <f>SUM(D37:D61)</f>
        <v>#REF!</v>
      </c>
      <c r="F62" s="999" t="e">
        <f>SUM(F37:F61)</f>
        <v>#REF!</v>
      </c>
      <c r="G62" s="999" t="e">
        <f>SUM(G37:G61)</f>
        <v>#REF!</v>
      </c>
      <c r="H62" s="870" t="e">
        <f t="shared" si="3"/>
        <v>#REF!</v>
      </c>
    </row>
    <row r="63" spans="1:8" ht="22.5" customHeight="1">
      <c r="A63" s="1325" t="s">
        <v>74</v>
      </c>
      <c r="B63" s="1325"/>
      <c r="C63" s="1325"/>
      <c r="D63" s="1325"/>
      <c r="H63" s="870">
        <f t="shared" si="3"/>
        <v>0</v>
      </c>
    </row>
    <row r="64" spans="1:8" ht="21.95" customHeight="1">
      <c r="A64" s="877">
        <f>A61+1</f>
        <v>47</v>
      </c>
      <c r="B64" s="875" t="s">
        <v>5</v>
      </c>
      <c r="C64" s="977" t="e">
        <f>(SUM('Общ свод район (пог+выд)сомони'!D63))/1000</f>
        <v>#REF!</v>
      </c>
      <c r="D64" s="978" t="e">
        <f>#REF!/1000</f>
        <v>#REF!</v>
      </c>
      <c r="F64" s="870" t="e">
        <f t="shared" ref="F64:F81" si="7">SUM(C64-D64)</f>
        <v>#REF!</v>
      </c>
      <c r="G64" s="209" t="e">
        <f>(SUM(#REF!)/1000)</f>
        <v>#REF!</v>
      </c>
      <c r="H64" s="870" t="e">
        <f t="shared" si="3"/>
        <v>#REF!</v>
      </c>
    </row>
    <row r="65" spans="1:8" ht="21.95" customHeight="1">
      <c r="A65" s="878">
        <f>A64+1</f>
        <v>48</v>
      </c>
      <c r="B65" s="871" t="s">
        <v>111</v>
      </c>
      <c r="C65" s="979" t="e">
        <f>(SUM('Общ свод район (пог+выд)сомони'!D64))/1000</f>
        <v>#REF!</v>
      </c>
      <c r="D65" s="980" t="e">
        <f>#REF!/1000</f>
        <v>#REF!</v>
      </c>
      <c r="F65" s="873" t="e">
        <f t="shared" si="7"/>
        <v>#REF!</v>
      </c>
      <c r="G65" s="209" t="e">
        <f>(SUM(#REF!)/1000)</f>
        <v>#REF!</v>
      </c>
      <c r="H65" s="870" t="e">
        <f t="shared" si="3"/>
        <v>#REF!</v>
      </c>
    </row>
    <row r="66" spans="1:8" ht="21.95" customHeight="1">
      <c r="A66" s="878">
        <f t="shared" ref="A66:A79" si="8">A65+1</f>
        <v>49</v>
      </c>
      <c r="B66" s="871" t="s">
        <v>112</v>
      </c>
      <c r="C66" s="979" t="e">
        <f>(SUM('Общ свод район (пог+выд)сомони'!D65))/1000</f>
        <v>#REF!</v>
      </c>
      <c r="D66" s="980" t="e">
        <f>#REF!/1000</f>
        <v>#REF!</v>
      </c>
      <c r="F66" s="870" t="e">
        <f t="shared" si="7"/>
        <v>#REF!</v>
      </c>
      <c r="G66" s="209" t="e">
        <f>(SUM(#REF!)/1000)</f>
        <v>#REF!</v>
      </c>
      <c r="H66" s="870" t="e">
        <f t="shared" si="3"/>
        <v>#REF!</v>
      </c>
    </row>
    <row r="67" spans="1:8" ht="21.95" customHeight="1">
      <c r="A67" s="878">
        <f t="shared" si="8"/>
        <v>50</v>
      </c>
      <c r="B67" s="871" t="s">
        <v>242</v>
      </c>
      <c r="C67" s="979" t="e">
        <f>(SUM('Общ свод район (пог+выд)сомони'!D66))/1000</f>
        <v>#REF!</v>
      </c>
      <c r="D67" s="980" t="e">
        <f>#REF!/1000</f>
        <v>#REF!</v>
      </c>
      <c r="F67" s="870" t="e">
        <f t="shared" si="7"/>
        <v>#REF!</v>
      </c>
      <c r="G67" s="209" t="e">
        <f>(SUM(#REF!)/1000)</f>
        <v>#REF!</v>
      </c>
      <c r="H67" s="870" t="e">
        <f t="shared" si="3"/>
        <v>#REF!</v>
      </c>
    </row>
    <row r="68" spans="1:8" ht="21.95" customHeight="1">
      <c r="A68" s="878">
        <f t="shared" si="8"/>
        <v>51</v>
      </c>
      <c r="B68" s="871" t="s">
        <v>129</v>
      </c>
      <c r="C68" s="979" t="e">
        <f>(SUM('Общ свод район (пог+выд)сомони'!D67))/1000</f>
        <v>#REF!</v>
      </c>
      <c r="D68" s="980" t="e">
        <f>#REF!/1000</f>
        <v>#REF!</v>
      </c>
      <c r="F68" s="870" t="e">
        <f t="shared" si="7"/>
        <v>#REF!</v>
      </c>
      <c r="G68" s="209" t="e">
        <f>(SUM(#REF!)/1000)</f>
        <v>#REF!</v>
      </c>
      <c r="H68" s="870" t="e">
        <f t="shared" si="3"/>
        <v>#REF!</v>
      </c>
    </row>
    <row r="69" spans="1:8" ht="21.95" customHeight="1">
      <c r="A69" s="878">
        <f t="shared" si="8"/>
        <v>52</v>
      </c>
      <c r="B69" s="871" t="s">
        <v>145</v>
      </c>
      <c r="C69" s="979" t="e">
        <f>(SUM('Общ свод район (пог+выд)сомони'!D68))/1000</f>
        <v>#REF!</v>
      </c>
      <c r="D69" s="980" t="e">
        <f>#REF!/1000</f>
        <v>#REF!</v>
      </c>
      <c r="F69" s="870" t="e">
        <f t="shared" si="7"/>
        <v>#REF!</v>
      </c>
      <c r="G69" s="209" t="e">
        <f>(SUM(#REF!)/1000)</f>
        <v>#REF!</v>
      </c>
      <c r="H69" s="870" t="e">
        <f t="shared" si="3"/>
        <v>#REF!</v>
      </c>
    </row>
    <row r="70" spans="1:8" ht="21.95" customHeight="1">
      <c r="A70" s="878">
        <f t="shared" si="8"/>
        <v>53</v>
      </c>
      <c r="B70" s="871" t="s">
        <v>146</v>
      </c>
      <c r="C70" s="979" t="e">
        <f>(SUM('Общ свод район (пог+выд)сомони'!D69))/1000</f>
        <v>#REF!</v>
      </c>
      <c r="D70" s="980" t="e">
        <f>#REF!/1000</f>
        <v>#REF!</v>
      </c>
      <c r="F70" s="870" t="e">
        <f t="shared" si="7"/>
        <v>#REF!</v>
      </c>
      <c r="G70" s="209" t="e">
        <f>(SUM(#REF!)/1000)</f>
        <v>#REF!</v>
      </c>
      <c r="H70" s="870" t="e">
        <f t="shared" si="3"/>
        <v>#REF!</v>
      </c>
    </row>
    <row r="71" spans="1:8" ht="21.95" customHeight="1">
      <c r="A71" s="878">
        <f t="shared" si="8"/>
        <v>54</v>
      </c>
      <c r="B71" s="871" t="s">
        <v>165</v>
      </c>
      <c r="C71" s="979" t="e">
        <f>(SUM('Общ свод район (пог+выд)сомони'!D70))/1000</f>
        <v>#REF!</v>
      </c>
      <c r="D71" s="980" t="e">
        <f>#REF!/1000</f>
        <v>#REF!</v>
      </c>
      <c r="F71" s="870" t="e">
        <f t="shared" si="7"/>
        <v>#REF!</v>
      </c>
      <c r="G71" s="209" t="e">
        <f>(SUM(#REF!)/1000)</f>
        <v>#REF!</v>
      </c>
      <c r="H71" s="870" t="e">
        <f t="shared" si="3"/>
        <v>#REF!</v>
      </c>
    </row>
    <row r="72" spans="1:8" ht="21.95" customHeight="1">
      <c r="A72" s="878">
        <f t="shared" si="8"/>
        <v>55</v>
      </c>
      <c r="B72" s="874" t="s">
        <v>17</v>
      </c>
      <c r="C72" s="979" t="e">
        <f>(SUM('Общ свод район (пог+выд)сомони'!D71))/1000</f>
        <v>#REF!</v>
      </c>
      <c r="D72" s="980" t="e">
        <f>#REF!/1000</f>
        <v>#REF!</v>
      </c>
      <c r="F72" s="870" t="e">
        <f t="shared" si="7"/>
        <v>#REF!</v>
      </c>
      <c r="G72" s="209" t="e">
        <f>(SUM(#REF!)/1000)</f>
        <v>#REF!</v>
      </c>
      <c r="H72" s="870" t="e">
        <f t="shared" si="3"/>
        <v>#REF!</v>
      </c>
    </row>
    <row r="73" spans="1:8" ht="21.95" customHeight="1">
      <c r="A73" s="878">
        <f t="shared" si="8"/>
        <v>56</v>
      </c>
      <c r="B73" s="874" t="s">
        <v>18</v>
      </c>
      <c r="C73" s="979" t="e">
        <f>(SUM('Общ свод район (пог+выд)сомони'!D72))/1000</f>
        <v>#REF!</v>
      </c>
      <c r="D73" s="980" t="e">
        <f>#REF!/1000</f>
        <v>#REF!</v>
      </c>
      <c r="F73" s="870" t="e">
        <f t="shared" si="7"/>
        <v>#REF!</v>
      </c>
      <c r="G73" s="209" t="e">
        <f>(SUM(#REF!)/1000)</f>
        <v>#REF!</v>
      </c>
      <c r="H73" s="870" t="e">
        <f t="shared" si="3"/>
        <v>#REF!</v>
      </c>
    </row>
    <row r="74" spans="1:8" ht="21.95" customHeight="1">
      <c r="A74" s="878">
        <f t="shared" si="8"/>
        <v>57</v>
      </c>
      <c r="B74" s="874" t="s">
        <v>19</v>
      </c>
      <c r="C74" s="979" t="e">
        <f>(SUM('Общ свод район (пог+выд)сомони'!D73))/1000</f>
        <v>#REF!</v>
      </c>
      <c r="D74" s="980" t="e">
        <f>#REF!/1000</f>
        <v>#REF!</v>
      </c>
      <c r="F74" s="873" t="e">
        <f t="shared" si="7"/>
        <v>#REF!</v>
      </c>
      <c r="G74" s="209" t="e">
        <f>(SUM(#REF!)/1000)</f>
        <v>#REF!</v>
      </c>
      <c r="H74" s="870" t="e">
        <f t="shared" si="3"/>
        <v>#REF!</v>
      </c>
    </row>
    <row r="75" spans="1:8" ht="21.95" customHeight="1">
      <c r="A75" s="878">
        <f t="shared" si="8"/>
        <v>58</v>
      </c>
      <c r="B75" s="874" t="s">
        <v>20</v>
      </c>
      <c r="C75" s="979" t="e">
        <f>(SUM('Общ свод район (пог+выд)сомони'!D74))/1000</f>
        <v>#REF!</v>
      </c>
      <c r="D75" s="980" t="e">
        <f>#REF!/1000</f>
        <v>#REF!</v>
      </c>
      <c r="F75" s="870" t="e">
        <f t="shared" si="7"/>
        <v>#REF!</v>
      </c>
      <c r="G75" s="209" t="e">
        <f>(SUM(#REF!)/1000)</f>
        <v>#REF!</v>
      </c>
      <c r="H75" s="870" t="e">
        <f t="shared" si="3"/>
        <v>#REF!</v>
      </c>
    </row>
    <row r="76" spans="1:8" ht="21.95" customHeight="1">
      <c r="A76" s="878">
        <f t="shared" si="8"/>
        <v>59</v>
      </c>
      <c r="B76" s="874" t="s">
        <v>9</v>
      </c>
      <c r="C76" s="979" t="e">
        <f>(SUM('Общ свод район (пог+выд)сомони'!D75))/1000</f>
        <v>#REF!</v>
      </c>
      <c r="D76" s="980" t="e">
        <f>#REF!/1000</f>
        <v>#REF!</v>
      </c>
      <c r="F76" s="870" t="e">
        <f t="shared" si="7"/>
        <v>#REF!</v>
      </c>
      <c r="G76" s="209" t="e">
        <f>(SUM(#REF!)/1000)</f>
        <v>#REF!</v>
      </c>
      <c r="H76" s="870" t="e">
        <f t="shared" si="3"/>
        <v>#REF!</v>
      </c>
    </row>
    <row r="77" spans="1:8" ht="21.95" customHeight="1">
      <c r="A77" s="878">
        <f t="shared" si="8"/>
        <v>60</v>
      </c>
      <c r="B77" s="874" t="s">
        <v>115</v>
      </c>
      <c r="C77" s="979" t="e">
        <f>(SUM('Общ свод район (пог+выд)сомони'!D76))/1000</f>
        <v>#REF!</v>
      </c>
      <c r="D77" s="980" t="e">
        <f>#REF!/1000</f>
        <v>#REF!</v>
      </c>
      <c r="F77" s="870" t="e">
        <f t="shared" si="7"/>
        <v>#REF!</v>
      </c>
      <c r="G77" s="209" t="e">
        <f>(SUM(#REF!)/1000)</f>
        <v>#REF!</v>
      </c>
      <c r="H77" s="870" t="e">
        <f t="shared" si="3"/>
        <v>#REF!</v>
      </c>
    </row>
    <row r="78" spans="1:8" ht="21.95" customHeight="1">
      <c r="A78" s="878">
        <f t="shared" si="8"/>
        <v>61</v>
      </c>
      <c r="B78" s="874" t="s">
        <v>11</v>
      </c>
      <c r="C78" s="979" t="e">
        <f>(SUM('Общ свод район (пог+выд)сомони'!D77))/1000</f>
        <v>#REF!</v>
      </c>
      <c r="D78" s="980" t="e">
        <f>#REF!/1000</f>
        <v>#REF!</v>
      </c>
      <c r="F78" s="870" t="e">
        <f t="shared" si="7"/>
        <v>#REF!</v>
      </c>
      <c r="G78" s="209" t="e">
        <f>(SUM(#REF!)/1000)</f>
        <v>#REF!</v>
      </c>
      <c r="H78" s="870" t="e">
        <f t="shared" si="3"/>
        <v>#REF!</v>
      </c>
    </row>
    <row r="79" spans="1:8" ht="21.95" customHeight="1">
      <c r="A79" s="878">
        <f t="shared" si="8"/>
        <v>62</v>
      </c>
      <c r="B79" s="874" t="s">
        <v>13</v>
      </c>
      <c r="C79" s="979" t="e">
        <f>(SUM('Общ свод район (пог+выд)сомони'!D78))/1000</f>
        <v>#REF!</v>
      </c>
      <c r="D79" s="980" t="e">
        <f>#REF!/1000</f>
        <v>#REF!</v>
      </c>
      <c r="F79" s="870" t="e">
        <f t="shared" si="7"/>
        <v>#REF!</v>
      </c>
      <c r="G79" s="209" t="e">
        <f>(SUM(#REF!)/1000)</f>
        <v>#REF!</v>
      </c>
      <c r="H79" s="870" t="e">
        <f t="shared" si="3"/>
        <v>#REF!</v>
      </c>
    </row>
    <row r="80" spans="1:8" ht="21.95" customHeight="1">
      <c r="A80" s="878">
        <v>63</v>
      </c>
      <c r="B80" s="874" t="s">
        <v>14</v>
      </c>
      <c r="C80" s="979" t="e">
        <f>(SUM('Общ свод район (пог+выд)сомони'!D79))/1000</f>
        <v>#REF!</v>
      </c>
      <c r="D80" s="980" t="e">
        <f>#REF!/1000</f>
        <v>#REF!</v>
      </c>
      <c r="F80" s="870" t="e">
        <f t="shared" si="7"/>
        <v>#REF!</v>
      </c>
      <c r="G80" s="209" t="e">
        <f>(SUM(#REF!)/1000)</f>
        <v>#REF!</v>
      </c>
      <c r="H80" s="870" t="e">
        <f t="shared" si="3"/>
        <v>#REF!</v>
      </c>
    </row>
    <row r="81" spans="1:8" ht="21.95" customHeight="1">
      <c r="A81" s="994">
        <v>64</v>
      </c>
      <c r="B81" s="973" t="s">
        <v>15</v>
      </c>
      <c r="C81" s="985" t="e">
        <f>(SUM('Общ свод район (пог+выд)сомони'!D80))/1000</f>
        <v>#REF!</v>
      </c>
      <c r="D81" s="986" t="e">
        <f>#REF!/1000</f>
        <v>#REF!</v>
      </c>
      <c r="F81" s="870" t="e">
        <f t="shared" si="7"/>
        <v>#REF!</v>
      </c>
      <c r="G81" s="209" t="e">
        <f>(SUM(#REF!)/1000)</f>
        <v>#REF!</v>
      </c>
      <c r="H81" s="870" t="e">
        <f t="shared" si="3"/>
        <v>#REF!</v>
      </c>
    </row>
    <row r="82" spans="1:8" ht="22.5" customHeight="1">
      <c r="A82" s="1324" t="s">
        <v>116</v>
      </c>
      <c r="B82" s="1324"/>
      <c r="C82" s="983" t="e">
        <f>SUM(C64:C81)</f>
        <v>#REF!</v>
      </c>
      <c r="D82" s="984" t="e">
        <f>SUM(D64:D81)</f>
        <v>#REF!</v>
      </c>
      <c r="F82" s="999" t="e">
        <f>SUM(F64:F81)</f>
        <v>#REF!</v>
      </c>
      <c r="G82" s="999" t="e">
        <f>SUM(G64:G81)</f>
        <v>#REF!</v>
      </c>
      <c r="H82" s="870" t="e">
        <f t="shared" si="3"/>
        <v>#REF!</v>
      </c>
    </row>
    <row r="83" spans="1:8" ht="22.5" customHeight="1">
      <c r="A83" s="860"/>
      <c r="B83" s="861"/>
      <c r="C83" s="988"/>
      <c r="D83" s="989"/>
      <c r="H83" s="870">
        <f t="shared" si="3"/>
        <v>0</v>
      </c>
    </row>
    <row r="84" spans="1:8" ht="22.5" customHeight="1">
      <c r="A84" s="995">
        <f>A81+1</f>
        <v>65</v>
      </c>
      <c r="B84" s="996" t="s">
        <v>26</v>
      </c>
      <c r="C84" s="984" t="e">
        <f>(SUM('Общ свод район (пог+выд)сомони'!D87))/1000</f>
        <v>#REF!</v>
      </c>
      <c r="D84" s="984" t="e">
        <f>#REF!/1000</f>
        <v>#REF!</v>
      </c>
      <c r="F84" s="999" t="e">
        <f>SUM(C84-D84)</f>
        <v>#REF!</v>
      </c>
      <c r="G84" s="771" t="e">
        <f>(SUM(#REF!)/1000)</f>
        <v>#REF!</v>
      </c>
      <c r="H84" s="870" t="e">
        <f>SUM(D84-G84)</f>
        <v>#REF!</v>
      </c>
    </row>
    <row r="85" spans="1:8" ht="20.25" customHeight="1">
      <c r="A85" s="860"/>
      <c r="B85" s="879"/>
      <c r="C85" s="988"/>
      <c r="D85" s="989"/>
      <c r="H85" s="870">
        <f>SUM(D85-G85)</f>
        <v>0</v>
      </c>
    </row>
    <row r="86" spans="1:8" ht="22.5" customHeight="1">
      <c r="A86" s="1327" t="s">
        <v>148</v>
      </c>
      <c r="B86" s="1327"/>
      <c r="C86" s="997" t="e">
        <f>SUM(C84+C62+C35+C18+C82+C25)</f>
        <v>#REF!</v>
      </c>
      <c r="D86" s="998" t="e">
        <f>D84+D82+D62+D35+D18+D25</f>
        <v>#REF!</v>
      </c>
      <c r="F86" s="1000" t="e">
        <f>SUM(C86-D86)</f>
        <v>#REF!</v>
      </c>
      <c r="G86" s="1001" t="e">
        <f>G84+G82+G62+G35+G18+G25</f>
        <v>#REF!</v>
      </c>
      <c r="H86" s="870" t="e">
        <f>SUM(D86-G86)</f>
        <v>#REF!</v>
      </c>
    </row>
    <row r="87" spans="1:8" ht="16.5" customHeight="1">
      <c r="B87" s="862"/>
      <c r="C87" s="990"/>
      <c r="D87" s="860"/>
      <c r="H87" s="870">
        <f>SUM(D87-G87)</f>
        <v>0</v>
      </c>
    </row>
    <row r="88" spans="1:8">
      <c r="A88" s="865" t="s">
        <v>261</v>
      </c>
      <c r="C88" s="991"/>
      <c r="D88" s="991"/>
    </row>
    <row r="89" spans="1:8" ht="21" customHeight="1">
      <c r="A89" s="1326" t="s">
        <v>259</v>
      </c>
      <c r="B89" s="1326"/>
      <c r="C89" s="1326"/>
    </row>
    <row r="90" spans="1:8">
      <c r="C90" s="991"/>
    </row>
    <row r="92" spans="1:8">
      <c r="C92" s="991" t="e">
        <f>SUM(C86-'Общ свод район (пог+выд)сомони'!D92/1000)</f>
        <v>#REF!</v>
      </c>
      <c r="D92" s="991" t="e">
        <f>D86-#REF!/1000</f>
        <v>#REF!</v>
      </c>
    </row>
  </sheetData>
  <mergeCells count="19">
    <mergeCell ref="A9:D9"/>
    <mergeCell ref="E11:E12"/>
    <mergeCell ref="A18:B18"/>
    <mergeCell ref="A19:D19"/>
    <mergeCell ref="A3:D3"/>
    <mergeCell ref="A4:D4"/>
    <mergeCell ref="B5:C5"/>
    <mergeCell ref="A6:A7"/>
    <mergeCell ref="B6:B7"/>
    <mergeCell ref="C6:D6"/>
    <mergeCell ref="A25:B25"/>
    <mergeCell ref="A26:D26"/>
    <mergeCell ref="A35:B35"/>
    <mergeCell ref="A36:D36"/>
    <mergeCell ref="A89:C89"/>
    <mergeCell ref="A62:B62"/>
    <mergeCell ref="A63:D63"/>
    <mergeCell ref="A82:B82"/>
    <mergeCell ref="A86:B86"/>
  </mergeCells>
  <phoneticPr fontId="10" type="noConversion"/>
  <printOptions horizontalCentered="1"/>
  <pageMargins left="0.78740157480314965" right="0.78740157480314965" top="0.51181102362204722" bottom="0.69" header="0.51181102362204722" footer="0.67"/>
  <pageSetup paperSize="9" scale="77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Лист24">
    <tabColor indexed="26"/>
  </sheetPr>
  <dimension ref="A1:I91"/>
  <sheetViews>
    <sheetView topLeftCell="B4" zoomScale="75" workbookViewId="0">
      <selection activeCell="D85" sqref="D85:E85"/>
    </sheetView>
  </sheetViews>
  <sheetFormatPr defaultRowHeight="12.75"/>
  <cols>
    <col min="1" max="1" width="6.140625" customWidth="1"/>
    <col min="2" max="2" width="7.7109375" style="37" customWidth="1"/>
    <col min="3" max="3" width="46" style="797" customWidth="1"/>
    <col min="4" max="4" width="35.85546875" customWidth="1"/>
    <col min="5" max="5" width="30.85546875" customWidth="1"/>
    <col min="7" max="7" width="15.7109375" customWidth="1"/>
    <col min="9" max="9" width="16.7109375" customWidth="1"/>
  </cols>
  <sheetData>
    <row r="1" spans="1:9" hidden="1"/>
    <row r="2" spans="1:9" hidden="1"/>
    <row r="3" spans="1:9" ht="24" hidden="1" customHeight="1">
      <c r="B3" s="1336"/>
      <c r="C3" s="1336"/>
      <c r="D3" s="1336"/>
      <c r="E3" s="1336"/>
    </row>
    <row r="4" spans="1:9" ht="57" customHeight="1">
      <c r="B4" s="1337" t="s">
        <v>382</v>
      </c>
      <c r="C4" s="1337"/>
      <c r="D4" s="1337"/>
      <c r="E4" s="1337"/>
    </row>
    <row r="5" spans="1:9" ht="23.25" customHeight="1">
      <c r="B5" s="53"/>
      <c r="C5" s="1338" t="e">
        <f>CLEAN(#REF!)</f>
        <v>#REF!</v>
      </c>
      <c r="D5" s="1338"/>
      <c r="E5" s="146" t="s">
        <v>104</v>
      </c>
      <c r="F5" s="145"/>
      <c r="G5" s="209">
        <v>1000</v>
      </c>
    </row>
    <row r="6" spans="1:9" ht="22.5" customHeight="1">
      <c r="B6" s="1339" t="s">
        <v>105</v>
      </c>
      <c r="C6" s="1341" t="s">
        <v>106</v>
      </c>
      <c r="D6" s="1343" t="s">
        <v>118</v>
      </c>
      <c r="E6" s="154" t="s">
        <v>136</v>
      </c>
    </row>
    <row r="7" spans="1:9" ht="36" customHeight="1">
      <c r="B7" s="1340"/>
      <c r="C7" s="1342"/>
      <c r="D7" s="1344"/>
      <c r="E7" s="155" t="s">
        <v>137</v>
      </c>
    </row>
    <row r="8" spans="1:9" ht="22.5" customHeight="1">
      <c r="A8" s="15"/>
      <c r="B8" s="1345" t="s">
        <v>107</v>
      </c>
      <c r="C8" s="1345"/>
      <c r="D8" s="1345"/>
      <c r="E8" s="1345"/>
      <c r="G8" s="56"/>
    </row>
    <row r="9" spans="1:9" ht="21.6" customHeight="1">
      <c r="B9" s="54">
        <v>1</v>
      </c>
      <c r="C9" s="815" t="s">
        <v>138</v>
      </c>
      <c r="D9" s="55" t="e">
        <f>SUM('общ.сводрайон без курсовой '!D9/1000)</f>
        <v>#REF!</v>
      </c>
      <c r="E9" s="210" t="e">
        <f>#REF!/1000</f>
        <v>#REF!</v>
      </c>
      <c r="G9" s="10" t="e">
        <f t="shared" ref="G9:G16" si="0">SUM(D9-E9)</f>
        <v>#REF!</v>
      </c>
      <c r="I9" s="10" t="e">
        <f>SUM(D9-'район без курсовой'!D9)</f>
        <v>#REF!</v>
      </c>
    </row>
    <row r="10" spans="1:9" ht="21.6" customHeight="1">
      <c r="B10" s="57">
        <f>B9+1</f>
        <v>2</v>
      </c>
      <c r="C10" s="816" t="s">
        <v>139</v>
      </c>
      <c r="D10" s="58" t="e">
        <f>SUM('общ.сводрайон без курсовой '!D10/1000)</f>
        <v>#REF!</v>
      </c>
      <c r="E10" s="210" t="e">
        <f>#REF!/1000</f>
        <v>#REF!</v>
      </c>
      <c r="G10" s="354" t="e">
        <f t="shared" si="0"/>
        <v>#REF!</v>
      </c>
      <c r="I10" s="10" t="e">
        <f>SUM(D10-'район без курсовой'!D10)</f>
        <v>#REF!</v>
      </c>
    </row>
    <row r="11" spans="1:9" ht="21.6" customHeight="1">
      <c r="B11" s="57">
        <v>3</v>
      </c>
      <c r="C11" s="816" t="s">
        <v>64</v>
      </c>
      <c r="D11" s="58" t="e">
        <f>SUM('общ.сводрайон без курсовой '!D11/1000)</f>
        <v>#REF!</v>
      </c>
      <c r="E11" s="210" t="e">
        <f>#REF!/1000</f>
        <v>#REF!</v>
      </c>
      <c r="G11" s="262" t="e">
        <f t="shared" si="0"/>
        <v>#REF!</v>
      </c>
      <c r="I11" s="10" t="e">
        <f>SUM(D11-'район без курсовой'!D11)</f>
        <v>#REF!</v>
      </c>
    </row>
    <row r="12" spans="1:9" ht="21.6" customHeight="1">
      <c r="B12" s="57">
        <v>4</v>
      </c>
      <c r="C12" s="816" t="s">
        <v>65</v>
      </c>
      <c r="D12" s="58" t="e">
        <f>SUM('общ.сводрайон без курсовой '!D12/1000)</f>
        <v>#REF!</v>
      </c>
      <c r="E12" s="210" t="e">
        <f>#REF!/1000</f>
        <v>#REF!</v>
      </c>
      <c r="G12" s="354" t="e">
        <f t="shared" si="0"/>
        <v>#REF!</v>
      </c>
      <c r="I12" s="10" t="e">
        <f>SUM(D12-'район без курсовой'!D12)</f>
        <v>#REF!</v>
      </c>
    </row>
    <row r="13" spans="1:9" ht="21.6" customHeight="1">
      <c r="B13" s="57">
        <v>5</v>
      </c>
      <c r="C13" s="816" t="s">
        <v>66</v>
      </c>
      <c r="D13" s="58" t="e">
        <f>SUM('общ.сводрайон без курсовой '!D13/1000)</f>
        <v>#REF!</v>
      </c>
      <c r="E13" s="210" t="e">
        <f>#REF!/1000</f>
        <v>#REF!</v>
      </c>
      <c r="G13" s="263" t="e">
        <f t="shared" si="0"/>
        <v>#REF!</v>
      </c>
      <c r="I13" s="10" t="e">
        <f>SUM(D13-'район без курсовой'!D13)</f>
        <v>#REF!</v>
      </c>
    </row>
    <row r="14" spans="1:9" ht="21.6" customHeight="1">
      <c r="B14" s="57">
        <f>B13+1</f>
        <v>6</v>
      </c>
      <c r="C14" s="816" t="s">
        <v>67</v>
      </c>
      <c r="D14" s="58" t="e">
        <f>SUM('общ.сводрайон без курсовой '!D14/1000)</f>
        <v>#REF!</v>
      </c>
      <c r="E14" s="210" t="e">
        <f>#REF!/1000</f>
        <v>#REF!</v>
      </c>
      <c r="G14" s="10" t="e">
        <f t="shared" si="0"/>
        <v>#REF!</v>
      </c>
      <c r="I14" s="10" t="e">
        <f>SUM(D14-'район без курсовой'!D14)</f>
        <v>#REF!</v>
      </c>
    </row>
    <row r="15" spans="1:9" ht="21.6" customHeight="1">
      <c r="B15" s="57">
        <f>B14+1</f>
        <v>7</v>
      </c>
      <c r="C15" s="816" t="s">
        <v>68</v>
      </c>
      <c r="D15" s="58" t="e">
        <f>SUM('общ.сводрайон без курсовой '!D15/1000)</f>
        <v>#REF!</v>
      </c>
      <c r="E15" s="210" t="e">
        <f>#REF!/1000</f>
        <v>#REF!</v>
      </c>
      <c r="G15" s="354" t="e">
        <f t="shared" si="0"/>
        <v>#REF!</v>
      </c>
      <c r="I15" s="10" t="e">
        <f>SUM(D15-'район без курсовой'!D15)</f>
        <v>#REF!</v>
      </c>
    </row>
    <row r="16" spans="1:9" ht="21.6" customHeight="1">
      <c r="B16" s="59">
        <f>B15+1</f>
        <v>8</v>
      </c>
      <c r="C16" s="824" t="s">
        <v>69</v>
      </c>
      <c r="D16" s="58" t="e">
        <f>SUM('общ.сводрайон без курсовой '!D16/1000)</f>
        <v>#REF!</v>
      </c>
      <c r="E16" s="210" t="e">
        <f>#REF!/1000</f>
        <v>#REF!</v>
      </c>
      <c r="G16" s="10" t="e">
        <f t="shared" si="0"/>
        <v>#REF!</v>
      </c>
      <c r="I16" s="10" t="e">
        <f>SUM(D16-'район без курсовой'!D16)</f>
        <v>#REF!</v>
      </c>
    </row>
    <row r="17" spans="2:9" ht="22.5" customHeight="1">
      <c r="B17" s="1346" t="s">
        <v>71</v>
      </c>
      <c r="C17" s="1347"/>
      <c r="D17" s="160" t="e">
        <f>SUM(D9:D16)</f>
        <v>#REF!</v>
      </c>
      <c r="E17" s="161" t="e">
        <f>SUM(E9:E16)</f>
        <v>#REF!</v>
      </c>
      <c r="G17" s="10" t="e">
        <f>SUM(E17-#REF!)</f>
        <v>#REF!</v>
      </c>
      <c r="I17" s="10"/>
    </row>
    <row r="18" spans="2:9" ht="22.5" customHeight="1">
      <c r="B18" s="1345" t="s">
        <v>269</v>
      </c>
      <c r="C18" s="1345"/>
      <c r="D18" s="1345"/>
      <c r="E18" s="1345"/>
      <c r="I18" s="10">
        <f>SUM(D18-'район без курсовой'!D18)</f>
        <v>0</v>
      </c>
    </row>
    <row r="19" spans="2:9" ht="21.6" customHeight="1">
      <c r="B19" s="54">
        <f>B16+1</f>
        <v>9</v>
      </c>
      <c r="C19" s="815" t="s">
        <v>51</v>
      </c>
      <c r="D19" s="58" t="e">
        <f>SUM('общ.сводрайон без курсовой '!D19/1000)</f>
        <v>#REF!</v>
      </c>
      <c r="E19" s="210" t="e">
        <f>#REF!/1000</f>
        <v>#REF!</v>
      </c>
      <c r="G19" s="10" t="e">
        <f t="shared" ref="G19:G33" si="1">SUM(D19-E19)</f>
        <v>#REF!</v>
      </c>
      <c r="I19" s="10" t="e">
        <f>SUM(D19-'район без курсовой'!D19)</f>
        <v>#REF!</v>
      </c>
    </row>
    <row r="20" spans="2:9" ht="21.6" customHeight="1">
      <c r="B20" s="57">
        <f t="shared" ref="B20:B33" si="2">B19+1</f>
        <v>10</v>
      </c>
      <c r="C20" s="816" t="s">
        <v>52</v>
      </c>
      <c r="D20" s="58" t="e">
        <f>SUM('общ.сводрайон без курсовой '!D20/1000)</f>
        <v>#REF!</v>
      </c>
      <c r="E20" s="210" t="e">
        <f>#REF!/1000</f>
        <v>#REF!</v>
      </c>
      <c r="G20" s="10" t="e">
        <f t="shared" si="1"/>
        <v>#REF!</v>
      </c>
      <c r="I20" s="10" t="e">
        <f>SUM(D20-'район без курсовой'!D20)</f>
        <v>#REF!</v>
      </c>
    </row>
    <row r="21" spans="2:9" ht="21.6" customHeight="1">
      <c r="B21" s="57">
        <f t="shared" si="2"/>
        <v>11</v>
      </c>
      <c r="C21" s="816" t="s">
        <v>53</v>
      </c>
      <c r="D21" s="58" t="e">
        <f>SUM('общ.сводрайон без курсовой '!D21/1000)</f>
        <v>#REF!</v>
      </c>
      <c r="E21" s="210" t="e">
        <f>#REF!/1000</f>
        <v>#REF!</v>
      </c>
      <c r="G21" s="10" t="e">
        <f t="shared" si="1"/>
        <v>#REF!</v>
      </c>
      <c r="I21" s="10" t="e">
        <f>SUM(D21-'район без курсовой'!D21)</f>
        <v>#REF!</v>
      </c>
    </row>
    <row r="22" spans="2:9" ht="21.6" customHeight="1">
      <c r="B22" s="57">
        <f t="shared" si="2"/>
        <v>12</v>
      </c>
      <c r="C22" s="816" t="s">
        <v>54</v>
      </c>
      <c r="D22" s="58" t="e">
        <f>SUM('общ.сводрайон без курсовой '!D22/1000)</f>
        <v>#REF!</v>
      </c>
      <c r="E22" s="210" t="e">
        <f>#REF!/1000</f>
        <v>#REF!</v>
      </c>
      <c r="G22" s="10" t="e">
        <f t="shared" si="1"/>
        <v>#REF!</v>
      </c>
      <c r="I22" s="10" t="e">
        <f>SUM(D22-'район без курсовой'!D22)</f>
        <v>#REF!</v>
      </c>
    </row>
    <row r="23" spans="2:9" ht="21.6" customHeight="1">
      <c r="B23" s="57">
        <f t="shared" si="2"/>
        <v>13</v>
      </c>
      <c r="C23" s="816" t="s">
        <v>95</v>
      </c>
      <c r="D23" s="58" t="e">
        <f>SUM('общ.сводрайон без курсовой '!D23/1000)</f>
        <v>#REF!</v>
      </c>
      <c r="E23" s="210" t="e">
        <f>#REF!/1000</f>
        <v>#REF!</v>
      </c>
      <c r="G23" s="10" t="e">
        <f t="shared" si="1"/>
        <v>#REF!</v>
      </c>
      <c r="I23" s="10" t="e">
        <f>SUM(D23-'район без курсовой'!D23)</f>
        <v>#REF!</v>
      </c>
    </row>
    <row r="24" spans="2:9" ht="45" customHeight="1">
      <c r="B24" s="1346" t="s">
        <v>267</v>
      </c>
      <c r="C24" s="1347"/>
      <c r="D24" s="89" t="e">
        <f>SUM(D19:D23)</f>
        <v>#REF!</v>
      </c>
      <c r="E24" s="92" t="e">
        <f>SUM(E19:E23)</f>
        <v>#REF!</v>
      </c>
      <c r="F24" s="10"/>
      <c r="G24" s="10" t="e">
        <f>SUM(E24-#REF!)</f>
        <v>#REF!</v>
      </c>
      <c r="I24" s="10" t="e">
        <f>SUM(D24-'район без курсовой'!D24)</f>
        <v>#REF!</v>
      </c>
    </row>
    <row r="25" spans="2:9" ht="22.5" customHeight="1">
      <c r="B25" s="1345" t="s">
        <v>266</v>
      </c>
      <c r="C25" s="1345"/>
      <c r="D25" s="1345"/>
      <c r="E25" s="1345"/>
      <c r="I25" s="10">
        <f>SUM(D25-'район без курсовой'!D25)</f>
        <v>0</v>
      </c>
    </row>
    <row r="26" spans="2:9" ht="21.6" customHeight="1">
      <c r="B26" s="57">
        <f>B23+1</f>
        <v>14</v>
      </c>
      <c r="C26" s="816" t="s">
        <v>59</v>
      </c>
      <c r="D26" s="58" t="e">
        <f>SUM('общ.сводрайон без курсовой '!D26/1000)</f>
        <v>#REF!</v>
      </c>
      <c r="E26" s="210" t="e">
        <f>#REF!/1000</f>
        <v>#REF!</v>
      </c>
      <c r="G26" s="10" t="e">
        <f t="shared" si="1"/>
        <v>#REF!</v>
      </c>
      <c r="I26" s="10" t="e">
        <f>SUM(D26-'район без курсовой'!D26)</f>
        <v>#REF!</v>
      </c>
    </row>
    <row r="27" spans="2:9" ht="21.6" customHeight="1">
      <c r="B27" s="57">
        <f t="shared" si="2"/>
        <v>15</v>
      </c>
      <c r="C27" s="816" t="s">
        <v>56</v>
      </c>
      <c r="D27" s="58" t="e">
        <f>SUM('общ.сводрайон без курсовой '!D27/1000)</f>
        <v>#REF!</v>
      </c>
      <c r="E27" s="210" t="e">
        <f>#REF!/1000</f>
        <v>#REF!</v>
      </c>
      <c r="G27" s="10" t="e">
        <f t="shared" si="1"/>
        <v>#REF!</v>
      </c>
      <c r="I27" s="10" t="e">
        <f>SUM(D27-'район без курсовой'!D27)</f>
        <v>#REF!</v>
      </c>
    </row>
    <row r="28" spans="2:9" ht="21.6" customHeight="1">
      <c r="B28" s="57">
        <f t="shared" si="2"/>
        <v>16</v>
      </c>
      <c r="C28" s="816" t="s">
        <v>140</v>
      </c>
      <c r="D28" s="58" t="e">
        <f>SUM('общ.сводрайон без курсовой '!D28/1000)</f>
        <v>#REF!</v>
      </c>
      <c r="E28" s="210" t="e">
        <f>#REF!/1000</f>
        <v>#REF!</v>
      </c>
      <c r="G28" s="10" t="e">
        <f t="shared" si="1"/>
        <v>#REF!</v>
      </c>
      <c r="I28" s="10" t="e">
        <f>SUM(D28-'район без курсовой'!D28)</f>
        <v>#REF!</v>
      </c>
    </row>
    <row r="29" spans="2:9" ht="21.6" customHeight="1">
      <c r="B29" s="57">
        <v>17</v>
      </c>
      <c r="C29" s="816" t="s">
        <v>58</v>
      </c>
      <c r="D29" s="58" t="e">
        <f>SUM('общ.сводрайон без курсовой '!D29/1000)</f>
        <v>#REF!</v>
      </c>
      <c r="E29" s="210" t="e">
        <f>#REF!/1000</f>
        <v>#REF!</v>
      </c>
      <c r="G29" s="10" t="e">
        <f t="shared" si="1"/>
        <v>#REF!</v>
      </c>
      <c r="I29" s="10" t="e">
        <f>SUM(D29-'район без курсовой'!D29)</f>
        <v>#REF!</v>
      </c>
    </row>
    <row r="30" spans="2:9" ht="21.6" customHeight="1">
      <c r="B30" s="57">
        <f t="shared" si="2"/>
        <v>18</v>
      </c>
      <c r="C30" s="817" t="s">
        <v>57</v>
      </c>
      <c r="D30" s="58" t="e">
        <f>SUM('общ.сводрайон без курсовой '!D30/1000)</f>
        <v>#REF!</v>
      </c>
      <c r="E30" s="210" t="e">
        <f>#REF!/1000</f>
        <v>#REF!</v>
      </c>
      <c r="G30" s="10" t="e">
        <f>SUM(D30-E30)</f>
        <v>#REF!</v>
      </c>
      <c r="I30" s="10" t="e">
        <f>SUM(D30-'район без курсовой'!D30)</f>
        <v>#REF!</v>
      </c>
    </row>
    <row r="31" spans="2:9" ht="21.6" customHeight="1">
      <c r="B31" s="57">
        <f t="shared" si="2"/>
        <v>19</v>
      </c>
      <c r="C31" s="817" t="s">
        <v>108</v>
      </c>
      <c r="D31" s="58" t="e">
        <f>SUM('общ.сводрайон без курсовой '!D31/1000)</f>
        <v>#REF!</v>
      </c>
      <c r="E31" s="210" t="e">
        <f>#REF!/1000</f>
        <v>#REF!</v>
      </c>
      <c r="G31" s="10" t="e">
        <f t="shared" si="1"/>
        <v>#REF!</v>
      </c>
      <c r="I31" s="10" t="e">
        <f>SUM(D31-'район без курсовой'!D31)</f>
        <v>#REF!</v>
      </c>
    </row>
    <row r="32" spans="2:9" ht="21.6" customHeight="1">
      <c r="B32" s="57">
        <f t="shared" si="2"/>
        <v>20</v>
      </c>
      <c r="C32" s="817" t="s">
        <v>61</v>
      </c>
      <c r="D32" s="58" t="e">
        <f>SUM('общ.сводрайон без курсовой '!D32/1000)</f>
        <v>#REF!</v>
      </c>
      <c r="E32" s="210" t="e">
        <f>#REF!/1000</f>
        <v>#REF!</v>
      </c>
      <c r="G32" s="10" t="e">
        <f t="shared" si="1"/>
        <v>#REF!</v>
      </c>
      <c r="I32" s="10" t="e">
        <f>SUM(D32-'район без курсовой'!D32)</f>
        <v>#REF!</v>
      </c>
    </row>
    <row r="33" spans="2:9" ht="21.6" customHeight="1">
      <c r="B33" s="59">
        <f t="shared" si="2"/>
        <v>21</v>
      </c>
      <c r="C33" s="825" t="s">
        <v>109</v>
      </c>
      <c r="D33" s="58" t="e">
        <f>SUM('общ.сводрайон без курсовой '!D33/1000)</f>
        <v>#REF!</v>
      </c>
      <c r="E33" s="210" t="e">
        <f>#REF!/1000</f>
        <v>#REF!</v>
      </c>
      <c r="G33" s="10" t="e">
        <f t="shared" si="1"/>
        <v>#REF!</v>
      </c>
      <c r="I33" s="10" t="e">
        <f>SUM(D33-'район без курсовой'!D33)</f>
        <v>#REF!</v>
      </c>
    </row>
    <row r="34" spans="2:9" ht="45" customHeight="1">
      <c r="B34" s="1346" t="s">
        <v>268</v>
      </c>
      <c r="C34" s="1347"/>
      <c r="D34" s="89" t="e">
        <f>SUM(D26:D33)</f>
        <v>#REF!</v>
      </c>
      <c r="E34" s="92" t="e">
        <f>SUM(E26:E33)</f>
        <v>#REF!</v>
      </c>
      <c r="F34" s="10"/>
      <c r="G34" s="10" t="e">
        <f>SUM(E34-#REF!)</f>
        <v>#REF!</v>
      </c>
      <c r="I34" s="10" t="e">
        <f>SUM(D34-'район без курсовой'!D34)</f>
        <v>#REF!</v>
      </c>
    </row>
    <row r="35" spans="2:9" ht="22.5" customHeight="1">
      <c r="B35" s="1345" t="s">
        <v>72</v>
      </c>
      <c r="C35" s="1345"/>
      <c r="D35" s="1345"/>
      <c r="E35" s="1345"/>
      <c r="I35" s="10">
        <f>SUM(D35-'район без курсовой'!D35)</f>
        <v>0</v>
      </c>
    </row>
    <row r="36" spans="2:9" ht="21.6" customHeight="1">
      <c r="B36" s="54">
        <v>22</v>
      </c>
      <c r="C36" s="802" t="s">
        <v>444</v>
      </c>
      <c r="D36" s="58" t="e">
        <f>SUM('общ.сводрайон без курсовой '!D36/1000)</f>
        <v>#REF!</v>
      </c>
      <c r="E36" s="210" t="e">
        <f>#REF!/1000</f>
        <v>#REF!</v>
      </c>
      <c r="G36" s="10" t="e">
        <f t="shared" ref="G36:G60" si="3">SUM(D36-E36)</f>
        <v>#REF!</v>
      </c>
      <c r="I36" s="10" t="e">
        <f>SUM(D36-'район без курсовой'!D36)</f>
        <v>#REF!</v>
      </c>
    </row>
    <row r="37" spans="2:9" ht="21.6" customHeight="1">
      <c r="B37" s="57">
        <f>B36+1</f>
        <v>23</v>
      </c>
      <c r="C37" s="803" t="s">
        <v>172</v>
      </c>
      <c r="D37" s="58" t="e">
        <f>SUM('общ.сводрайон без курсовой '!D37/1000)</f>
        <v>#REF!</v>
      </c>
      <c r="E37" s="210" t="e">
        <f>#REF!/1000</f>
        <v>#REF!</v>
      </c>
      <c r="G37" s="10" t="e">
        <f t="shared" si="3"/>
        <v>#REF!</v>
      </c>
      <c r="I37" s="10" t="e">
        <f>SUM(D37-'район без курсовой'!D37)</f>
        <v>#REF!</v>
      </c>
    </row>
    <row r="38" spans="2:9" ht="21.6" customHeight="1">
      <c r="B38" s="57">
        <f t="shared" ref="B38:B60" si="4">B37+1</f>
        <v>24</v>
      </c>
      <c r="C38" s="803" t="s">
        <v>445</v>
      </c>
      <c r="D38" s="58" t="e">
        <f>SUM('общ.сводрайон без курсовой '!D38/1000)</f>
        <v>#REF!</v>
      </c>
      <c r="E38" s="210" t="e">
        <f>#REF!/1000</f>
        <v>#REF!</v>
      </c>
      <c r="G38" s="10" t="e">
        <f t="shared" si="3"/>
        <v>#REF!</v>
      </c>
      <c r="I38" s="10" t="e">
        <f>SUM(D38-'район без курсовой'!D38)</f>
        <v>#REF!</v>
      </c>
    </row>
    <row r="39" spans="2:9" ht="21.6" customHeight="1">
      <c r="B39" s="57">
        <f t="shared" si="4"/>
        <v>25</v>
      </c>
      <c r="C39" s="803" t="s">
        <v>173</v>
      </c>
      <c r="D39" s="58" t="e">
        <f>SUM('общ.сводрайон без курсовой '!D39/1000)</f>
        <v>#REF!</v>
      </c>
      <c r="E39" s="210" t="e">
        <f>#REF!/1000</f>
        <v>#REF!</v>
      </c>
      <c r="G39" s="10" t="e">
        <f t="shared" si="3"/>
        <v>#REF!</v>
      </c>
      <c r="I39" s="10" t="e">
        <f>SUM(D39-'район без курсовой'!D39)</f>
        <v>#REF!</v>
      </c>
    </row>
    <row r="40" spans="2:9" ht="21.6" customHeight="1">
      <c r="B40" s="57">
        <f t="shared" si="4"/>
        <v>26</v>
      </c>
      <c r="C40" s="803" t="s">
        <v>174</v>
      </c>
      <c r="D40" s="58" t="e">
        <f>SUM('общ.сводрайон без курсовой '!D40/1000)</f>
        <v>#REF!</v>
      </c>
      <c r="E40" s="210" t="e">
        <f>#REF!/1000</f>
        <v>#REF!</v>
      </c>
      <c r="G40" s="10" t="e">
        <f t="shared" si="3"/>
        <v>#REF!</v>
      </c>
      <c r="I40" s="10" t="e">
        <f>SUM(D40-'район без курсовой'!D40)</f>
        <v>#REF!</v>
      </c>
    </row>
    <row r="41" spans="2:9" ht="21.6" customHeight="1">
      <c r="B41" s="57">
        <f t="shared" si="4"/>
        <v>27</v>
      </c>
      <c r="C41" s="803" t="s">
        <v>446</v>
      </c>
      <c r="D41" s="58" t="e">
        <f>SUM('общ.сводрайон без курсовой '!D41/1000)</f>
        <v>#REF!</v>
      </c>
      <c r="E41" s="210" t="e">
        <f>#REF!/1000</f>
        <v>#REF!</v>
      </c>
      <c r="G41" s="354" t="e">
        <f t="shared" si="3"/>
        <v>#REF!</v>
      </c>
      <c r="I41" s="10" t="e">
        <f>SUM(D41-'район без курсовой'!D41)</f>
        <v>#REF!</v>
      </c>
    </row>
    <row r="42" spans="2:9" ht="21.6" customHeight="1">
      <c r="B42" s="57">
        <f t="shared" si="4"/>
        <v>28</v>
      </c>
      <c r="C42" s="803" t="s">
        <v>142</v>
      </c>
      <c r="D42" s="58" t="e">
        <f>SUM('общ.сводрайон без курсовой '!D42/1000)</f>
        <v>#REF!</v>
      </c>
      <c r="E42" s="210" t="e">
        <f>#REF!/1000</f>
        <v>#REF!</v>
      </c>
      <c r="G42" s="263" t="e">
        <f t="shared" si="3"/>
        <v>#REF!</v>
      </c>
      <c r="I42" s="10" t="e">
        <f>SUM(D42-'район без курсовой'!D42)</f>
        <v>#REF!</v>
      </c>
    </row>
    <row r="43" spans="2:9" ht="21.6" customHeight="1">
      <c r="B43" s="57">
        <f t="shared" si="4"/>
        <v>29</v>
      </c>
      <c r="C43" s="803" t="s">
        <v>208</v>
      </c>
      <c r="D43" s="58" t="e">
        <f>SUM('общ.сводрайон без курсовой '!D43/1000)</f>
        <v>#REF!</v>
      </c>
      <c r="E43" s="210" t="e">
        <f>#REF!/1000</f>
        <v>#REF!</v>
      </c>
      <c r="G43" s="10" t="e">
        <f t="shared" si="3"/>
        <v>#REF!</v>
      </c>
      <c r="I43" s="10" t="e">
        <f>SUM(D43-'район без курсовой'!D43)</f>
        <v>#REF!</v>
      </c>
    </row>
    <row r="44" spans="2:9" ht="21.6" customHeight="1">
      <c r="B44" s="57">
        <f t="shared" si="4"/>
        <v>30</v>
      </c>
      <c r="C44" s="803" t="s">
        <v>176</v>
      </c>
      <c r="D44" s="58" t="e">
        <f>SUM('общ.сводрайон без курсовой '!D44/1000)</f>
        <v>#REF!</v>
      </c>
      <c r="E44" s="210" t="e">
        <f>#REF!/1000</f>
        <v>#REF!</v>
      </c>
      <c r="G44" s="10" t="e">
        <f t="shared" si="3"/>
        <v>#REF!</v>
      </c>
      <c r="I44" s="10" t="e">
        <f>SUM(D44-'район без курсовой'!D44)</f>
        <v>#REF!</v>
      </c>
    </row>
    <row r="45" spans="2:9" ht="21.6" customHeight="1">
      <c r="B45" s="57">
        <f t="shared" si="4"/>
        <v>31</v>
      </c>
      <c r="C45" s="803" t="s">
        <v>177</v>
      </c>
      <c r="D45" s="58" t="e">
        <f>SUM('общ.сводрайон без курсовой '!D45/1000)</f>
        <v>#REF!</v>
      </c>
      <c r="E45" s="210" t="e">
        <f>#REF!/1000</f>
        <v>#REF!</v>
      </c>
      <c r="G45" s="10" t="e">
        <f t="shared" si="3"/>
        <v>#REF!</v>
      </c>
      <c r="I45" s="10" t="e">
        <f>SUM(D45-'район без курсовой'!D45)</f>
        <v>#REF!</v>
      </c>
    </row>
    <row r="46" spans="2:9" ht="21.6" customHeight="1">
      <c r="B46" s="57">
        <f t="shared" si="4"/>
        <v>32</v>
      </c>
      <c r="C46" s="803" t="s">
        <v>178</v>
      </c>
      <c r="D46" s="209" t="e">
        <f>SUM('общ.сводрайон без курсовой '!D46/1000)</f>
        <v>#REF!</v>
      </c>
      <c r="E46" s="210" t="e">
        <f>#REF!/1000</f>
        <v>#REF!</v>
      </c>
      <c r="G46" s="263" t="e">
        <f t="shared" si="3"/>
        <v>#REF!</v>
      </c>
      <c r="I46" s="10" t="e">
        <f>SUM(D46-'район без курсовой'!D46)</f>
        <v>#REF!</v>
      </c>
    </row>
    <row r="47" spans="2:9" ht="21.6" customHeight="1">
      <c r="B47" s="57">
        <f t="shared" si="4"/>
        <v>33</v>
      </c>
      <c r="C47" s="803" t="s">
        <v>179</v>
      </c>
      <c r="D47" s="58" t="e">
        <f>SUM('общ.сводрайон без курсовой '!D47/1000)</f>
        <v>#REF!</v>
      </c>
      <c r="E47" s="210" t="e">
        <f>#REF!/1000</f>
        <v>#REF!</v>
      </c>
      <c r="G47" s="10" t="e">
        <f t="shared" si="3"/>
        <v>#REF!</v>
      </c>
      <c r="I47" s="10" t="e">
        <f>SUM(D47-'район без курсовой'!D47)</f>
        <v>#REF!</v>
      </c>
    </row>
    <row r="48" spans="2:9" ht="21.6" customHeight="1">
      <c r="B48" s="57">
        <f t="shared" si="4"/>
        <v>34</v>
      </c>
      <c r="C48" s="803" t="s">
        <v>447</v>
      </c>
      <c r="D48" s="58" t="e">
        <f>SUM('общ.сводрайон без курсовой '!D48/1000)</f>
        <v>#REF!</v>
      </c>
      <c r="E48" s="210" t="e">
        <f>#REF!/1000</f>
        <v>#REF!</v>
      </c>
      <c r="G48" s="10" t="e">
        <f t="shared" si="3"/>
        <v>#REF!</v>
      </c>
      <c r="I48" s="10" t="e">
        <f>SUM(D48-'район без курсовой'!D48)</f>
        <v>#REF!</v>
      </c>
    </row>
    <row r="49" spans="2:9" ht="21.6" customHeight="1">
      <c r="B49" s="57">
        <f t="shared" si="4"/>
        <v>35</v>
      </c>
      <c r="C49" s="803" t="s">
        <v>436</v>
      </c>
      <c r="D49" s="58" t="e">
        <f>SUM('общ.сводрайон без курсовой '!D49/1000)</f>
        <v>#REF!</v>
      </c>
      <c r="E49" s="210" t="e">
        <f>#REF!/1000</f>
        <v>#REF!</v>
      </c>
      <c r="G49" s="10" t="e">
        <f>SUM(D49-E49)</f>
        <v>#REF!</v>
      </c>
      <c r="I49" s="10" t="e">
        <f>SUM(D49-'район без курсовой'!D49)</f>
        <v>#REF!</v>
      </c>
    </row>
    <row r="50" spans="2:9" ht="21.6" customHeight="1">
      <c r="B50" s="57">
        <f t="shared" si="4"/>
        <v>36</v>
      </c>
      <c r="C50" s="803" t="s">
        <v>209</v>
      </c>
      <c r="D50" s="58" t="e">
        <f>SUM('общ.сводрайон без курсовой '!D50/1000)</f>
        <v>#REF!</v>
      </c>
      <c r="E50" s="210" t="e">
        <f>#REF!/1000</f>
        <v>#REF!</v>
      </c>
      <c r="G50" s="10" t="e">
        <f t="shared" si="3"/>
        <v>#REF!</v>
      </c>
      <c r="I50" s="10" t="e">
        <f>SUM(D50-'район без курсовой'!D50)</f>
        <v>#REF!</v>
      </c>
    </row>
    <row r="51" spans="2:9" ht="21.6" customHeight="1">
      <c r="B51" s="57">
        <f>B50+1</f>
        <v>37</v>
      </c>
      <c r="C51" s="803" t="s">
        <v>182</v>
      </c>
      <c r="D51" s="58" t="e">
        <f>SUM('общ.сводрайон без курсовой '!D51/1000)</f>
        <v>#REF!</v>
      </c>
      <c r="E51" s="210" t="e">
        <f>#REF!/1000</f>
        <v>#REF!</v>
      </c>
      <c r="G51" s="10" t="e">
        <f t="shared" si="3"/>
        <v>#REF!</v>
      </c>
      <c r="I51" s="10" t="e">
        <f>SUM(D51-'район без курсовой'!D51)</f>
        <v>#REF!</v>
      </c>
    </row>
    <row r="52" spans="2:9" ht="21.6" customHeight="1">
      <c r="B52" s="57">
        <f t="shared" si="4"/>
        <v>38</v>
      </c>
      <c r="C52" s="803" t="s">
        <v>183</v>
      </c>
      <c r="D52" s="58" t="e">
        <f>SUM('общ.сводрайон без курсовой '!D52/1000)</f>
        <v>#REF!</v>
      </c>
      <c r="E52" s="210" t="e">
        <f>#REF!/1000</f>
        <v>#REF!</v>
      </c>
      <c r="G52" s="10" t="e">
        <f t="shared" si="3"/>
        <v>#REF!</v>
      </c>
      <c r="I52" s="10" t="e">
        <f>SUM(D52-'район без курсовой'!D52)</f>
        <v>#REF!</v>
      </c>
    </row>
    <row r="53" spans="2:9" ht="21.6" customHeight="1">
      <c r="B53" s="57">
        <f t="shared" si="4"/>
        <v>39</v>
      </c>
      <c r="C53" s="803" t="s">
        <v>184</v>
      </c>
      <c r="D53" s="58" t="e">
        <f>SUM('общ.сводрайон без курсовой '!D53/1000)</f>
        <v>#REF!</v>
      </c>
      <c r="E53" s="210" t="e">
        <f>#REF!/1000</f>
        <v>#REF!</v>
      </c>
      <c r="G53" s="10" t="e">
        <f t="shared" si="3"/>
        <v>#REF!</v>
      </c>
      <c r="I53" s="10" t="e">
        <f>SUM(D53-'район без курсовой'!D53)</f>
        <v>#REF!</v>
      </c>
    </row>
    <row r="54" spans="2:9" ht="21.6" customHeight="1">
      <c r="B54" s="57">
        <f t="shared" si="4"/>
        <v>40</v>
      </c>
      <c r="C54" s="803" t="s">
        <v>185</v>
      </c>
      <c r="D54" s="58" t="e">
        <f>SUM('общ.сводрайон без курсовой '!D54/1000)</f>
        <v>#REF!</v>
      </c>
      <c r="E54" s="210" t="e">
        <f>#REF!/1000</f>
        <v>#REF!</v>
      </c>
      <c r="G54" s="10" t="e">
        <f t="shared" si="3"/>
        <v>#REF!</v>
      </c>
      <c r="I54" s="10" t="e">
        <f>SUM(D54-'район без курсовой'!D54)</f>
        <v>#REF!</v>
      </c>
    </row>
    <row r="55" spans="2:9" ht="21.6" customHeight="1">
      <c r="B55" s="57">
        <f t="shared" si="4"/>
        <v>41</v>
      </c>
      <c r="C55" s="803" t="s">
        <v>186</v>
      </c>
      <c r="D55" s="58" t="e">
        <f>SUM('общ.сводрайон без курсовой '!D55/1000)</f>
        <v>#REF!</v>
      </c>
      <c r="E55" s="210" t="e">
        <f>#REF!/1000</f>
        <v>#REF!</v>
      </c>
      <c r="G55" s="10" t="e">
        <f t="shared" si="3"/>
        <v>#REF!</v>
      </c>
      <c r="I55" s="10" t="e">
        <f>SUM(D55-'район без курсовой'!D55)</f>
        <v>#REF!</v>
      </c>
    </row>
    <row r="56" spans="2:9" ht="21.6" customHeight="1">
      <c r="B56" s="57">
        <f t="shared" si="4"/>
        <v>42</v>
      </c>
      <c r="C56" s="803" t="s">
        <v>187</v>
      </c>
      <c r="D56" s="58" t="e">
        <f>SUM('общ.сводрайон без курсовой '!D56/1000)</f>
        <v>#REF!</v>
      </c>
      <c r="E56" s="210" t="e">
        <f>#REF!/1000</f>
        <v>#REF!</v>
      </c>
      <c r="G56" s="10" t="e">
        <f t="shared" si="3"/>
        <v>#REF!</v>
      </c>
      <c r="I56" s="10" t="e">
        <f>SUM(D56-'район без курсовой'!D56)</f>
        <v>#REF!</v>
      </c>
    </row>
    <row r="57" spans="2:9" ht="21.6" customHeight="1">
      <c r="B57" s="57">
        <f t="shared" si="4"/>
        <v>43</v>
      </c>
      <c r="C57" s="803" t="s">
        <v>188</v>
      </c>
      <c r="D57" s="58" t="e">
        <f>SUM('общ.сводрайон без курсовой '!D57/1000)</f>
        <v>#REF!</v>
      </c>
      <c r="E57" s="210" t="e">
        <f>#REF!/1000</f>
        <v>#REF!</v>
      </c>
      <c r="G57" s="10" t="e">
        <f t="shared" si="3"/>
        <v>#REF!</v>
      </c>
      <c r="I57" s="10" t="e">
        <f>SUM(D57-'район без курсовой'!D57)</f>
        <v>#REF!</v>
      </c>
    </row>
    <row r="58" spans="2:9" ht="21.6" customHeight="1">
      <c r="B58" s="57">
        <f t="shared" si="4"/>
        <v>44</v>
      </c>
      <c r="C58" s="803" t="s">
        <v>189</v>
      </c>
      <c r="D58" s="58" t="e">
        <f>SUM('общ.сводрайон без курсовой '!D58/1000)</f>
        <v>#REF!</v>
      </c>
      <c r="E58" s="210" t="e">
        <f>#REF!/1000</f>
        <v>#REF!</v>
      </c>
      <c r="G58" s="10" t="e">
        <f t="shared" si="3"/>
        <v>#REF!</v>
      </c>
      <c r="I58" s="10" t="e">
        <f>SUM(D58-'район без курсовой'!D58)</f>
        <v>#REF!</v>
      </c>
    </row>
    <row r="59" spans="2:9" ht="21.6" customHeight="1">
      <c r="B59" s="57">
        <f t="shared" si="4"/>
        <v>45</v>
      </c>
      <c r="C59" s="803" t="s">
        <v>448</v>
      </c>
      <c r="D59" s="58" t="e">
        <f>SUM('общ.сводрайон без курсовой '!D59/1000)</f>
        <v>#REF!</v>
      </c>
      <c r="E59" s="210" t="e">
        <f>#REF!/1000</f>
        <v>#REF!</v>
      </c>
      <c r="G59" s="10" t="e">
        <f t="shared" si="3"/>
        <v>#REF!</v>
      </c>
      <c r="I59" s="10" t="e">
        <f>SUM(D59-'район без курсовой'!D59)</f>
        <v>#REF!</v>
      </c>
    </row>
    <row r="60" spans="2:9" ht="21.6" customHeight="1">
      <c r="B60" s="59">
        <f t="shared" si="4"/>
        <v>46</v>
      </c>
      <c r="C60" s="803" t="s">
        <v>211</v>
      </c>
      <c r="D60" s="58" t="e">
        <f>SUM('общ.сводрайон без курсовой '!D60/1000)</f>
        <v>#REF!</v>
      </c>
      <c r="E60" s="210" t="e">
        <f>#REF!/1000</f>
        <v>#REF!</v>
      </c>
      <c r="G60" s="10" t="e">
        <f t="shared" si="3"/>
        <v>#REF!</v>
      </c>
      <c r="I60" s="10" t="e">
        <f>SUM(D60-'район без курсовой'!D60)</f>
        <v>#REF!</v>
      </c>
    </row>
    <row r="61" spans="2:9" ht="22.5" customHeight="1">
      <c r="B61" s="1346" t="s">
        <v>50</v>
      </c>
      <c r="C61" s="1347"/>
      <c r="D61" s="91" t="e">
        <f>SUM(D36:D60)</f>
        <v>#REF!</v>
      </c>
      <c r="E61" s="91" t="e">
        <f>SUM(E36:E60)</f>
        <v>#REF!</v>
      </c>
      <c r="G61" s="10" t="e">
        <f>SUM(E61-#REF!)</f>
        <v>#REF!</v>
      </c>
      <c r="I61" s="10" t="e">
        <f>SUM(D61-'район без курсовой'!D61)</f>
        <v>#REF!</v>
      </c>
    </row>
    <row r="62" spans="2:9" ht="22.5" customHeight="1">
      <c r="B62" s="1345" t="s">
        <v>74</v>
      </c>
      <c r="C62" s="1345"/>
      <c r="D62" s="1345"/>
      <c r="E62" s="1345"/>
      <c r="I62" s="10">
        <f>SUM(D62-'район без курсовой'!D62)</f>
        <v>0</v>
      </c>
    </row>
    <row r="63" spans="2:9" ht="21.6" customHeight="1">
      <c r="B63" s="182">
        <f>B60+1</f>
        <v>47</v>
      </c>
      <c r="C63" s="818" t="s">
        <v>5</v>
      </c>
      <c r="D63" s="58" t="e">
        <f>SUM('общ.сводрайон без курсовой '!D63/1000)</f>
        <v>#REF!</v>
      </c>
      <c r="E63" s="210" t="e">
        <f>#REF!/1000</f>
        <v>#REF!</v>
      </c>
      <c r="G63" s="10" t="e">
        <f t="shared" ref="G63:G80" si="5">SUM(D63-E63)</f>
        <v>#REF!</v>
      </c>
      <c r="I63" s="10" t="e">
        <f>SUM(D63-'район без курсовой'!D63)</f>
        <v>#REF!</v>
      </c>
    </row>
    <row r="64" spans="2:9" ht="21.6" customHeight="1">
      <c r="B64" s="125">
        <f>B63+1</f>
        <v>48</v>
      </c>
      <c r="C64" s="816" t="s">
        <v>111</v>
      </c>
      <c r="D64" s="58" t="e">
        <f>SUM('общ.сводрайон без курсовой '!D64/1000)</f>
        <v>#REF!</v>
      </c>
      <c r="E64" s="210" t="e">
        <f>#REF!/1000</f>
        <v>#REF!</v>
      </c>
      <c r="G64" s="10" t="e">
        <f t="shared" si="5"/>
        <v>#REF!</v>
      </c>
      <c r="I64" s="10" t="e">
        <f>SUM(D64-'район без курсовой'!D64)</f>
        <v>#REF!</v>
      </c>
    </row>
    <row r="65" spans="2:9" ht="21.6" customHeight="1">
      <c r="B65" s="125">
        <f t="shared" ref="B65:B78" si="6">B64+1</f>
        <v>49</v>
      </c>
      <c r="C65" s="816" t="s">
        <v>112</v>
      </c>
      <c r="D65" s="58" t="e">
        <f>SUM('общ.сводрайон без курсовой '!D65/1000)</f>
        <v>#REF!</v>
      </c>
      <c r="E65" s="210" t="e">
        <f>#REF!/1000</f>
        <v>#REF!</v>
      </c>
      <c r="G65" s="10" t="e">
        <f t="shared" si="5"/>
        <v>#REF!</v>
      </c>
      <c r="I65" s="10" t="e">
        <f>SUM(D65-'район без курсовой'!D65)</f>
        <v>#REF!</v>
      </c>
    </row>
    <row r="66" spans="2:9" ht="21.6" customHeight="1">
      <c r="B66" s="125">
        <f t="shared" si="6"/>
        <v>50</v>
      </c>
      <c r="C66" s="816" t="s">
        <v>242</v>
      </c>
      <c r="D66" s="58" t="e">
        <f>SUM('общ.сводрайон без курсовой '!D66/1000)</f>
        <v>#REF!</v>
      </c>
      <c r="E66" s="210" t="e">
        <f>#REF!/1000</f>
        <v>#REF!</v>
      </c>
      <c r="G66" s="10" t="e">
        <f t="shared" si="5"/>
        <v>#REF!</v>
      </c>
      <c r="I66" s="10" t="e">
        <f>SUM(D66-'район без курсовой'!D66)</f>
        <v>#REF!</v>
      </c>
    </row>
    <row r="67" spans="2:9" ht="21.6" customHeight="1">
      <c r="B67" s="125">
        <f t="shared" si="6"/>
        <v>51</v>
      </c>
      <c r="C67" s="816" t="s">
        <v>129</v>
      </c>
      <c r="D67" s="58" t="e">
        <f>SUM('общ.сводрайон без курсовой '!D67/1000)</f>
        <v>#REF!</v>
      </c>
      <c r="E67" s="210" t="e">
        <f>#REF!/1000</f>
        <v>#REF!</v>
      </c>
      <c r="G67" s="10" t="e">
        <f t="shared" si="5"/>
        <v>#REF!</v>
      </c>
      <c r="I67" s="10" t="e">
        <f>SUM(D67-'район без курсовой'!D67)</f>
        <v>#REF!</v>
      </c>
    </row>
    <row r="68" spans="2:9" ht="21.6" customHeight="1">
      <c r="B68" s="125">
        <f t="shared" si="6"/>
        <v>52</v>
      </c>
      <c r="C68" s="816" t="s">
        <v>145</v>
      </c>
      <c r="D68" s="58" t="e">
        <f>SUM('общ.сводрайон без курсовой '!D68/1000)</f>
        <v>#REF!</v>
      </c>
      <c r="E68" s="210" t="e">
        <f>#REF!/1000</f>
        <v>#REF!</v>
      </c>
      <c r="G68" s="10" t="e">
        <f t="shared" si="5"/>
        <v>#REF!</v>
      </c>
      <c r="I68" s="10" t="e">
        <f>SUM(D68-'район без курсовой'!D68)</f>
        <v>#REF!</v>
      </c>
    </row>
    <row r="69" spans="2:9" ht="21.6" customHeight="1">
      <c r="B69" s="125">
        <f t="shared" si="6"/>
        <v>53</v>
      </c>
      <c r="C69" s="816" t="s">
        <v>146</v>
      </c>
      <c r="D69" s="58" t="e">
        <f>SUM('общ.сводрайон без курсовой '!D69/1000)</f>
        <v>#REF!</v>
      </c>
      <c r="E69" s="210" t="e">
        <f>#REF!/1000</f>
        <v>#REF!</v>
      </c>
      <c r="G69" s="10" t="e">
        <f t="shared" si="5"/>
        <v>#REF!</v>
      </c>
      <c r="I69" s="10" t="e">
        <f>SUM(D69-'район без курсовой'!D69)</f>
        <v>#REF!</v>
      </c>
    </row>
    <row r="70" spans="2:9" ht="21.6" customHeight="1">
      <c r="B70" s="125">
        <f t="shared" si="6"/>
        <v>54</v>
      </c>
      <c r="C70" s="816" t="s">
        <v>165</v>
      </c>
      <c r="D70" s="58" t="e">
        <f>SUM('общ.сводрайон без курсовой '!D70/1000)</f>
        <v>#REF!</v>
      </c>
      <c r="E70" s="210" t="e">
        <f>#REF!/1000</f>
        <v>#REF!</v>
      </c>
      <c r="G70" s="10" t="e">
        <f t="shared" si="5"/>
        <v>#REF!</v>
      </c>
      <c r="I70" s="10" t="e">
        <f>SUM(D70-'район без курсовой'!D70)</f>
        <v>#REF!</v>
      </c>
    </row>
    <row r="71" spans="2:9" ht="21.6" customHeight="1">
      <c r="B71" s="125">
        <f t="shared" si="6"/>
        <v>55</v>
      </c>
      <c r="C71" s="817" t="s">
        <v>17</v>
      </c>
      <c r="D71" s="58" t="e">
        <f>SUM('общ.сводрайон без курсовой '!D71/1000)</f>
        <v>#REF!</v>
      </c>
      <c r="E71" s="210" t="e">
        <f>#REF!/1000</f>
        <v>#REF!</v>
      </c>
      <c r="G71" s="10" t="e">
        <f t="shared" si="5"/>
        <v>#REF!</v>
      </c>
      <c r="I71" s="10" t="e">
        <f>SUM(D71-'район без курсовой'!D71)</f>
        <v>#REF!</v>
      </c>
    </row>
    <row r="72" spans="2:9" ht="21.6" customHeight="1">
      <c r="B72" s="125">
        <f t="shared" si="6"/>
        <v>56</v>
      </c>
      <c r="C72" s="817" t="s">
        <v>18</v>
      </c>
      <c r="D72" s="58" t="e">
        <f>SUM('общ.сводрайон без курсовой '!D72/1000)</f>
        <v>#REF!</v>
      </c>
      <c r="E72" s="210" t="e">
        <f>#REF!/1000</f>
        <v>#REF!</v>
      </c>
      <c r="G72" s="10" t="e">
        <f t="shared" si="5"/>
        <v>#REF!</v>
      </c>
      <c r="I72" s="10" t="e">
        <f>SUM(D72-'район без курсовой'!D72)</f>
        <v>#REF!</v>
      </c>
    </row>
    <row r="73" spans="2:9" ht="21.6" customHeight="1">
      <c r="B73" s="125">
        <f t="shared" si="6"/>
        <v>57</v>
      </c>
      <c r="C73" s="817" t="s">
        <v>19</v>
      </c>
      <c r="D73" s="58" t="e">
        <f>SUM('общ.сводрайон без курсовой '!D73/1000)</f>
        <v>#REF!</v>
      </c>
      <c r="E73" s="210" t="e">
        <f>#REF!/1000</f>
        <v>#REF!</v>
      </c>
      <c r="G73" s="10" t="e">
        <f t="shared" si="5"/>
        <v>#REF!</v>
      </c>
      <c r="I73" s="10" t="e">
        <f>SUM(D73-'район без курсовой'!D73)</f>
        <v>#REF!</v>
      </c>
    </row>
    <row r="74" spans="2:9" ht="21.6" customHeight="1">
      <c r="B74" s="125">
        <f t="shared" si="6"/>
        <v>58</v>
      </c>
      <c r="C74" s="817" t="s">
        <v>20</v>
      </c>
      <c r="D74" s="58" t="e">
        <f>SUM('общ.сводрайон без курсовой '!D74/1000)</f>
        <v>#REF!</v>
      </c>
      <c r="E74" s="210" t="e">
        <f>#REF!/1000</f>
        <v>#REF!</v>
      </c>
      <c r="G74" s="10" t="e">
        <f t="shared" si="5"/>
        <v>#REF!</v>
      </c>
      <c r="I74" s="10" t="e">
        <f>SUM(D74-'район без курсовой'!D74)</f>
        <v>#REF!</v>
      </c>
    </row>
    <row r="75" spans="2:9" ht="21.6" customHeight="1">
      <c r="B75" s="125">
        <f t="shared" si="6"/>
        <v>59</v>
      </c>
      <c r="C75" s="817" t="s">
        <v>9</v>
      </c>
      <c r="D75" s="58" t="e">
        <f>SUM('общ.сводрайон без курсовой '!D75/1000)</f>
        <v>#REF!</v>
      </c>
      <c r="E75" s="210" t="e">
        <f>#REF!/1000</f>
        <v>#REF!</v>
      </c>
      <c r="G75" s="10" t="e">
        <f t="shared" si="5"/>
        <v>#REF!</v>
      </c>
      <c r="I75" s="10" t="e">
        <f>SUM(D75-'район без курсовой'!D75)</f>
        <v>#REF!</v>
      </c>
    </row>
    <row r="76" spans="2:9" ht="21.6" customHeight="1">
      <c r="B76" s="125">
        <f t="shared" si="6"/>
        <v>60</v>
      </c>
      <c r="C76" s="817" t="s">
        <v>115</v>
      </c>
      <c r="D76" s="58" t="e">
        <f>SUM('общ.сводрайон без курсовой '!D76/1000)</f>
        <v>#REF!</v>
      </c>
      <c r="E76" s="210" t="e">
        <f>#REF!/1000</f>
        <v>#REF!</v>
      </c>
      <c r="G76" s="10" t="e">
        <f t="shared" si="5"/>
        <v>#REF!</v>
      </c>
      <c r="I76" s="10" t="e">
        <f>SUM(D76-'район без курсовой'!D76)</f>
        <v>#REF!</v>
      </c>
    </row>
    <row r="77" spans="2:9" ht="21.6" customHeight="1">
      <c r="B77" s="125">
        <f t="shared" si="6"/>
        <v>61</v>
      </c>
      <c r="C77" s="817" t="s">
        <v>11</v>
      </c>
      <c r="D77" s="58" t="e">
        <f>SUM('общ.сводрайон без курсовой '!D77/1000)</f>
        <v>#REF!</v>
      </c>
      <c r="E77" s="210" t="e">
        <f>#REF!/1000</f>
        <v>#REF!</v>
      </c>
      <c r="G77" s="10" t="e">
        <f t="shared" si="5"/>
        <v>#REF!</v>
      </c>
      <c r="I77" s="10" t="e">
        <f>SUM(D77-'район без курсовой'!D77)</f>
        <v>#REF!</v>
      </c>
    </row>
    <row r="78" spans="2:9" ht="21.6" customHeight="1">
      <c r="B78" s="125">
        <f t="shared" si="6"/>
        <v>62</v>
      </c>
      <c r="C78" s="817" t="s">
        <v>13</v>
      </c>
      <c r="D78" s="58" t="e">
        <f>SUM('общ.сводрайон без курсовой '!D78/1000)</f>
        <v>#REF!</v>
      </c>
      <c r="E78" s="210" t="e">
        <f>#REF!/1000</f>
        <v>#REF!</v>
      </c>
      <c r="G78" s="10" t="e">
        <f t="shared" si="5"/>
        <v>#REF!</v>
      </c>
      <c r="I78" s="10" t="e">
        <f>SUM(D78-'район без курсовой'!D78)</f>
        <v>#REF!</v>
      </c>
    </row>
    <row r="79" spans="2:9" ht="21.6" customHeight="1">
      <c r="B79" s="125">
        <v>63</v>
      </c>
      <c r="C79" s="817" t="s">
        <v>14</v>
      </c>
      <c r="D79" s="58" t="e">
        <f>SUM('общ.сводрайон без курсовой '!D79/1000)</f>
        <v>#REF!</v>
      </c>
      <c r="E79" s="210" t="e">
        <f>#REF!/1000</f>
        <v>#REF!</v>
      </c>
      <c r="G79" s="10" t="e">
        <f t="shared" si="5"/>
        <v>#REF!</v>
      </c>
      <c r="I79" s="10" t="e">
        <f>SUM(D79-'район без курсовой'!D79)</f>
        <v>#REF!</v>
      </c>
    </row>
    <row r="80" spans="2:9" ht="21.6" customHeight="1">
      <c r="B80" s="124">
        <v>64</v>
      </c>
      <c r="C80" s="825" t="s">
        <v>15</v>
      </c>
      <c r="D80" s="58" t="e">
        <f>SUM('общ.сводрайон без курсовой '!D80/1000)</f>
        <v>#REF!</v>
      </c>
      <c r="E80" s="210" t="e">
        <f>#REF!/1000</f>
        <v>#REF!</v>
      </c>
      <c r="G80" s="10" t="e">
        <f t="shared" si="5"/>
        <v>#REF!</v>
      </c>
      <c r="I80" s="10" t="e">
        <f>SUM(D80-'район без курсовой'!D80)</f>
        <v>#REF!</v>
      </c>
    </row>
    <row r="81" spans="1:9" ht="22.5" customHeight="1">
      <c r="B81" s="1346" t="s">
        <v>116</v>
      </c>
      <c r="C81" s="1347"/>
      <c r="D81" s="89" t="e">
        <f>SUM(D63:D80)</f>
        <v>#REF!</v>
      </c>
      <c r="E81" s="90" t="e">
        <f>SUM(E63:E80)</f>
        <v>#REF!</v>
      </c>
      <c r="G81" s="10" t="e">
        <f>SUM(E81-#REF!)</f>
        <v>#REF!</v>
      </c>
      <c r="I81" s="10" t="e">
        <f>SUM(D81-'район без курсовой'!D81)</f>
        <v>#REF!</v>
      </c>
    </row>
    <row r="82" spans="1:9" ht="22.5" customHeight="1">
      <c r="A82" s="15"/>
      <c r="B82" s="60"/>
      <c r="C82" s="819"/>
      <c r="D82" s="62"/>
      <c r="E82" s="63"/>
      <c r="I82" s="10">
        <f>SUM(D82-'район без курсовой'!D82)</f>
        <v>0</v>
      </c>
    </row>
    <row r="83" spans="1:9" ht="22.5" customHeight="1">
      <c r="B83" s="105">
        <f>B80+1</f>
        <v>65</v>
      </c>
      <c r="C83" s="826" t="s">
        <v>26</v>
      </c>
      <c r="D83" s="156" t="e">
        <f>SUM('общ.сводрайон без курсовой '!D87/1000)</f>
        <v>#REF!</v>
      </c>
      <c r="E83" s="156" t="e">
        <f>#REF!/1000</f>
        <v>#REF!</v>
      </c>
      <c r="G83" s="10" t="e">
        <f>SUM(E83-#REF!)</f>
        <v>#REF!</v>
      </c>
      <c r="I83" s="10" t="e">
        <f>SUM(D83-'район без курсовой'!D83)</f>
        <v>#REF!</v>
      </c>
    </row>
    <row r="84" spans="1:9" ht="20.25" customHeight="1">
      <c r="A84" s="15"/>
      <c r="B84" s="60"/>
      <c r="C84" s="821"/>
      <c r="D84" s="62"/>
      <c r="E84" s="63"/>
    </row>
    <row r="85" spans="1:9" ht="22.5" customHeight="1">
      <c r="B85" s="1348" t="s">
        <v>148</v>
      </c>
      <c r="C85" s="1349"/>
      <c r="D85" s="152" t="e">
        <f>D83+D81+D61+D34+D17+D24</f>
        <v>#REF!</v>
      </c>
      <c r="E85" s="152" t="e">
        <f>E83+E81+E61+E34+E17+E24</f>
        <v>#REF!</v>
      </c>
      <c r="I85" s="10"/>
    </row>
    <row r="86" spans="1:9" ht="16.5" customHeight="1">
      <c r="B86" s="64"/>
      <c r="C86" s="822"/>
      <c r="D86" s="66"/>
      <c r="E86" s="65"/>
    </row>
    <row r="87" spans="1:9" ht="21">
      <c r="B87" s="1" t="s">
        <v>261</v>
      </c>
      <c r="C87" s="800"/>
      <c r="D87" s="8"/>
      <c r="E87" s="10"/>
    </row>
    <row r="88" spans="1:9" ht="21" customHeight="1">
      <c r="B88" s="1124" t="s">
        <v>259</v>
      </c>
      <c r="C88" s="1124"/>
      <c r="D88" s="1124"/>
    </row>
    <row r="89" spans="1:9">
      <c r="D89" s="10"/>
    </row>
    <row r="91" spans="1:9">
      <c r="D91" s="10" t="e">
        <f>SUM(D85-'район без курсовой'!D93)</f>
        <v>#REF!</v>
      </c>
      <c r="E91" s="10" t="e">
        <f>SUM(E85-#REF!/1000)</f>
        <v>#REF!</v>
      </c>
    </row>
  </sheetData>
  <mergeCells count="18">
    <mergeCell ref="B88:D88"/>
    <mergeCell ref="B8:E8"/>
    <mergeCell ref="B17:C17"/>
    <mergeCell ref="B18:E18"/>
    <mergeCell ref="B24:C24"/>
    <mergeCell ref="B25:E25"/>
    <mergeCell ref="B34:C34"/>
    <mergeCell ref="B35:E35"/>
    <mergeCell ref="B61:C61"/>
    <mergeCell ref="B62:E62"/>
    <mergeCell ref="B81:C81"/>
    <mergeCell ref="B85:C85"/>
    <mergeCell ref="B3:E3"/>
    <mergeCell ref="B4:E4"/>
    <mergeCell ref="C5:D5"/>
    <mergeCell ref="B6:B7"/>
    <mergeCell ref="C6:C7"/>
    <mergeCell ref="D6:D7"/>
  </mergeCells>
  <phoneticPr fontId="10" type="noConversion"/>
  <pageMargins left="0.2" right="0.27" top="0.33" bottom="0.39" header="0.5" footer="0.5"/>
  <pageSetup paperSize="9" scale="8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Лист25">
    <tabColor indexed="45"/>
  </sheetPr>
  <dimension ref="A1:H92"/>
  <sheetViews>
    <sheetView topLeftCell="A4" zoomScale="70" workbookViewId="0">
      <selection activeCell="C84" sqref="C84"/>
    </sheetView>
  </sheetViews>
  <sheetFormatPr defaultRowHeight="12.75"/>
  <cols>
    <col min="1" max="1" width="7.7109375" style="37" customWidth="1"/>
    <col min="2" max="2" width="46" style="797" customWidth="1"/>
    <col min="3" max="3" width="35.85546875" customWidth="1"/>
    <col min="4" max="4" width="30.85546875" customWidth="1"/>
    <col min="6" max="6" width="15.7109375" customWidth="1"/>
    <col min="7" max="7" width="18.5703125" customWidth="1"/>
    <col min="8" max="8" width="16.7109375" customWidth="1"/>
  </cols>
  <sheetData>
    <row r="1" spans="1:8" hidden="1"/>
    <row r="2" spans="1:8" hidden="1"/>
    <row r="3" spans="1:8" ht="24" hidden="1" customHeight="1">
      <c r="A3" s="1336"/>
      <c r="B3" s="1336"/>
      <c r="C3" s="1336"/>
      <c r="D3" s="1336"/>
    </row>
    <row r="4" spans="1:8" ht="57" customHeight="1">
      <c r="A4" s="1337" t="s">
        <v>391</v>
      </c>
      <c r="B4" s="1337"/>
      <c r="C4" s="1337"/>
      <c r="D4" s="1337"/>
    </row>
    <row r="5" spans="1:8" ht="23.25" customHeight="1">
      <c r="A5" s="53"/>
      <c r="B5" s="1338" t="e">
        <f>CLEAN(#REF!)</f>
        <v>#REF!</v>
      </c>
      <c r="C5" s="1338"/>
      <c r="D5" s="146" t="s">
        <v>104</v>
      </c>
      <c r="E5" s="145"/>
      <c r="F5" s="209"/>
    </row>
    <row r="6" spans="1:8" ht="22.5" customHeight="1">
      <c r="A6" s="1354" t="s">
        <v>105</v>
      </c>
      <c r="B6" s="1356" t="s">
        <v>106</v>
      </c>
      <c r="C6" s="1358" t="s">
        <v>388</v>
      </c>
      <c r="D6" s="1359"/>
    </row>
    <row r="7" spans="1:8" ht="57.75" customHeight="1">
      <c r="A7" s="1355"/>
      <c r="B7" s="1357"/>
      <c r="C7" s="400" t="s">
        <v>118</v>
      </c>
      <c r="D7" s="401" t="s">
        <v>389</v>
      </c>
      <c r="E7" s="399"/>
      <c r="F7" s="15"/>
    </row>
    <row r="8" spans="1:8" ht="14.25" customHeight="1">
      <c r="A8" s="402">
        <v>1</v>
      </c>
      <c r="B8" s="814">
        <v>2</v>
      </c>
      <c r="C8" s="403">
        <v>3</v>
      </c>
      <c r="D8" s="404">
        <v>4</v>
      </c>
      <c r="E8" s="399"/>
      <c r="F8" s="15"/>
    </row>
    <row r="9" spans="1:8" ht="22.5" customHeight="1">
      <c r="A9" s="1350" t="s">
        <v>107</v>
      </c>
      <c r="B9" s="1345"/>
      <c r="C9" s="1345"/>
      <c r="D9" s="1351"/>
      <c r="E9" s="15"/>
      <c r="F9" s="880"/>
    </row>
    <row r="10" spans="1:8" ht="21.95" customHeight="1">
      <c r="A10" s="54">
        <v>1</v>
      </c>
      <c r="B10" s="815" t="s">
        <v>138</v>
      </c>
      <c r="C10" s="348" t="e">
        <f>(SUM('Общ свод район (пог+выд)сомони'!D9))/1000</f>
        <v>#REF!</v>
      </c>
      <c r="D10" s="210" t="e">
        <f>SUM(#REF!)/1000</f>
        <v>#REF!</v>
      </c>
      <c r="E10" s="15"/>
      <c r="F10" s="16" t="e">
        <f t="shared" ref="F10:F17" si="0">SUM(C10-D10)</f>
        <v>#REF!</v>
      </c>
      <c r="G10" s="209" t="e">
        <f>(SUM(#REF!+#REF!))/1000</f>
        <v>#REF!</v>
      </c>
      <c r="H10" s="10" t="e">
        <f t="shared" ref="H10:H18" si="1">SUM(D10-G10)</f>
        <v>#REF!</v>
      </c>
    </row>
    <row r="11" spans="1:8" ht="21.95" customHeight="1">
      <c r="A11" s="57">
        <f>A10+1</f>
        <v>2</v>
      </c>
      <c r="B11" s="816" t="s">
        <v>139</v>
      </c>
      <c r="C11" s="349" t="e">
        <f>(SUM('Общ свод район (пог+выд)сомони'!D10))/1000</f>
        <v>#REF!</v>
      </c>
      <c r="D11" s="210" t="e">
        <f>SUM(#REF!)/1000</f>
        <v>#REF!</v>
      </c>
      <c r="E11" s="1360"/>
      <c r="F11" s="881" t="e">
        <f t="shared" si="0"/>
        <v>#REF!</v>
      </c>
      <c r="G11" s="209" t="e">
        <f>(SUM(#REF!+#REF!))/1000</f>
        <v>#REF!</v>
      </c>
      <c r="H11" s="10" t="e">
        <f t="shared" si="1"/>
        <v>#REF!</v>
      </c>
    </row>
    <row r="12" spans="1:8" ht="21.95" customHeight="1">
      <c r="A12" s="57">
        <v>3</v>
      </c>
      <c r="B12" s="816" t="s">
        <v>64</v>
      </c>
      <c r="C12" s="349" t="e">
        <f>(SUM('Общ свод район (пог+выд)сомони'!D11))/1000</f>
        <v>#REF!</v>
      </c>
      <c r="D12" s="210" t="e">
        <f>SUM(#REF!)/1000</f>
        <v>#REF!</v>
      </c>
      <c r="E12" s="1360"/>
      <c r="F12" s="881" t="e">
        <f t="shared" si="0"/>
        <v>#REF!</v>
      </c>
      <c r="G12" s="209" t="e">
        <f>(SUM(#REF!+#REF!))/1000</f>
        <v>#REF!</v>
      </c>
      <c r="H12" s="10" t="e">
        <f t="shared" si="1"/>
        <v>#REF!</v>
      </c>
    </row>
    <row r="13" spans="1:8" ht="21.95" customHeight="1">
      <c r="A13" s="57">
        <v>4</v>
      </c>
      <c r="B13" s="816" t="s">
        <v>65</v>
      </c>
      <c r="C13" s="349" t="e">
        <f>(SUM('Общ свод район (пог+выд)сомони'!D12))/1000</f>
        <v>#REF!</v>
      </c>
      <c r="D13" s="210" t="e">
        <f>SUM(#REF!)/1000</f>
        <v>#REF!</v>
      </c>
      <c r="E13" s="15"/>
      <c r="F13" s="881" t="e">
        <f t="shared" si="0"/>
        <v>#REF!</v>
      </c>
      <c r="G13" s="209" t="e">
        <f>(SUM(#REF!+#REF!))/1000</f>
        <v>#REF!</v>
      </c>
      <c r="H13" s="10" t="e">
        <f t="shared" si="1"/>
        <v>#REF!</v>
      </c>
    </row>
    <row r="14" spans="1:8" ht="21.95" customHeight="1">
      <c r="A14" s="57">
        <v>5</v>
      </c>
      <c r="B14" s="816" t="s">
        <v>66</v>
      </c>
      <c r="C14" s="349" t="e">
        <f>(SUM('Общ свод район (пог+выд)сомони'!D13))/1000</f>
        <v>#REF!</v>
      </c>
      <c r="D14" s="210" t="e">
        <f>SUM(#REF!)/1000</f>
        <v>#REF!</v>
      </c>
      <c r="E14" s="15"/>
      <c r="F14" s="16" t="e">
        <f t="shared" si="0"/>
        <v>#REF!</v>
      </c>
      <c r="G14" s="209" t="e">
        <f>(SUM(#REF!+#REF!))/1000</f>
        <v>#REF!</v>
      </c>
      <c r="H14" s="10" t="e">
        <f t="shared" si="1"/>
        <v>#REF!</v>
      </c>
    </row>
    <row r="15" spans="1:8" ht="21.95" customHeight="1">
      <c r="A15" s="57">
        <f>A14+1</f>
        <v>6</v>
      </c>
      <c r="B15" s="816" t="s">
        <v>67</v>
      </c>
      <c r="C15" s="349" t="e">
        <f>(SUM('Общ свод район (пог+выд)сомони'!D14))/1000</f>
        <v>#REF!</v>
      </c>
      <c r="D15" s="210" t="e">
        <f>SUM(#REF!)/1000</f>
        <v>#REF!</v>
      </c>
      <c r="E15" s="15"/>
      <c r="F15" s="16" t="e">
        <f t="shared" si="0"/>
        <v>#REF!</v>
      </c>
      <c r="G15" s="209" t="e">
        <f>(SUM(#REF!+#REF!))/1000</f>
        <v>#REF!</v>
      </c>
      <c r="H15" s="10" t="e">
        <f t="shared" si="1"/>
        <v>#REF!</v>
      </c>
    </row>
    <row r="16" spans="1:8" ht="21.95" customHeight="1">
      <c r="A16" s="57">
        <f>A15+1</f>
        <v>7</v>
      </c>
      <c r="B16" s="816" t="s">
        <v>68</v>
      </c>
      <c r="C16" s="349" t="e">
        <f>(SUM('Общ свод район (пог+выд)сомони'!D15))/1000</f>
        <v>#REF!</v>
      </c>
      <c r="D16" s="210" t="e">
        <f>SUM(#REF!)/1000</f>
        <v>#REF!</v>
      </c>
      <c r="E16" s="15"/>
      <c r="F16" s="881" t="e">
        <f t="shared" si="0"/>
        <v>#REF!</v>
      </c>
      <c r="G16" s="209" t="e">
        <f>(SUM(#REF!+#REF!))/1000</f>
        <v>#REF!</v>
      </c>
      <c r="H16" s="10" t="e">
        <f t="shared" si="1"/>
        <v>#REF!</v>
      </c>
    </row>
    <row r="17" spans="1:8" ht="21.95" customHeight="1">
      <c r="A17" s="57">
        <f>A16+1</f>
        <v>8</v>
      </c>
      <c r="B17" s="816" t="s">
        <v>69</v>
      </c>
      <c r="C17" s="349" t="e">
        <f>(SUM('Общ свод район (пог+выд)сомони'!D16))/1000</f>
        <v>#REF!</v>
      </c>
      <c r="D17" s="210" t="e">
        <f>SUM(#REF!)/1000</f>
        <v>#REF!</v>
      </c>
      <c r="E17" s="15"/>
      <c r="F17" s="882" t="e">
        <f t="shared" si="0"/>
        <v>#REF!</v>
      </c>
      <c r="G17" s="209" t="e">
        <f>(SUM(#REF!+#REF!))/1000</f>
        <v>#REF!</v>
      </c>
      <c r="H17" s="10" t="e">
        <f t="shared" si="1"/>
        <v>#REF!</v>
      </c>
    </row>
    <row r="18" spans="1:8" ht="22.5" customHeight="1">
      <c r="A18" s="1352" t="s">
        <v>71</v>
      </c>
      <c r="B18" s="1353"/>
      <c r="C18" s="350" t="e">
        <f>SUM(C10:C17)</f>
        <v>#REF!</v>
      </c>
      <c r="D18" s="351" t="e">
        <f>SUM(D10:D17)</f>
        <v>#REF!</v>
      </c>
      <c r="E18" s="15"/>
      <c r="F18" s="15"/>
      <c r="G18" s="10" t="e">
        <f>SUM(G10:G17)</f>
        <v>#REF!</v>
      </c>
      <c r="H18" s="10" t="e">
        <f t="shared" si="1"/>
        <v>#REF!</v>
      </c>
    </row>
    <row r="19" spans="1:8" ht="22.5" customHeight="1">
      <c r="A19" s="1350" t="s">
        <v>269</v>
      </c>
      <c r="B19" s="1345"/>
      <c r="C19" s="1345"/>
      <c r="D19" s="1351"/>
      <c r="E19" s="15"/>
      <c r="F19" s="15"/>
      <c r="H19" s="10">
        <f>SUM(C19-'район без курсовой'!D18)</f>
        <v>0</v>
      </c>
    </row>
    <row r="20" spans="1:8" ht="21.95" customHeight="1">
      <c r="A20" s="54">
        <f>A17+1</f>
        <v>9</v>
      </c>
      <c r="B20" s="815" t="s">
        <v>51</v>
      </c>
      <c r="C20" s="348" t="e">
        <f>(SUM('Общ свод район (пог+выд)сомони'!D19))/1000</f>
        <v>#REF!</v>
      </c>
      <c r="D20" s="210" t="e">
        <f>SUM(#REF!)/1000</f>
        <v>#REF!</v>
      </c>
      <c r="F20" s="781" t="e">
        <f t="shared" ref="F20:F35" si="2">SUM(C20-D20)</f>
        <v>#REF!</v>
      </c>
      <c r="G20" s="209" t="e">
        <f>(SUM(#REF!+#REF!))/1000</f>
        <v>#REF!</v>
      </c>
      <c r="H20" s="10" t="e">
        <f t="shared" ref="H20:H51" si="3">SUM(D20-G20)</f>
        <v>#REF!</v>
      </c>
    </row>
    <row r="21" spans="1:8" ht="21.95" customHeight="1">
      <c r="A21" s="57">
        <f t="shared" ref="A21:A34" si="4">A20+1</f>
        <v>10</v>
      </c>
      <c r="B21" s="816" t="s">
        <v>52</v>
      </c>
      <c r="C21" s="349" t="e">
        <f>(SUM('Общ свод район (пог+выд)сомони'!D20))/1000</f>
        <v>#REF!</v>
      </c>
      <c r="D21" s="210" t="e">
        <f>SUM(#REF!)/1000</f>
        <v>#REF!</v>
      </c>
      <c r="F21" s="10" t="e">
        <f t="shared" si="2"/>
        <v>#REF!</v>
      </c>
      <c r="G21" s="209" t="e">
        <f>(SUM(#REF!+#REF!))/1000</f>
        <v>#REF!</v>
      </c>
      <c r="H21" s="10" t="e">
        <f t="shared" si="3"/>
        <v>#REF!</v>
      </c>
    </row>
    <row r="22" spans="1:8" ht="21.95" customHeight="1">
      <c r="A22" s="57">
        <f t="shared" si="4"/>
        <v>11</v>
      </c>
      <c r="B22" s="816" t="s">
        <v>53</v>
      </c>
      <c r="C22" s="349" t="e">
        <f>(SUM('Общ свод район (пог+выд)сомони'!D21))/1000</f>
        <v>#REF!</v>
      </c>
      <c r="D22" s="210" t="e">
        <f>SUM(#REF!)/1000</f>
        <v>#REF!</v>
      </c>
      <c r="F22" s="781" t="e">
        <f t="shared" si="2"/>
        <v>#REF!</v>
      </c>
      <c r="G22" s="209" t="e">
        <f>(SUM(#REF!+#REF!))/1000</f>
        <v>#REF!</v>
      </c>
      <c r="H22" s="10" t="e">
        <f t="shared" si="3"/>
        <v>#REF!</v>
      </c>
    </row>
    <row r="23" spans="1:8" ht="21.95" customHeight="1">
      <c r="A23" s="57">
        <f t="shared" si="4"/>
        <v>12</v>
      </c>
      <c r="B23" s="816" t="s">
        <v>54</v>
      </c>
      <c r="C23" s="349" t="e">
        <f>(SUM('Общ свод район (пог+выд)сомони'!D22))/1000</f>
        <v>#REF!</v>
      </c>
      <c r="D23" s="210" t="e">
        <f>SUM(#REF!)/1000</f>
        <v>#REF!</v>
      </c>
      <c r="F23" s="10" t="e">
        <f t="shared" si="2"/>
        <v>#REF!</v>
      </c>
      <c r="G23" s="209" t="e">
        <f>(SUM(#REF!+#REF!))/1000</f>
        <v>#REF!</v>
      </c>
      <c r="H23" s="10" t="e">
        <f t="shared" si="3"/>
        <v>#REF!</v>
      </c>
    </row>
    <row r="24" spans="1:8" ht="21.95" customHeight="1">
      <c r="A24" s="57">
        <f t="shared" si="4"/>
        <v>13</v>
      </c>
      <c r="B24" s="816" t="s">
        <v>95</v>
      </c>
      <c r="C24" s="349" t="e">
        <f>(SUM('Общ свод район (пог+выд)сомони'!D23))/1000</f>
        <v>#REF!</v>
      </c>
      <c r="D24" s="210" t="e">
        <f>SUM(#REF!)/1000</f>
        <v>#REF!</v>
      </c>
      <c r="F24" s="781" t="e">
        <f t="shared" si="2"/>
        <v>#REF!</v>
      </c>
      <c r="G24" s="209" t="e">
        <f>(SUM(#REF!+#REF!))/1000</f>
        <v>#REF!</v>
      </c>
      <c r="H24" s="10" t="e">
        <f t="shared" si="3"/>
        <v>#REF!</v>
      </c>
    </row>
    <row r="25" spans="1:8" ht="50.25" customHeight="1">
      <c r="A25" s="1352" t="s">
        <v>267</v>
      </c>
      <c r="B25" s="1353"/>
      <c r="C25" s="350" t="e">
        <f>SUM(C20:C24)</f>
        <v>#REF!</v>
      </c>
      <c r="D25" s="353" t="e">
        <f>SUM(D20:D24)</f>
        <v>#REF!</v>
      </c>
      <c r="E25" s="10"/>
      <c r="F25" s="10" t="e">
        <f>SUM(C25-D25)</f>
        <v>#REF!</v>
      </c>
      <c r="G25" s="10" t="e">
        <f>SUM(G20:G24)</f>
        <v>#REF!</v>
      </c>
      <c r="H25" s="10" t="e">
        <f t="shared" si="3"/>
        <v>#REF!</v>
      </c>
    </row>
    <row r="26" spans="1:8" ht="22.5" customHeight="1">
      <c r="A26" s="1350" t="s">
        <v>266</v>
      </c>
      <c r="B26" s="1345"/>
      <c r="C26" s="1345"/>
      <c r="D26" s="1351"/>
      <c r="H26" s="10">
        <f t="shared" si="3"/>
        <v>0</v>
      </c>
    </row>
    <row r="27" spans="1:8" ht="21.95" customHeight="1">
      <c r="A27" s="54">
        <f>A24+1</f>
        <v>14</v>
      </c>
      <c r="B27" s="815" t="s">
        <v>59</v>
      </c>
      <c r="C27" s="348" t="e">
        <f>(SUM('Общ свод район (пог+выд)сомони'!D26))/1000</f>
        <v>#REF!</v>
      </c>
      <c r="D27" s="210" t="e">
        <f>SUM(#REF!)/1000</f>
        <v>#REF!</v>
      </c>
      <c r="F27" s="10" t="e">
        <f t="shared" si="2"/>
        <v>#REF!</v>
      </c>
      <c r="G27" s="209" t="e">
        <f>(SUM(#REF!+#REF!))/1000</f>
        <v>#REF!</v>
      </c>
      <c r="H27" s="10" t="e">
        <f t="shared" si="3"/>
        <v>#REF!</v>
      </c>
    </row>
    <row r="28" spans="1:8" ht="21.95" customHeight="1">
      <c r="A28" s="57">
        <f t="shared" si="4"/>
        <v>15</v>
      </c>
      <c r="B28" s="816" t="s">
        <v>56</v>
      </c>
      <c r="C28" s="349" t="e">
        <f>(SUM('Общ свод район (пог+выд)сомони'!D27))/1000</f>
        <v>#REF!</v>
      </c>
      <c r="D28" s="210" t="e">
        <f>SUM(#REF!)/1000</f>
        <v>#REF!</v>
      </c>
      <c r="F28" s="10" t="e">
        <f t="shared" si="2"/>
        <v>#REF!</v>
      </c>
      <c r="G28" s="209" t="e">
        <f>(SUM(#REF!+#REF!))/1000</f>
        <v>#REF!</v>
      </c>
      <c r="H28" s="10" t="e">
        <f t="shared" si="3"/>
        <v>#REF!</v>
      </c>
    </row>
    <row r="29" spans="1:8" ht="21.95" customHeight="1">
      <c r="A29" s="57">
        <f t="shared" si="4"/>
        <v>16</v>
      </c>
      <c r="B29" s="816" t="s">
        <v>140</v>
      </c>
      <c r="C29" s="349" t="e">
        <f>(SUM('Общ свод район (пог+выд)сомони'!D28))/1000</f>
        <v>#REF!</v>
      </c>
      <c r="D29" s="210" t="e">
        <f>SUM(#REF!)/1000</f>
        <v>#REF!</v>
      </c>
      <c r="F29" s="10" t="e">
        <f t="shared" si="2"/>
        <v>#REF!</v>
      </c>
      <c r="G29" s="209" t="e">
        <f>(SUM(#REF!+#REF!))/1000</f>
        <v>#REF!</v>
      </c>
      <c r="H29" s="10" t="e">
        <f t="shared" si="3"/>
        <v>#REF!</v>
      </c>
    </row>
    <row r="30" spans="1:8" ht="21.95" customHeight="1">
      <c r="A30" s="57">
        <v>17</v>
      </c>
      <c r="B30" s="816" t="s">
        <v>58</v>
      </c>
      <c r="C30" s="349" t="e">
        <f>(SUM('Общ свод район (пог+выд)сомони'!D29))/1000</f>
        <v>#REF!</v>
      </c>
      <c r="D30" s="210" t="e">
        <f>SUM(#REF!)/1000</f>
        <v>#REF!</v>
      </c>
      <c r="F30" s="10" t="e">
        <f t="shared" si="2"/>
        <v>#REF!</v>
      </c>
      <c r="G30" s="209" t="e">
        <f>(SUM(#REF!+#REF!))/1000</f>
        <v>#REF!</v>
      </c>
      <c r="H30" s="10" t="e">
        <f t="shared" si="3"/>
        <v>#REF!</v>
      </c>
    </row>
    <row r="31" spans="1:8" ht="21.95" customHeight="1">
      <c r="A31" s="57">
        <f t="shared" si="4"/>
        <v>18</v>
      </c>
      <c r="B31" s="817" t="s">
        <v>57</v>
      </c>
      <c r="C31" s="349" t="e">
        <f>(SUM('Общ свод район (пог+выд)сомони'!D30))/1000</f>
        <v>#REF!</v>
      </c>
      <c r="D31" s="210" t="e">
        <f>SUM(#REF!)/1000</f>
        <v>#REF!</v>
      </c>
      <c r="F31" s="10" t="e">
        <f>SUM(C31-D31)</f>
        <v>#REF!</v>
      </c>
      <c r="G31" s="209" t="e">
        <f>(SUM(#REF!+#REF!))/1000</f>
        <v>#REF!</v>
      </c>
      <c r="H31" s="10" t="e">
        <f t="shared" si="3"/>
        <v>#REF!</v>
      </c>
    </row>
    <row r="32" spans="1:8" ht="21.95" customHeight="1">
      <c r="A32" s="57">
        <f t="shared" si="4"/>
        <v>19</v>
      </c>
      <c r="B32" s="817" t="s">
        <v>108</v>
      </c>
      <c r="C32" s="349" t="e">
        <f>(SUM('Общ свод район (пог+выд)сомони'!D31))/1000</f>
        <v>#REF!</v>
      </c>
      <c r="D32" s="210" t="e">
        <f>SUM(#REF!)/1000</f>
        <v>#REF!</v>
      </c>
      <c r="F32" s="10" t="e">
        <f t="shared" si="2"/>
        <v>#REF!</v>
      </c>
      <c r="G32" s="209" t="e">
        <f>(SUM(#REF!+#REF!))/1000</f>
        <v>#REF!</v>
      </c>
      <c r="H32" s="10" t="e">
        <f t="shared" si="3"/>
        <v>#REF!</v>
      </c>
    </row>
    <row r="33" spans="1:8" ht="21.95" customHeight="1">
      <c r="A33" s="57">
        <f t="shared" si="4"/>
        <v>20</v>
      </c>
      <c r="B33" s="817" t="s">
        <v>61</v>
      </c>
      <c r="C33" s="349" t="e">
        <f>(SUM('Общ свод район (пог+выд)сомони'!D32))/1000</f>
        <v>#REF!</v>
      </c>
      <c r="D33" s="210" t="e">
        <f>SUM(#REF!)/1000</f>
        <v>#REF!</v>
      </c>
      <c r="F33" s="10" t="e">
        <f t="shared" si="2"/>
        <v>#REF!</v>
      </c>
      <c r="G33" s="209" t="e">
        <f>(SUM(#REF!+#REF!))/1000</f>
        <v>#REF!</v>
      </c>
      <c r="H33" s="10" t="e">
        <f t="shared" si="3"/>
        <v>#REF!</v>
      </c>
    </row>
    <row r="34" spans="1:8" ht="21.95" customHeight="1">
      <c r="A34" s="57">
        <f t="shared" si="4"/>
        <v>21</v>
      </c>
      <c r="B34" s="817" t="s">
        <v>109</v>
      </c>
      <c r="C34" s="349" t="e">
        <f>(SUM('Общ свод район (пог+выд)сомони'!D33))/1000</f>
        <v>#REF!</v>
      </c>
      <c r="D34" s="210" t="e">
        <f>SUM(#REF!)/1000</f>
        <v>#REF!</v>
      </c>
      <c r="F34" s="10" t="e">
        <f t="shared" si="2"/>
        <v>#REF!</v>
      </c>
      <c r="G34" s="209" t="e">
        <f>(SUM(#REF!+#REF!))/1000</f>
        <v>#REF!</v>
      </c>
      <c r="H34" s="10" t="e">
        <f t="shared" si="3"/>
        <v>#REF!</v>
      </c>
    </row>
    <row r="35" spans="1:8" ht="51" customHeight="1">
      <c r="A35" s="1352" t="s">
        <v>268</v>
      </c>
      <c r="B35" s="1353"/>
      <c r="C35" s="350" t="e">
        <f>SUM(C27:C34)</f>
        <v>#REF!</v>
      </c>
      <c r="D35" s="353" t="e">
        <f>SUM(D27:D34)</f>
        <v>#REF!</v>
      </c>
      <c r="E35" s="10"/>
      <c r="F35" s="10" t="e">
        <f t="shared" si="2"/>
        <v>#REF!</v>
      </c>
      <c r="G35" s="10" t="e">
        <f>SUM(G27:G34)</f>
        <v>#REF!</v>
      </c>
      <c r="H35" s="10" t="e">
        <f t="shared" si="3"/>
        <v>#REF!</v>
      </c>
    </row>
    <row r="36" spans="1:8" ht="22.5" customHeight="1">
      <c r="A36" s="1350" t="s">
        <v>72</v>
      </c>
      <c r="B36" s="1345"/>
      <c r="C36" s="1345"/>
      <c r="D36" s="1351"/>
      <c r="H36" s="10">
        <f t="shared" si="3"/>
        <v>0</v>
      </c>
    </row>
    <row r="37" spans="1:8" ht="21.95" customHeight="1">
      <c r="A37" s="54">
        <v>22</v>
      </c>
      <c r="B37" s="802" t="s">
        <v>444</v>
      </c>
      <c r="C37" s="348" t="e">
        <f>(SUM('Общ свод район (пог+выд)сомони'!D36))/1000</f>
        <v>#REF!</v>
      </c>
      <c r="D37" s="210" t="e">
        <f>SUM(#REF!)/1000</f>
        <v>#REF!</v>
      </c>
      <c r="F37" s="10" t="e">
        <f t="shared" ref="F37:F61" si="5">SUM(C37-D37)</f>
        <v>#REF!</v>
      </c>
      <c r="G37" s="209" t="e">
        <f>(SUM(#REF!+#REF!))/1000</f>
        <v>#REF!</v>
      </c>
      <c r="H37" s="10" t="e">
        <f t="shared" si="3"/>
        <v>#REF!</v>
      </c>
    </row>
    <row r="38" spans="1:8" ht="21.95" customHeight="1">
      <c r="A38" s="57">
        <f>A37+1</f>
        <v>23</v>
      </c>
      <c r="B38" s="803" t="s">
        <v>172</v>
      </c>
      <c r="C38" s="349" t="e">
        <f>(SUM('Общ свод район (пог+выд)сомони'!D37))/1000</f>
        <v>#REF!</v>
      </c>
      <c r="D38" s="210" t="e">
        <f>SUM(#REF!)/1000</f>
        <v>#REF!</v>
      </c>
      <c r="F38" s="10" t="e">
        <f t="shared" si="5"/>
        <v>#REF!</v>
      </c>
      <c r="G38" s="209" t="e">
        <f>(SUM(#REF!+#REF!))/1000</f>
        <v>#REF!</v>
      </c>
      <c r="H38" s="10" t="e">
        <f t="shared" si="3"/>
        <v>#REF!</v>
      </c>
    </row>
    <row r="39" spans="1:8" ht="21.95" customHeight="1">
      <c r="A39" s="57">
        <f t="shared" ref="A39:A61" si="6">A38+1</f>
        <v>24</v>
      </c>
      <c r="B39" s="803" t="s">
        <v>445</v>
      </c>
      <c r="C39" s="349" t="e">
        <f>(SUM('Общ свод район (пог+выд)сомони'!D38))/1000</f>
        <v>#REF!</v>
      </c>
      <c r="D39" s="210" t="e">
        <f>SUM(#REF!)/1000</f>
        <v>#REF!</v>
      </c>
      <c r="F39" s="10" t="e">
        <f t="shared" si="5"/>
        <v>#REF!</v>
      </c>
      <c r="G39" s="209" t="e">
        <f>(SUM(#REF!+#REF!))/1000</f>
        <v>#REF!</v>
      </c>
      <c r="H39" s="10" t="e">
        <f t="shared" si="3"/>
        <v>#REF!</v>
      </c>
    </row>
    <row r="40" spans="1:8" ht="21.95" customHeight="1">
      <c r="A40" s="57">
        <f t="shared" si="6"/>
        <v>25</v>
      </c>
      <c r="B40" s="803" t="s">
        <v>173</v>
      </c>
      <c r="C40" s="349" t="e">
        <f>(SUM('Общ свод район (пог+выд)сомони'!D39))/1000</f>
        <v>#REF!</v>
      </c>
      <c r="D40" s="210" t="e">
        <f>SUM(#REF!)/1000</f>
        <v>#REF!</v>
      </c>
      <c r="F40" s="10" t="e">
        <f t="shared" si="5"/>
        <v>#REF!</v>
      </c>
      <c r="G40" s="209" t="e">
        <f>(SUM(#REF!+#REF!))/1000</f>
        <v>#REF!</v>
      </c>
      <c r="H40" s="10" t="e">
        <f t="shared" si="3"/>
        <v>#REF!</v>
      </c>
    </row>
    <row r="41" spans="1:8" ht="21.95" customHeight="1">
      <c r="A41" s="57">
        <f t="shared" si="6"/>
        <v>26</v>
      </c>
      <c r="B41" s="803" t="s">
        <v>174</v>
      </c>
      <c r="C41" s="349" t="e">
        <f>(SUM('Общ свод район (пог+выд)сомони'!D40))/1000</f>
        <v>#REF!</v>
      </c>
      <c r="D41" s="210" t="e">
        <f>SUM(#REF!)/1000</f>
        <v>#REF!</v>
      </c>
      <c r="F41" s="10" t="e">
        <f t="shared" si="5"/>
        <v>#REF!</v>
      </c>
      <c r="G41" s="209" t="e">
        <f>(SUM(#REF!+#REF!))/1000</f>
        <v>#REF!</v>
      </c>
      <c r="H41" s="10" t="e">
        <f t="shared" si="3"/>
        <v>#REF!</v>
      </c>
    </row>
    <row r="42" spans="1:8" ht="21.95" customHeight="1">
      <c r="A42" s="57">
        <f t="shared" si="6"/>
        <v>27</v>
      </c>
      <c r="B42" s="803" t="s">
        <v>446</v>
      </c>
      <c r="C42" s="349" t="e">
        <f>(SUM('Общ свод район (пог+выд)сомони'!D41))/1000</f>
        <v>#REF!</v>
      </c>
      <c r="D42" s="210" t="e">
        <f>SUM(#REF!)/1000</f>
        <v>#REF!</v>
      </c>
      <c r="F42" s="264" t="e">
        <f t="shared" si="5"/>
        <v>#REF!</v>
      </c>
      <c r="G42" s="209" t="e">
        <f>(SUM(#REF!+#REF!))/1000</f>
        <v>#REF!</v>
      </c>
      <c r="H42" s="10" t="e">
        <f t="shared" si="3"/>
        <v>#REF!</v>
      </c>
    </row>
    <row r="43" spans="1:8" ht="21.95" customHeight="1">
      <c r="A43" s="57">
        <f t="shared" si="6"/>
        <v>28</v>
      </c>
      <c r="B43" s="803" t="s">
        <v>142</v>
      </c>
      <c r="C43" s="349" t="e">
        <f>(SUM('Общ свод район (пог+выд)сомони'!D42))/1000</f>
        <v>#REF!</v>
      </c>
      <c r="D43" s="210" t="e">
        <f>SUM(#REF!)/1000</f>
        <v>#REF!</v>
      </c>
      <c r="F43" s="782" t="e">
        <f t="shared" si="5"/>
        <v>#REF!</v>
      </c>
      <c r="G43" s="209" t="e">
        <f>(SUM(#REF!+#REF!))/1000</f>
        <v>#REF!</v>
      </c>
      <c r="H43" s="10" t="e">
        <f t="shared" si="3"/>
        <v>#REF!</v>
      </c>
    </row>
    <row r="44" spans="1:8" ht="21.95" customHeight="1">
      <c r="A44" s="57">
        <f t="shared" si="6"/>
        <v>29</v>
      </c>
      <c r="B44" s="803" t="s">
        <v>208</v>
      </c>
      <c r="C44" s="349" t="e">
        <f>(SUM('Общ свод район (пог+выд)сомони'!D43))/1000</f>
        <v>#REF!</v>
      </c>
      <c r="D44" s="210" t="e">
        <f>SUM(#REF!)/1000</f>
        <v>#REF!</v>
      </c>
      <c r="F44" s="10" t="e">
        <f t="shared" si="5"/>
        <v>#REF!</v>
      </c>
      <c r="G44" s="209" t="e">
        <f>(SUM(#REF!+#REF!))/1000</f>
        <v>#REF!</v>
      </c>
      <c r="H44" s="10" t="e">
        <f t="shared" si="3"/>
        <v>#REF!</v>
      </c>
    </row>
    <row r="45" spans="1:8" ht="21.95" customHeight="1">
      <c r="A45" s="57">
        <f t="shared" si="6"/>
        <v>30</v>
      </c>
      <c r="B45" s="803" t="s">
        <v>176</v>
      </c>
      <c r="C45" s="349" t="e">
        <f>(SUM('Общ свод район (пог+выд)сомони'!D44))/1000</f>
        <v>#REF!</v>
      </c>
      <c r="D45" s="210" t="e">
        <f>SUM(#REF!)/1000</f>
        <v>#REF!</v>
      </c>
      <c r="F45" s="781" t="e">
        <f t="shared" si="5"/>
        <v>#REF!</v>
      </c>
      <c r="G45" s="209" t="e">
        <f>(SUM(#REF!+#REF!))/1000</f>
        <v>#REF!</v>
      </c>
      <c r="H45" s="10" t="e">
        <f t="shared" si="3"/>
        <v>#REF!</v>
      </c>
    </row>
    <row r="46" spans="1:8" ht="21.95" customHeight="1">
      <c r="A46" s="57">
        <f t="shared" si="6"/>
        <v>31</v>
      </c>
      <c r="B46" s="803" t="s">
        <v>177</v>
      </c>
      <c r="C46" s="349" t="e">
        <f>(SUM('Общ свод район (пог+выд)сомони'!D45))/1000</f>
        <v>#REF!</v>
      </c>
      <c r="D46" s="210" t="e">
        <f>SUM(#REF!)/1000</f>
        <v>#REF!</v>
      </c>
      <c r="F46" s="10" t="e">
        <f t="shared" si="5"/>
        <v>#REF!</v>
      </c>
      <c r="G46" s="209" t="e">
        <f>(SUM(#REF!+#REF!))/1000</f>
        <v>#REF!</v>
      </c>
      <c r="H46" s="10" t="e">
        <f t="shared" si="3"/>
        <v>#REF!</v>
      </c>
    </row>
    <row r="47" spans="1:8" ht="21.95" customHeight="1">
      <c r="A47" s="57">
        <f t="shared" si="6"/>
        <v>32</v>
      </c>
      <c r="B47" s="803" t="s">
        <v>178</v>
      </c>
      <c r="C47" s="349" t="e">
        <f>(SUM('Общ свод район (пог+выд)сомони'!D46))/1000</f>
        <v>#REF!</v>
      </c>
      <c r="D47" s="210" t="e">
        <f>SUM(#REF!)/1000</f>
        <v>#REF!</v>
      </c>
      <c r="F47" s="782" t="e">
        <f t="shared" si="5"/>
        <v>#REF!</v>
      </c>
      <c r="G47" s="209" t="e">
        <f>(SUM(#REF!+#REF!))/1000</f>
        <v>#REF!</v>
      </c>
      <c r="H47" s="10" t="e">
        <f t="shared" si="3"/>
        <v>#REF!</v>
      </c>
    </row>
    <row r="48" spans="1:8" ht="21.95" customHeight="1">
      <c r="A48" s="57">
        <f t="shared" si="6"/>
        <v>33</v>
      </c>
      <c r="B48" s="803" t="s">
        <v>179</v>
      </c>
      <c r="C48" s="349" t="e">
        <f>(SUM('Общ свод район (пог+выд)сомони'!D47))/1000</f>
        <v>#REF!</v>
      </c>
      <c r="D48" s="210" t="e">
        <f>SUM(#REF!)/1000</f>
        <v>#REF!</v>
      </c>
      <c r="F48" s="10" t="e">
        <f t="shared" si="5"/>
        <v>#REF!</v>
      </c>
      <c r="G48" s="209" t="e">
        <f>(SUM(#REF!+#REF!))/1000</f>
        <v>#REF!</v>
      </c>
      <c r="H48" s="10" t="e">
        <f t="shared" si="3"/>
        <v>#REF!</v>
      </c>
    </row>
    <row r="49" spans="1:8" ht="21.95" customHeight="1">
      <c r="A49" s="57">
        <f t="shared" si="6"/>
        <v>34</v>
      </c>
      <c r="B49" s="803" t="s">
        <v>447</v>
      </c>
      <c r="C49" s="349" t="e">
        <f>(SUM('Общ свод район (пог+выд)сомони'!D48))/1000</f>
        <v>#REF!</v>
      </c>
      <c r="D49" s="210" t="e">
        <f>SUM(#REF!)/1000</f>
        <v>#REF!</v>
      </c>
      <c r="F49" s="10" t="e">
        <f t="shared" si="5"/>
        <v>#REF!</v>
      </c>
      <c r="G49" s="209" t="e">
        <f>(SUM(#REF!+#REF!))/1000</f>
        <v>#REF!</v>
      </c>
      <c r="H49" s="10" t="e">
        <f t="shared" si="3"/>
        <v>#REF!</v>
      </c>
    </row>
    <row r="50" spans="1:8" ht="21.95" customHeight="1">
      <c r="A50" s="57">
        <f t="shared" si="6"/>
        <v>35</v>
      </c>
      <c r="B50" s="803" t="s">
        <v>436</v>
      </c>
      <c r="C50" s="349" t="e">
        <f>(SUM('Общ свод район (пог+выд)сомони'!D49))/1000</f>
        <v>#REF!</v>
      </c>
      <c r="D50" s="210" t="e">
        <f>SUM(#REF!)/1000</f>
        <v>#REF!</v>
      </c>
      <c r="F50" s="10" t="e">
        <f>SUM(C50-D50)</f>
        <v>#REF!</v>
      </c>
      <c r="G50" s="209" t="e">
        <f>(SUM(#REF!+#REF!))/1000</f>
        <v>#REF!</v>
      </c>
      <c r="H50" s="10" t="e">
        <f t="shared" si="3"/>
        <v>#REF!</v>
      </c>
    </row>
    <row r="51" spans="1:8" ht="21.95" customHeight="1">
      <c r="A51" s="57">
        <f t="shared" si="6"/>
        <v>36</v>
      </c>
      <c r="B51" s="803" t="s">
        <v>209</v>
      </c>
      <c r="C51" s="349" t="e">
        <f>(SUM('Общ свод район (пог+выд)сомони'!D50))/1000</f>
        <v>#REF!</v>
      </c>
      <c r="D51" s="210" t="e">
        <f>SUM(#REF!)/1000</f>
        <v>#REF!</v>
      </c>
      <c r="F51" s="10" t="e">
        <f t="shared" si="5"/>
        <v>#REF!</v>
      </c>
      <c r="G51" s="209" t="e">
        <f>(SUM(#REF!+#REF!))/1000</f>
        <v>#REF!</v>
      </c>
      <c r="H51" s="10" t="e">
        <f t="shared" si="3"/>
        <v>#REF!</v>
      </c>
    </row>
    <row r="52" spans="1:8" ht="21.95" customHeight="1">
      <c r="A52" s="57">
        <f>A51+1</f>
        <v>37</v>
      </c>
      <c r="B52" s="803" t="s">
        <v>182</v>
      </c>
      <c r="C52" s="349" t="e">
        <f>(SUM('Общ свод район (пог+выд)сомони'!D51))/1000</f>
        <v>#REF!</v>
      </c>
      <c r="D52" s="210" t="e">
        <f>SUM(#REF!)/1000</f>
        <v>#REF!</v>
      </c>
      <c r="F52" s="10" t="e">
        <f t="shared" si="5"/>
        <v>#REF!</v>
      </c>
      <c r="G52" s="209" t="e">
        <f>(SUM(#REF!+#REF!))/1000</f>
        <v>#REF!</v>
      </c>
      <c r="H52" s="10" t="e">
        <f t="shared" ref="H52:H83" si="7">SUM(D52-G52)</f>
        <v>#REF!</v>
      </c>
    </row>
    <row r="53" spans="1:8" ht="21.95" customHeight="1">
      <c r="A53" s="57">
        <f t="shared" si="6"/>
        <v>38</v>
      </c>
      <c r="B53" s="803" t="s">
        <v>183</v>
      </c>
      <c r="C53" s="349" t="e">
        <f>(SUM('Общ свод район (пог+выд)сомони'!D52))/1000</f>
        <v>#REF!</v>
      </c>
      <c r="D53" s="210" t="e">
        <f>SUM(#REF!)/1000</f>
        <v>#REF!</v>
      </c>
      <c r="F53" s="10" t="e">
        <f t="shared" si="5"/>
        <v>#REF!</v>
      </c>
      <c r="G53" s="209" t="e">
        <f>(SUM(#REF!+#REF!))/1000</f>
        <v>#REF!</v>
      </c>
      <c r="H53" s="10" t="e">
        <f t="shared" si="7"/>
        <v>#REF!</v>
      </c>
    </row>
    <row r="54" spans="1:8" ht="21.95" customHeight="1">
      <c r="A54" s="57">
        <f t="shared" si="6"/>
        <v>39</v>
      </c>
      <c r="B54" s="803" t="s">
        <v>184</v>
      </c>
      <c r="C54" s="783" t="e">
        <f>(SUM('Общ свод район (пог+выд)сомони'!D53))/1000</f>
        <v>#REF!</v>
      </c>
      <c r="D54" s="210" t="e">
        <f>SUM(#REF!)/1000</f>
        <v>#REF!</v>
      </c>
      <c r="F54" s="781" t="e">
        <f t="shared" si="5"/>
        <v>#REF!</v>
      </c>
      <c r="G54" s="209" t="e">
        <f>(SUM(#REF!+#REF!))/1000</f>
        <v>#REF!</v>
      </c>
      <c r="H54" s="10" t="e">
        <f t="shared" si="7"/>
        <v>#REF!</v>
      </c>
    </row>
    <row r="55" spans="1:8" ht="21.95" customHeight="1">
      <c r="A55" s="57">
        <f t="shared" si="6"/>
        <v>40</v>
      </c>
      <c r="B55" s="803" t="s">
        <v>185</v>
      </c>
      <c r="C55" s="349" t="e">
        <f>(SUM('Общ свод район (пог+выд)сомони'!D54))/1000</f>
        <v>#REF!</v>
      </c>
      <c r="D55" s="210" t="e">
        <f>SUM(#REF!)/1000</f>
        <v>#REF!</v>
      </c>
      <c r="F55" s="10" t="e">
        <f t="shared" si="5"/>
        <v>#REF!</v>
      </c>
      <c r="G55" s="209" t="e">
        <f>(SUM(#REF!+#REF!))/1000</f>
        <v>#REF!</v>
      </c>
      <c r="H55" s="10" t="e">
        <f t="shared" si="7"/>
        <v>#REF!</v>
      </c>
    </row>
    <row r="56" spans="1:8" ht="21.95" customHeight="1">
      <c r="A56" s="57">
        <f t="shared" si="6"/>
        <v>41</v>
      </c>
      <c r="B56" s="803" t="s">
        <v>186</v>
      </c>
      <c r="C56" s="349" t="e">
        <f>(SUM('Общ свод район (пог+выд)сомони'!D55))/1000</f>
        <v>#REF!</v>
      </c>
      <c r="D56" s="210" t="e">
        <f>SUM(#REF!)/1000</f>
        <v>#REF!</v>
      </c>
      <c r="F56" s="10" t="e">
        <f t="shared" si="5"/>
        <v>#REF!</v>
      </c>
      <c r="G56" s="209" t="e">
        <f>(SUM(#REF!+#REF!))/1000</f>
        <v>#REF!</v>
      </c>
      <c r="H56" s="10" t="e">
        <f t="shared" si="7"/>
        <v>#REF!</v>
      </c>
    </row>
    <row r="57" spans="1:8" ht="21.95" customHeight="1">
      <c r="A57" s="57">
        <f t="shared" si="6"/>
        <v>42</v>
      </c>
      <c r="B57" s="803" t="s">
        <v>187</v>
      </c>
      <c r="C57" s="349" t="e">
        <f>(SUM('Общ свод район (пог+выд)сомони'!D56))/1000</f>
        <v>#REF!</v>
      </c>
      <c r="D57" s="210" t="e">
        <f>SUM(#REF!)/1000</f>
        <v>#REF!</v>
      </c>
      <c r="F57" s="10" t="e">
        <f t="shared" si="5"/>
        <v>#REF!</v>
      </c>
      <c r="G57" s="209" t="e">
        <f>(SUM(#REF!+#REF!))/1000</f>
        <v>#REF!</v>
      </c>
      <c r="H57" s="10" t="e">
        <f t="shared" si="7"/>
        <v>#REF!</v>
      </c>
    </row>
    <row r="58" spans="1:8" ht="21.95" customHeight="1">
      <c r="A58" s="57">
        <f t="shared" si="6"/>
        <v>43</v>
      </c>
      <c r="B58" s="803" t="s">
        <v>188</v>
      </c>
      <c r="C58" s="349" t="e">
        <f>(SUM('Общ свод район (пог+выд)сомони'!D57))/1000</f>
        <v>#REF!</v>
      </c>
      <c r="D58" s="210" t="e">
        <f>SUM(#REF!)/1000</f>
        <v>#REF!</v>
      </c>
      <c r="F58" s="10" t="e">
        <f t="shared" si="5"/>
        <v>#REF!</v>
      </c>
      <c r="G58" s="209" t="e">
        <f>(SUM(#REF!+#REF!))/1000</f>
        <v>#REF!</v>
      </c>
      <c r="H58" s="10" t="e">
        <f t="shared" si="7"/>
        <v>#REF!</v>
      </c>
    </row>
    <row r="59" spans="1:8" ht="21.95" customHeight="1">
      <c r="A59" s="57">
        <f t="shared" si="6"/>
        <v>44</v>
      </c>
      <c r="B59" s="803" t="s">
        <v>189</v>
      </c>
      <c r="C59" s="349" t="e">
        <f>(SUM('Общ свод район (пог+выд)сомони'!D58))/1000</f>
        <v>#REF!</v>
      </c>
      <c r="D59" s="210" t="e">
        <f>SUM(#REF!)/1000</f>
        <v>#REF!</v>
      </c>
      <c r="F59" s="10" t="e">
        <f t="shared" si="5"/>
        <v>#REF!</v>
      </c>
      <c r="G59" s="209" t="e">
        <f>(SUM(#REF!+#REF!))/1000</f>
        <v>#REF!</v>
      </c>
      <c r="H59" s="10" t="e">
        <f t="shared" si="7"/>
        <v>#REF!</v>
      </c>
    </row>
    <row r="60" spans="1:8" ht="21.95" customHeight="1">
      <c r="A60" s="57">
        <f t="shared" si="6"/>
        <v>45</v>
      </c>
      <c r="B60" s="803" t="s">
        <v>448</v>
      </c>
      <c r="C60" s="783" t="e">
        <f>(SUM('Общ свод район (пог+выд)сомони'!D59))/1000</f>
        <v>#REF!</v>
      </c>
      <c r="D60" s="210" t="e">
        <f>SUM(#REF!)/1000</f>
        <v>#REF!</v>
      </c>
      <c r="F60" s="781" t="e">
        <f t="shared" si="5"/>
        <v>#REF!</v>
      </c>
      <c r="G60" s="209" t="e">
        <f>(SUM(#REF!+#REF!))/1000</f>
        <v>#REF!</v>
      </c>
      <c r="H60" s="10" t="e">
        <f t="shared" si="7"/>
        <v>#REF!</v>
      </c>
    </row>
    <row r="61" spans="1:8" ht="21.95" customHeight="1">
      <c r="A61" s="57">
        <f t="shared" si="6"/>
        <v>46</v>
      </c>
      <c r="B61" s="803" t="s">
        <v>211</v>
      </c>
      <c r="C61" s="783" t="e">
        <f>(SUM('Общ свод район (пог+выд)сомони'!D60))/1000</f>
        <v>#REF!</v>
      </c>
      <c r="D61" s="210" t="e">
        <f>SUM(#REF!)/1000</f>
        <v>#REF!</v>
      </c>
      <c r="F61" s="781" t="e">
        <f t="shared" si="5"/>
        <v>#REF!</v>
      </c>
      <c r="G61" s="209" t="e">
        <f>(SUM(#REF!+#REF!))/1000</f>
        <v>#REF!</v>
      </c>
      <c r="H61" s="10" t="e">
        <f t="shared" si="7"/>
        <v>#REF!</v>
      </c>
    </row>
    <row r="62" spans="1:8" ht="22.5" customHeight="1">
      <c r="A62" s="1352" t="s">
        <v>50</v>
      </c>
      <c r="B62" s="1353"/>
      <c r="C62" s="352" t="e">
        <f>SUM(C37:C61)</f>
        <v>#REF!</v>
      </c>
      <c r="D62" s="353" t="e">
        <f>SUM(D37:D61)</f>
        <v>#REF!</v>
      </c>
      <c r="G62" s="10" t="e">
        <f>SUM(G37:G61)</f>
        <v>#REF!</v>
      </c>
      <c r="H62" s="10" t="e">
        <f t="shared" si="7"/>
        <v>#REF!</v>
      </c>
    </row>
    <row r="63" spans="1:8" ht="22.5" customHeight="1">
      <c r="A63" s="1350" t="s">
        <v>74</v>
      </c>
      <c r="B63" s="1345"/>
      <c r="C63" s="1345"/>
      <c r="D63" s="1351"/>
      <c r="H63" s="10">
        <f t="shared" si="7"/>
        <v>0</v>
      </c>
    </row>
    <row r="64" spans="1:8" ht="21.95" customHeight="1">
      <c r="A64" s="182">
        <f>A61+1</f>
        <v>47</v>
      </c>
      <c r="B64" s="818" t="s">
        <v>5</v>
      </c>
      <c r="C64" s="348" t="e">
        <f>(SUM('Общ свод район (пог+выд)сомони'!D63))/1000</f>
        <v>#REF!</v>
      </c>
      <c r="D64" s="210" t="e">
        <f>SUM(#REF!)/1000</f>
        <v>#REF!</v>
      </c>
      <c r="F64" s="10" t="e">
        <f t="shared" ref="F64:F81" si="8">SUM(C64-D64)</f>
        <v>#REF!</v>
      </c>
      <c r="G64" s="209" t="e">
        <f>(SUM(#REF!+#REF!))/1000</f>
        <v>#REF!</v>
      </c>
      <c r="H64" s="10" t="e">
        <f t="shared" si="7"/>
        <v>#REF!</v>
      </c>
    </row>
    <row r="65" spans="1:8" ht="21.95" customHeight="1">
      <c r="A65" s="125">
        <f>A64+1</f>
        <v>48</v>
      </c>
      <c r="B65" s="816" t="s">
        <v>111</v>
      </c>
      <c r="C65" s="349" t="e">
        <f>(SUM('Общ свод район (пог+выд)сомони'!D64))/1000</f>
        <v>#REF!</v>
      </c>
      <c r="D65" s="210" t="e">
        <f>SUM(#REF!)/1000</f>
        <v>#REF!</v>
      </c>
      <c r="F65" s="10" t="e">
        <f t="shared" si="8"/>
        <v>#REF!</v>
      </c>
      <c r="G65" s="209" t="e">
        <f>(SUM(#REF!+#REF!))/1000</f>
        <v>#REF!</v>
      </c>
      <c r="H65" s="10" t="e">
        <f t="shared" si="7"/>
        <v>#REF!</v>
      </c>
    </row>
    <row r="66" spans="1:8" ht="21.95" customHeight="1">
      <c r="A66" s="125">
        <f t="shared" ref="A66:A79" si="9">A65+1</f>
        <v>49</v>
      </c>
      <c r="B66" s="816" t="s">
        <v>112</v>
      </c>
      <c r="C66" s="349" t="e">
        <f>(SUM('Общ свод район (пог+выд)сомони'!D65))/1000</f>
        <v>#REF!</v>
      </c>
      <c r="D66" s="210" t="e">
        <f>SUM(#REF!)/1000</f>
        <v>#REF!</v>
      </c>
      <c r="F66" s="10" t="e">
        <f t="shared" si="8"/>
        <v>#REF!</v>
      </c>
      <c r="G66" s="209" t="e">
        <f>(SUM(#REF!+#REF!))/1000</f>
        <v>#REF!</v>
      </c>
      <c r="H66" s="10" t="e">
        <f t="shared" si="7"/>
        <v>#REF!</v>
      </c>
    </row>
    <row r="67" spans="1:8" ht="21.95" customHeight="1">
      <c r="A67" s="125">
        <f t="shared" si="9"/>
        <v>50</v>
      </c>
      <c r="B67" s="816" t="s">
        <v>242</v>
      </c>
      <c r="C67" s="349" t="e">
        <f>(SUM('Общ свод район (пог+выд)сомони'!D66))/1000</f>
        <v>#REF!</v>
      </c>
      <c r="D67" s="210" t="e">
        <f>SUM(#REF!)/1000</f>
        <v>#REF!</v>
      </c>
      <c r="F67" s="10" t="e">
        <f t="shared" si="8"/>
        <v>#REF!</v>
      </c>
      <c r="G67" s="209" t="e">
        <f>(SUM(#REF!+#REF!))/1000</f>
        <v>#REF!</v>
      </c>
      <c r="H67" s="10" t="e">
        <f t="shared" si="7"/>
        <v>#REF!</v>
      </c>
    </row>
    <row r="68" spans="1:8" ht="21.95" customHeight="1">
      <c r="A68" s="125">
        <f t="shared" si="9"/>
        <v>51</v>
      </c>
      <c r="B68" s="816" t="s">
        <v>129</v>
      </c>
      <c r="C68" s="349" t="e">
        <f>(SUM('Общ свод район (пог+выд)сомони'!D67))/1000</f>
        <v>#REF!</v>
      </c>
      <c r="D68" s="210" t="e">
        <f>SUM(#REF!)/1000</f>
        <v>#REF!</v>
      </c>
      <c r="F68" s="10" t="e">
        <f t="shared" si="8"/>
        <v>#REF!</v>
      </c>
      <c r="G68" s="209" t="e">
        <f>(SUM(#REF!+#REF!))/1000</f>
        <v>#REF!</v>
      </c>
      <c r="H68" s="10" t="e">
        <f t="shared" si="7"/>
        <v>#REF!</v>
      </c>
    </row>
    <row r="69" spans="1:8" ht="21.95" customHeight="1">
      <c r="A69" s="125">
        <f t="shared" si="9"/>
        <v>52</v>
      </c>
      <c r="B69" s="816" t="s">
        <v>145</v>
      </c>
      <c r="C69" s="349" t="e">
        <f>(SUM('Общ свод район (пог+выд)сомони'!D68))/1000</f>
        <v>#REF!</v>
      </c>
      <c r="D69" s="210" t="e">
        <f>SUM(#REF!)/1000</f>
        <v>#REF!</v>
      </c>
      <c r="F69" s="10" t="e">
        <f t="shared" si="8"/>
        <v>#REF!</v>
      </c>
      <c r="G69" s="209" t="e">
        <f>(SUM(#REF!+#REF!))/1000</f>
        <v>#REF!</v>
      </c>
      <c r="H69" s="10" t="e">
        <f t="shared" si="7"/>
        <v>#REF!</v>
      </c>
    </row>
    <row r="70" spans="1:8" ht="21.95" customHeight="1">
      <c r="A70" s="125">
        <f t="shared" si="9"/>
        <v>53</v>
      </c>
      <c r="B70" s="816" t="s">
        <v>146</v>
      </c>
      <c r="C70" s="349" t="e">
        <f>(SUM('Общ свод район (пог+выд)сомони'!D69))/1000</f>
        <v>#REF!</v>
      </c>
      <c r="D70" s="210" t="e">
        <f>SUM(#REF!)/1000</f>
        <v>#REF!</v>
      </c>
      <c r="F70" s="781" t="e">
        <f t="shared" si="8"/>
        <v>#REF!</v>
      </c>
      <c r="G70" s="209" t="e">
        <f>(SUM(#REF!+#REF!))/1000</f>
        <v>#REF!</v>
      </c>
      <c r="H70" s="10" t="e">
        <f t="shared" si="7"/>
        <v>#REF!</v>
      </c>
    </row>
    <row r="71" spans="1:8" ht="21.95" customHeight="1">
      <c r="A71" s="125">
        <f t="shared" si="9"/>
        <v>54</v>
      </c>
      <c r="B71" s="816" t="s">
        <v>165</v>
      </c>
      <c r="C71" s="784" t="e">
        <f>(SUM('Общ свод район (пог+выд)сомони'!D70))/1000</f>
        <v>#REF!</v>
      </c>
      <c r="D71" s="210" t="e">
        <f>SUM(#REF!)/1000</f>
        <v>#REF!</v>
      </c>
      <c r="F71" s="781" t="e">
        <f t="shared" si="8"/>
        <v>#REF!</v>
      </c>
      <c r="G71" s="209" t="e">
        <f>(SUM(#REF!+#REF!))/1000</f>
        <v>#REF!</v>
      </c>
      <c r="H71" s="10" t="e">
        <f t="shared" si="7"/>
        <v>#REF!</v>
      </c>
    </row>
    <row r="72" spans="1:8" ht="21.95" customHeight="1">
      <c r="A72" s="125">
        <f t="shared" si="9"/>
        <v>55</v>
      </c>
      <c r="B72" s="817" t="s">
        <v>17</v>
      </c>
      <c r="C72" s="349" t="e">
        <f>(SUM('Общ свод район (пог+выд)сомони'!D71))/1000</f>
        <v>#REF!</v>
      </c>
      <c r="D72" s="210" t="e">
        <f>SUM(#REF!)/1000</f>
        <v>#REF!</v>
      </c>
      <c r="F72" s="10" t="e">
        <f t="shared" si="8"/>
        <v>#REF!</v>
      </c>
      <c r="G72" s="209" t="e">
        <f>(SUM(#REF!+#REF!))/1000</f>
        <v>#REF!</v>
      </c>
      <c r="H72" s="10" t="e">
        <f t="shared" si="7"/>
        <v>#REF!</v>
      </c>
    </row>
    <row r="73" spans="1:8" ht="21.95" customHeight="1">
      <c r="A73" s="125">
        <f t="shared" si="9"/>
        <v>56</v>
      </c>
      <c r="B73" s="817" t="s">
        <v>18</v>
      </c>
      <c r="C73" s="349" t="e">
        <f>(SUM('Общ свод район (пог+выд)сомони'!D72))/1000</f>
        <v>#REF!</v>
      </c>
      <c r="D73" s="210" t="e">
        <f>SUM(#REF!)/1000</f>
        <v>#REF!</v>
      </c>
      <c r="F73" s="10" t="e">
        <f t="shared" si="8"/>
        <v>#REF!</v>
      </c>
      <c r="G73" s="209" t="e">
        <f>(SUM(#REF!+#REF!))/1000</f>
        <v>#REF!</v>
      </c>
      <c r="H73" s="10" t="e">
        <f t="shared" si="7"/>
        <v>#REF!</v>
      </c>
    </row>
    <row r="74" spans="1:8" ht="21.95" customHeight="1">
      <c r="A74" s="125">
        <f t="shared" si="9"/>
        <v>57</v>
      </c>
      <c r="B74" s="817" t="s">
        <v>19</v>
      </c>
      <c r="C74" s="349" t="e">
        <f>(SUM('Общ свод район (пог+выд)сомони'!D73))/1000</f>
        <v>#REF!</v>
      </c>
      <c r="D74" s="210" t="e">
        <f>SUM(#REF!)/1000</f>
        <v>#REF!</v>
      </c>
      <c r="F74" s="781" t="e">
        <f t="shared" si="8"/>
        <v>#REF!</v>
      </c>
      <c r="G74" s="209" t="e">
        <f>(SUM(#REF!+#REF!))/1000</f>
        <v>#REF!</v>
      </c>
      <c r="H74" s="10" t="e">
        <f t="shared" si="7"/>
        <v>#REF!</v>
      </c>
    </row>
    <row r="75" spans="1:8" ht="21.95" customHeight="1">
      <c r="A75" s="125">
        <f t="shared" si="9"/>
        <v>58</v>
      </c>
      <c r="B75" s="817" t="s">
        <v>20</v>
      </c>
      <c r="C75" s="349" t="e">
        <f>(SUM('Общ свод район (пог+выд)сомони'!D74))/1000</f>
        <v>#REF!</v>
      </c>
      <c r="D75" s="210" t="e">
        <f>SUM(#REF!)/1000</f>
        <v>#REF!</v>
      </c>
      <c r="F75" s="782" t="e">
        <f t="shared" si="8"/>
        <v>#REF!</v>
      </c>
      <c r="G75" s="209" t="e">
        <f>(SUM(#REF!+#REF!))/1000</f>
        <v>#REF!</v>
      </c>
      <c r="H75" s="10" t="e">
        <f t="shared" si="7"/>
        <v>#REF!</v>
      </c>
    </row>
    <row r="76" spans="1:8" ht="21.95" customHeight="1">
      <c r="A76" s="125">
        <f t="shared" si="9"/>
        <v>59</v>
      </c>
      <c r="B76" s="817" t="s">
        <v>9</v>
      </c>
      <c r="C76" s="349" t="e">
        <f>(SUM('Общ свод район (пог+выд)сомони'!D75))/1000</f>
        <v>#REF!</v>
      </c>
      <c r="D76" s="210" t="e">
        <f>SUM(#REF!)/1000</f>
        <v>#REF!</v>
      </c>
      <c r="F76" s="10" t="e">
        <f t="shared" si="8"/>
        <v>#REF!</v>
      </c>
      <c r="G76" s="209" t="e">
        <f>(SUM(#REF!+#REF!))/1000</f>
        <v>#REF!</v>
      </c>
      <c r="H76" s="10" t="e">
        <f t="shared" si="7"/>
        <v>#REF!</v>
      </c>
    </row>
    <row r="77" spans="1:8" ht="21.95" customHeight="1">
      <c r="A77" s="125">
        <f t="shared" si="9"/>
        <v>60</v>
      </c>
      <c r="B77" s="817" t="s">
        <v>115</v>
      </c>
      <c r="C77" s="349" t="e">
        <f>(SUM('Общ свод район (пог+выд)сомони'!D76))/1000</f>
        <v>#REF!</v>
      </c>
      <c r="D77" s="210" t="e">
        <f>SUM(#REF!)/1000</f>
        <v>#REF!</v>
      </c>
      <c r="F77" s="781" t="e">
        <f t="shared" si="8"/>
        <v>#REF!</v>
      </c>
      <c r="G77" s="209" t="e">
        <f>(SUM(#REF!+#REF!))/1000</f>
        <v>#REF!</v>
      </c>
      <c r="H77" s="10" t="e">
        <f t="shared" si="7"/>
        <v>#REF!</v>
      </c>
    </row>
    <row r="78" spans="1:8" ht="21.95" customHeight="1">
      <c r="A78" s="125">
        <f t="shared" si="9"/>
        <v>61</v>
      </c>
      <c r="B78" s="817" t="s">
        <v>11</v>
      </c>
      <c r="C78" s="349" t="e">
        <f>(SUM('Общ свод район (пог+выд)сомони'!D77))/1000</f>
        <v>#REF!</v>
      </c>
      <c r="D78" s="210" t="e">
        <f>SUM(#REF!)/1000</f>
        <v>#REF!</v>
      </c>
      <c r="F78" s="10" t="e">
        <f t="shared" si="8"/>
        <v>#REF!</v>
      </c>
      <c r="G78" s="209" t="e">
        <f>(SUM(#REF!+#REF!))/1000</f>
        <v>#REF!</v>
      </c>
      <c r="H78" s="10" t="e">
        <f t="shared" si="7"/>
        <v>#REF!</v>
      </c>
    </row>
    <row r="79" spans="1:8" ht="21.95" customHeight="1">
      <c r="A79" s="125">
        <f t="shared" si="9"/>
        <v>62</v>
      </c>
      <c r="B79" s="817" t="s">
        <v>13</v>
      </c>
      <c r="C79" s="349" t="e">
        <f>(SUM('Общ свод район (пог+выд)сомони'!D78))/1000</f>
        <v>#REF!</v>
      </c>
      <c r="D79" s="210" t="e">
        <f>SUM(#REF!)/1000</f>
        <v>#REF!</v>
      </c>
      <c r="F79" s="10" t="e">
        <f t="shared" si="8"/>
        <v>#REF!</v>
      </c>
      <c r="G79" s="209" t="e">
        <f>(SUM(#REF!+#REF!))/1000</f>
        <v>#REF!</v>
      </c>
      <c r="H79" s="10" t="e">
        <f t="shared" si="7"/>
        <v>#REF!</v>
      </c>
    </row>
    <row r="80" spans="1:8" ht="21.95" customHeight="1">
      <c r="A80" s="125">
        <v>63</v>
      </c>
      <c r="B80" s="817" t="s">
        <v>14</v>
      </c>
      <c r="C80" s="349" t="e">
        <f>(SUM('Общ свод район (пог+выд)сомони'!D79))/1000</f>
        <v>#REF!</v>
      </c>
      <c r="D80" s="210" t="e">
        <f>SUM(#REF!)/1000</f>
        <v>#REF!</v>
      </c>
      <c r="F80" s="781" t="e">
        <f t="shared" si="8"/>
        <v>#REF!</v>
      </c>
      <c r="G80" s="209" t="e">
        <f>(SUM(#REF!+#REF!))/1000</f>
        <v>#REF!</v>
      </c>
      <c r="H80" s="10" t="e">
        <f t="shared" si="7"/>
        <v>#REF!</v>
      </c>
    </row>
    <row r="81" spans="1:8" ht="21.95" customHeight="1">
      <c r="A81" s="125">
        <v>64</v>
      </c>
      <c r="B81" s="817" t="s">
        <v>15</v>
      </c>
      <c r="C81" s="349" t="e">
        <f>(SUM('Общ свод район (пог+выд)сомони'!D80))/1000</f>
        <v>#REF!</v>
      </c>
      <c r="D81" s="210" t="e">
        <f>SUM(#REF!)/1000</f>
        <v>#REF!</v>
      </c>
      <c r="F81" s="10" t="e">
        <f t="shared" si="8"/>
        <v>#REF!</v>
      </c>
      <c r="G81" s="209" t="e">
        <f>(SUM(#REF!+#REF!))/1000</f>
        <v>#REF!</v>
      </c>
      <c r="H81" s="10" t="e">
        <f t="shared" si="7"/>
        <v>#REF!</v>
      </c>
    </row>
    <row r="82" spans="1:8" ht="22.5" customHeight="1">
      <c r="A82" s="1352" t="s">
        <v>116</v>
      </c>
      <c r="B82" s="1353"/>
      <c r="C82" s="768" t="e">
        <f>SUM(C64:C81)</f>
        <v>#REF!</v>
      </c>
      <c r="D82" s="769" t="e">
        <f>SUM(D64:D81)</f>
        <v>#REF!</v>
      </c>
      <c r="G82" s="10" t="e">
        <f>SUM(G64:G81)</f>
        <v>#REF!</v>
      </c>
      <c r="H82" s="10" t="e">
        <f t="shared" si="7"/>
        <v>#REF!</v>
      </c>
    </row>
    <row r="83" spans="1:8" ht="22.5" customHeight="1">
      <c r="A83" s="883"/>
      <c r="B83" s="819"/>
      <c r="C83" s="770"/>
      <c r="D83" s="884"/>
      <c r="H83" s="10">
        <f t="shared" si="7"/>
        <v>0</v>
      </c>
    </row>
    <row r="84" spans="1:8" ht="22.5" customHeight="1">
      <c r="A84" s="105">
        <f>A81+1</f>
        <v>65</v>
      </c>
      <c r="B84" s="820" t="s">
        <v>26</v>
      </c>
      <c r="C84" s="347" t="e">
        <f>(SUM('Общ свод район (пог+выд)сомони'!D87))/1000</f>
        <v>#REF!</v>
      </c>
      <c r="D84" s="347" t="e">
        <f>SUM(#REF!)/1000</f>
        <v>#REF!</v>
      </c>
      <c r="F84" s="10" t="e">
        <f>SUM(C84-D84)</f>
        <v>#REF!</v>
      </c>
      <c r="G84" s="209" t="e">
        <f>(SUM(#REF!+#REF!))/1000</f>
        <v>#REF!</v>
      </c>
      <c r="H84" s="10" t="e">
        <f>SUM(D84-G84)</f>
        <v>#REF!</v>
      </c>
    </row>
    <row r="85" spans="1:8" ht="20.25" customHeight="1">
      <c r="A85" s="883"/>
      <c r="B85" s="821"/>
      <c r="C85" s="770"/>
      <c r="D85" s="884"/>
      <c r="H85" s="10">
        <f>SUM(D85-G85)</f>
        <v>0</v>
      </c>
    </row>
    <row r="86" spans="1:8" ht="22.5" customHeight="1">
      <c r="A86" s="1348" t="s">
        <v>148</v>
      </c>
      <c r="B86" s="1349"/>
      <c r="C86" s="772" t="e">
        <f>SUM(C84+C62+C35+C18+C82+C25)</f>
        <v>#REF!</v>
      </c>
      <c r="D86" s="773" t="e">
        <f>D84+D82+D62+D35+D18+D25</f>
        <v>#REF!</v>
      </c>
      <c r="F86" s="10" t="e">
        <f>SUM(C86-D86)</f>
        <v>#REF!</v>
      </c>
      <c r="G86" s="367" t="e">
        <f>G84+G82+G62+G35+G18+G25</f>
        <v>#REF!</v>
      </c>
      <c r="H86" s="10" t="e">
        <f>SUM(D86-G86)</f>
        <v>#REF!</v>
      </c>
    </row>
    <row r="87" spans="1:8" ht="16.5" customHeight="1">
      <c r="A87" s="64"/>
      <c r="B87" s="822"/>
      <c r="C87" s="66"/>
      <c r="D87" s="65"/>
      <c r="H87" s="10">
        <f>SUM(D87-G87)</f>
        <v>0</v>
      </c>
    </row>
    <row r="88" spans="1:8" ht="21">
      <c r="A88" s="1" t="s">
        <v>261</v>
      </c>
      <c r="B88" s="800"/>
      <c r="C88" s="8"/>
      <c r="D88" s="10"/>
    </row>
    <row r="89" spans="1:8" ht="21" customHeight="1">
      <c r="A89" s="1124" t="s">
        <v>259</v>
      </c>
      <c r="B89" s="1124"/>
      <c r="C89" s="1124"/>
    </row>
    <row r="90" spans="1:8">
      <c r="C90" s="10"/>
    </row>
    <row r="92" spans="1:8">
      <c r="C92" s="10" t="e">
        <f>SUM(C86-'Общ свод район (пог+выд)сомони'!D92/1000)</f>
        <v>#REF!</v>
      </c>
      <c r="D92" s="10" t="e">
        <f>SUM(D86-#REF!/1000)</f>
        <v>#REF!</v>
      </c>
    </row>
  </sheetData>
  <mergeCells count="19">
    <mergeCell ref="A89:C89"/>
    <mergeCell ref="A26:D26"/>
    <mergeCell ref="A35:B35"/>
    <mergeCell ref="A36:D36"/>
    <mergeCell ref="A62:B62"/>
    <mergeCell ref="A86:B86"/>
    <mergeCell ref="E11:E12"/>
    <mergeCell ref="A63:D63"/>
    <mergeCell ref="A82:B82"/>
    <mergeCell ref="A18:B18"/>
    <mergeCell ref="A19:D19"/>
    <mergeCell ref="A9:D9"/>
    <mergeCell ref="A25:B25"/>
    <mergeCell ref="A3:D3"/>
    <mergeCell ref="A4:D4"/>
    <mergeCell ref="B5:C5"/>
    <mergeCell ref="A6:A7"/>
    <mergeCell ref="B6:B7"/>
    <mergeCell ref="C6:D6"/>
  </mergeCells>
  <phoneticPr fontId="10" type="noConversion"/>
  <pageMargins left="0.24" right="0.25" top="0.38" bottom="0.43" header="0.26" footer="0.5"/>
  <pageSetup paperSize="9" scale="75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Лист27">
    <tabColor indexed="43"/>
  </sheetPr>
  <dimension ref="B1:J96"/>
  <sheetViews>
    <sheetView topLeftCell="A70" zoomScale="75" workbookViewId="0">
      <selection activeCell="G99" sqref="G99"/>
    </sheetView>
  </sheetViews>
  <sheetFormatPr defaultColWidth="9.140625" defaultRowHeight="21"/>
  <cols>
    <col min="1" max="1" width="6.42578125" style="1" customWidth="1"/>
    <col min="2" max="2" width="4.28515625" style="19" bestFit="1" customWidth="1"/>
    <col min="3" max="3" width="29.85546875" style="800" customWidth="1"/>
    <col min="4" max="4" width="28.42578125" style="1" customWidth="1"/>
    <col min="5" max="5" width="32.28515625" style="1" bestFit="1" customWidth="1"/>
    <col min="6" max="6" width="24.85546875" style="1" customWidth="1"/>
    <col min="7" max="7" width="25.140625" style="1" customWidth="1"/>
    <col min="8" max="8" width="20.5703125" style="1" customWidth="1"/>
    <col min="9" max="9" width="36.5703125" style="1" customWidth="1"/>
    <col min="10" max="10" width="20.85546875" style="1" customWidth="1"/>
    <col min="11" max="16384" width="9.140625" style="1"/>
  </cols>
  <sheetData>
    <row r="1" spans="2:10">
      <c r="C1" s="827" t="s">
        <v>460</v>
      </c>
      <c r="D1" s="6"/>
    </row>
    <row r="2" spans="2:10">
      <c r="D2" s="1" t="e">
        <f>CLEAN(#REF!)</f>
        <v>#REF!</v>
      </c>
    </row>
    <row r="3" spans="2:10" ht="21.75" thickBot="1">
      <c r="F3" s="2"/>
      <c r="G3" s="2" t="s">
        <v>0</v>
      </c>
    </row>
    <row r="4" spans="2:10" ht="21" customHeight="1">
      <c r="B4" s="3" t="s">
        <v>80</v>
      </c>
      <c r="C4" s="828" t="s">
        <v>2</v>
      </c>
      <c r="D4" s="1321" t="e">
        <f>CLEAN(#REF!)</f>
        <v>#REF!</v>
      </c>
      <c r="E4" s="1321" t="e">
        <f>CLEAN(#REF!)</f>
        <v>#REF!</v>
      </c>
      <c r="F4" s="1321" t="e">
        <f>CLEAN(#REF!)</f>
        <v>#REF!</v>
      </c>
      <c r="G4" s="1321" t="e">
        <f>CLEAN(#REF!)</f>
        <v>#REF!</v>
      </c>
      <c r="H4" s="1361" t="s">
        <v>272</v>
      </c>
    </row>
    <row r="5" spans="2:10" ht="33.75" customHeight="1" thickBot="1">
      <c r="B5" s="4"/>
      <c r="C5" s="829" t="s">
        <v>3</v>
      </c>
      <c r="D5" s="1323"/>
      <c r="E5" s="1323"/>
      <c r="F5" s="1323"/>
      <c r="G5" s="1323"/>
      <c r="H5" s="1362"/>
    </row>
    <row r="6" spans="2:10" ht="21.75" thickBot="1">
      <c r="B6" s="28">
        <v>1</v>
      </c>
      <c r="C6" s="830">
        <v>2</v>
      </c>
      <c r="D6" s="29">
        <v>3</v>
      </c>
      <c r="E6" s="28">
        <v>4</v>
      </c>
      <c r="F6" s="28">
        <v>5</v>
      </c>
      <c r="G6" s="118">
        <v>6</v>
      </c>
      <c r="H6" s="28">
        <v>7</v>
      </c>
    </row>
    <row r="7" spans="2:10" ht="21.75" thickBot="1">
      <c r="B7" s="1179" t="s">
        <v>76</v>
      </c>
      <c r="C7" s="1179"/>
      <c r="D7" s="1179"/>
      <c r="E7" s="1179"/>
      <c r="F7" s="1179"/>
      <c r="G7" s="1179"/>
      <c r="I7" s="8">
        <f t="shared" ref="I7:I33" si="0">SUM(D7+E7-F7)</f>
        <v>0</v>
      </c>
      <c r="J7" s="8">
        <f t="shared" ref="J7:J33" si="1">SUM(G7-I7)</f>
        <v>0</v>
      </c>
    </row>
    <row r="8" spans="2:10">
      <c r="B8" s="30">
        <v>1</v>
      </c>
      <c r="C8" s="831" t="s">
        <v>63</v>
      </c>
      <c r="D8" s="34" t="e">
        <f>SUM(#REF!)</f>
        <v>#REF!</v>
      </c>
      <c r="E8" s="31" t="e">
        <f>SUM(#REF!)</f>
        <v>#REF!</v>
      </c>
      <c r="F8" s="31" t="e">
        <f>SUM(#REF!)</f>
        <v>#REF!</v>
      </c>
      <c r="G8" s="172" t="e">
        <f>SUM(#REF!)</f>
        <v>#REF!</v>
      </c>
      <c r="H8" s="172" t="e">
        <f>SUM(#REF!)</f>
        <v>#REF!</v>
      </c>
      <c r="I8" s="8" t="e">
        <f t="shared" si="0"/>
        <v>#REF!</v>
      </c>
      <c r="J8" s="8" t="e">
        <f t="shared" si="1"/>
        <v>#REF!</v>
      </c>
    </row>
    <row r="9" spans="2:10">
      <c r="B9" s="12">
        <f>B8+1</f>
        <v>2</v>
      </c>
      <c r="C9" s="832" t="s">
        <v>64</v>
      </c>
      <c r="D9" s="7" t="e">
        <f>SUM(#REF!)</f>
        <v>#REF!</v>
      </c>
      <c r="E9" s="21" t="e">
        <f>SUM(#REF!)</f>
        <v>#REF!</v>
      </c>
      <c r="F9" s="21" t="e">
        <f>SUM(#REF!)</f>
        <v>#REF!</v>
      </c>
      <c r="G9" s="173" t="e">
        <f>SUM(#REF!)</f>
        <v>#REF!</v>
      </c>
      <c r="H9" s="173" t="e">
        <f>SUM(#REF!)</f>
        <v>#REF!</v>
      </c>
      <c r="I9" s="8" t="e">
        <f t="shared" si="0"/>
        <v>#REF!</v>
      </c>
      <c r="J9" s="8" t="e">
        <f t="shared" si="1"/>
        <v>#REF!</v>
      </c>
    </row>
    <row r="10" spans="2:10">
      <c r="B10" s="12">
        <f t="shared" ref="B10:B15" si="2">B9+1</f>
        <v>3</v>
      </c>
      <c r="C10" s="832" t="s">
        <v>65</v>
      </c>
      <c r="D10" s="7" t="e">
        <f>SUM(#REF!)</f>
        <v>#REF!</v>
      </c>
      <c r="E10" s="21" t="e">
        <f>SUM(#REF!)</f>
        <v>#REF!</v>
      </c>
      <c r="F10" s="21" t="e">
        <f>SUM(#REF!)</f>
        <v>#REF!</v>
      </c>
      <c r="G10" s="173" t="e">
        <f>SUM(#REF!)</f>
        <v>#REF!</v>
      </c>
      <c r="H10" s="173" t="e">
        <f>SUM(#REF!)</f>
        <v>#REF!</v>
      </c>
      <c r="I10" s="8" t="e">
        <f t="shared" si="0"/>
        <v>#REF!</v>
      </c>
      <c r="J10" s="8" t="e">
        <f t="shared" si="1"/>
        <v>#REF!</v>
      </c>
    </row>
    <row r="11" spans="2:10">
      <c r="B11" s="12">
        <f t="shared" si="2"/>
        <v>4</v>
      </c>
      <c r="C11" s="832" t="s">
        <v>66</v>
      </c>
      <c r="D11" s="7" t="e">
        <f>SUM(#REF!)</f>
        <v>#REF!</v>
      </c>
      <c r="E11" s="21" t="e">
        <f>SUM(#REF!)</f>
        <v>#REF!</v>
      </c>
      <c r="F11" s="21" t="e">
        <f>SUM(#REF!)</f>
        <v>#REF!</v>
      </c>
      <c r="G11" s="173" t="e">
        <f>SUM(#REF!)</f>
        <v>#REF!</v>
      </c>
      <c r="H11" s="173" t="e">
        <f>SUM(#REF!)</f>
        <v>#REF!</v>
      </c>
      <c r="I11" s="8" t="e">
        <f t="shared" si="0"/>
        <v>#REF!</v>
      </c>
      <c r="J11" s="8" t="e">
        <f t="shared" si="1"/>
        <v>#REF!</v>
      </c>
    </row>
    <row r="12" spans="2:10">
      <c r="B12" s="12">
        <f t="shared" si="2"/>
        <v>5</v>
      </c>
      <c r="C12" s="832" t="s">
        <v>67</v>
      </c>
      <c r="D12" s="7" t="e">
        <f>SUM(#REF!)</f>
        <v>#REF!</v>
      </c>
      <c r="E12" s="21" t="e">
        <f>SUM(#REF!)</f>
        <v>#REF!</v>
      </c>
      <c r="F12" s="21" t="e">
        <f>SUM(#REF!)</f>
        <v>#REF!</v>
      </c>
      <c r="G12" s="173" t="e">
        <f>SUM(#REF!)</f>
        <v>#REF!</v>
      </c>
      <c r="H12" s="173" t="e">
        <f>SUM(#REF!)</f>
        <v>#REF!</v>
      </c>
      <c r="I12" s="8" t="e">
        <f t="shared" si="0"/>
        <v>#REF!</v>
      </c>
      <c r="J12" s="8" t="e">
        <f t="shared" si="1"/>
        <v>#REF!</v>
      </c>
    </row>
    <row r="13" spans="2:10">
      <c r="B13" s="12">
        <f t="shared" si="2"/>
        <v>6</v>
      </c>
      <c r="C13" s="832" t="s">
        <v>68</v>
      </c>
      <c r="D13" s="7" t="e">
        <f>SUM(#REF!)</f>
        <v>#REF!</v>
      </c>
      <c r="E13" s="21" t="e">
        <f>SUM(#REF!)</f>
        <v>#REF!</v>
      </c>
      <c r="F13" s="21" t="e">
        <f>SUM(#REF!)</f>
        <v>#REF!</v>
      </c>
      <c r="G13" s="173" t="e">
        <f>SUM(#REF!)</f>
        <v>#REF!</v>
      </c>
      <c r="H13" s="173" t="e">
        <f>SUM(#REF!)</f>
        <v>#REF!</v>
      </c>
      <c r="I13" s="8" t="e">
        <f t="shared" si="0"/>
        <v>#REF!</v>
      </c>
      <c r="J13" s="8" t="e">
        <f t="shared" si="1"/>
        <v>#REF!</v>
      </c>
    </row>
    <row r="14" spans="2:10">
      <c r="B14" s="12">
        <f t="shared" si="2"/>
        <v>7</v>
      </c>
      <c r="C14" s="832" t="s">
        <v>69</v>
      </c>
      <c r="D14" s="7" t="e">
        <f>SUM(#REF!)</f>
        <v>#REF!</v>
      </c>
      <c r="E14" s="21" t="e">
        <f>SUM(#REF!)</f>
        <v>#REF!</v>
      </c>
      <c r="F14" s="21" t="e">
        <f>SUM(#REF!)</f>
        <v>#REF!</v>
      </c>
      <c r="G14" s="173" t="e">
        <f>SUM(#REF!)</f>
        <v>#REF!</v>
      </c>
      <c r="H14" s="173" t="e">
        <f>SUM(#REF!)</f>
        <v>#REF!</v>
      </c>
      <c r="I14" s="8" t="e">
        <f t="shared" si="0"/>
        <v>#REF!</v>
      </c>
      <c r="J14" s="8" t="e">
        <f t="shared" si="1"/>
        <v>#REF!</v>
      </c>
    </row>
    <row r="15" spans="2:10" ht="21.75" thickBot="1">
      <c r="B15" s="20">
        <f t="shared" si="2"/>
        <v>8</v>
      </c>
      <c r="C15" s="833" t="s">
        <v>70</v>
      </c>
      <c r="D15" s="23" t="e">
        <f>SUM(#REF!)</f>
        <v>#REF!</v>
      </c>
      <c r="E15" s="24" t="e">
        <f>SUM(#REF!)</f>
        <v>#REF!</v>
      </c>
      <c r="F15" s="24" t="e">
        <f>SUM(#REF!)</f>
        <v>#REF!</v>
      </c>
      <c r="G15" s="174" t="e">
        <f>SUM(#REF!)</f>
        <v>#REF!</v>
      </c>
      <c r="H15" s="174" t="e">
        <f>SUM(#REF!)</f>
        <v>#REF!</v>
      </c>
      <c r="I15" s="8" t="e">
        <f t="shared" si="0"/>
        <v>#REF!</v>
      </c>
      <c r="J15" s="8" t="e">
        <f t="shared" si="1"/>
        <v>#REF!</v>
      </c>
    </row>
    <row r="16" spans="2:10" ht="21.75" thickBot="1">
      <c r="B16" s="1367" t="s">
        <v>71</v>
      </c>
      <c r="C16" s="1368"/>
      <c r="D16" s="99" t="e">
        <f>SUM(D8:D15)</f>
        <v>#REF!</v>
      </c>
      <c r="E16" s="99" t="e">
        <f>SUM(E8:E15)</f>
        <v>#REF!</v>
      </c>
      <c r="F16" s="99" t="e">
        <f>SUM(F8:F15)</f>
        <v>#REF!</v>
      </c>
      <c r="G16" s="99" t="e">
        <f>SUM(G8:G15)</f>
        <v>#REF!</v>
      </c>
      <c r="H16" s="100" t="e">
        <f>SUM(H8:H15)</f>
        <v>#REF!</v>
      </c>
      <c r="I16" s="8" t="e">
        <f t="shared" si="0"/>
        <v>#REF!</v>
      </c>
      <c r="J16" s="8" t="e">
        <f t="shared" si="1"/>
        <v>#REF!</v>
      </c>
    </row>
    <row r="17" spans="2:10" ht="21.75" thickBot="1">
      <c r="B17" s="1179" t="s">
        <v>75</v>
      </c>
      <c r="C17" s="1179"/>
      <c r="D17" s="1179"/>
      <c r="E17" s="1179"/>
      <c r="F17" s="1179"/>
      <c r="G17" s="1179"/>
      <c r="I17" s="8">
        <f t="shared" si="0"/>
        <v>0</v>
      </c>
      <c r="J17" s="8">
        <f t="shared" si="1"/>
        <v>0</v>
      </c>
    </row>
    <row r="18" spans="2:10">
      <c r="B18" s="30">
        <v>1</v>
      </c>
      <c r="C18" s="831" t="s">
        <v>51</v>
      </c>
      <c r="D18" s="34" t="e">
        <f>SUM(#REF!)</f>
        <v>#REF!</v>
      </c>
      <c r="E18" s="34" t="e">
        <f>SUM(#REF!)</f>
        <v>#REF!</v>
      </c>
      <c r="F18" s="34" t="e">
        <f>SUM(#REF!)</f>
        <v>#REF!</v>
      </c>
      <c r="G18" s="34" t="e">
        <f>SUM(#REF!)</f>
        <v>#REF!</v>
      </c>
      <c r="H18" s="34" t="e">
        <f>SUM(#REF!)</f>
        <v>#REF!</v>
      </c>
      <c r="I18" s="8" t="e">
        <f t="shared" si="0"/>
        <v>#REF!</v>
      </c>
      <c r="J18" s="8" t="e">
        <f t="shared" si="1"/>
        <v>#REF!</v>
      </c>
    </row>
    <row r="19" spans="2:10">
      <c r="B19" s="12">
        <f>B18+1</f>
        <v>2</v>
      </c>
      <c r="C19" s="832" t="s">
        <v>52</v>
      </c>
      <c r="D19" s="7" t="e">
        <f>SUM(#REF!)</f>
        <v>#REF!</v>
      </c>
      <c r="E19" s="7" t="e">
        <f>SUM(#REF!)</f>
        <v>#REF!</v>
      </c>
      <c r="F19" s="7" t="e">
        <f>SUM(#REF!)</f>
        <v>#REF!</v>
      </c>
      <c r="G19" s="7" t="e">
        <f>SUM(#REF!)</f>
        <v>#REF!</v>
      </c>
      <c r="H19" s="7" t="e">
        <f>SUM(#REF!)</f>
        <v>#REF!</v>
      </c>
      <c r="I19" s="8" t="e">
        <f t="shared" si="0"/>
        <v>#REF!</v>
      </c>
      <c r="J19" s="8" t="e">
        <f t="shared" si="1"/>
        <v>#REF!</v>
      </c>
    </row>
    <row r="20" spans="2:10">
      <c r="B20" s="12">
        <f>B19+1</f>
        <v>3</v>
      </c>
      <c r="C20" s="832" t="s">
        <v>53</v>
      </c>
      <c r="D20" s="7" t="e">
        <f>SUM(#REF!)</f>
        <v>#REF!</v>
      </c>
      <c r="E20" s="7" t="e">
        <f>SUM(#REF!)</f>
        <v>#REF!</v>
      </c>
      <c r="F20" s="7" t="e">
        <f>SUM(#REF!)</f>
        <v>#REF!</v>
      </c>
      <c r="G20" s="7" t="e">
        <f>SUM(#REF!)</f>
        <v>#REF!</v>
      </c>
      <c r="H20" s="7" t="e">
        <f>SUM(#REF!)</f>
        <v>#REF!</v>
      </c>
      <c r="I20" s="8" t="e">
        <f t="shared" si="0"/>
        <v>#REF!</v>
      </c>
      <c r="J20" s="8" t="e">
        <f t="shared" si="1"/>
        <v>#REF!</v>
      </c>
    </row>
    <row r="21" spans="2:10">
      <c r="B21" s="12">
        <f>B20+1</f>
        <v>4</v>
      </c>
      <c r="C21" s="832" t="s">
        <v>54</v>
      </c>
      <c r="D21" s="7" t="e">
        <f>SUM(#REF!)</f>
        <v>#REF!</v>
      </c>
      <c r="E21" s="7" t="e">
        <f>SUM(#REF!)</f>
        <v>#REF!</v>
      </c>
      <c r="F21" s="7" t="e">
        <f>SUM(#REF!)</f>
        <v>#REF!</v>
      </c>
      <c r="G21" s="7" t="e">
        <f>SUM(#REF!)</f>
        <v>#REF!</v>
      </c>
      <c r="H21" s="7" t="e">
        <f>SUM(#REF!)</f>
        <v>#REF!</v>
      </c>
      <c r="I21" s="8" t="e">
        <f t="shared" si="0"/>
        <v>#REF!</v>
      </c>
      <c r="J21" s="8" t="e">
        <f t="shared" si="1"/>
        <v>#REF!</v>
      </c>
    </row>
    <row r="22" spans="2:10" ht="21.75" thickBot="1">
      <c r="B22" s="20">
        <f>B21+1</f>
        <v>5</v>
      </c>
      <c r="C22" s="833" t="s">
        <v>95</v>
      </c>
      <c r="D22" s="23" t="e">
        <f>SUM(#REF!)</f>
        <v>#REF!</v>
      </c>
      <c r="E22" s="23" t="e">
        <f>SUM(#REF!)</f>
        <v>#REF!</v>
      </c>
      <c r="F22" s="23" t="e">
        <f>SUM(#REF!)</f>
        <v>#REF!</v>
      </c>
      <c r="G22" s="23" t="e">
        <f>SUM(#REF!)</f>
        <v>#REF!</v>
      </c>
      <c r="H22" s="23" t="e">
        <f>SUM(#REF!)</f>
        <v>#REF!</v>
      </c>
      <c r="I22" s="8" t="e">
        <f t="shared" si="0"/>
        <v>#REF!</v>
      </c>
      <c r="J22" s="8" t="e">
        <f t="shared" si="1"/>
        <v>#REF!</v>
      </c>
    </row>
    <row r="23" spans="2:10" ht="36.75" customHeight="1" thickBot="1">
      <c r="B23" s="1363" t="s">
        <v>55</v>
      </c>
      <c r="C23" s="1364"/>
      <c r="D23" s="101" t="e">
        <f>SUM(D18:D22)</f>
        <v>#REF!</v>
      </c>
      <c r="E23" s="101" t="e">
        <f>SUM(E18:E22)</f>
        <v>#REF!</v>
      </c>
      <c r="F23" s="101" t="e">
        <f>SUM(F18:F22)</f>
        <v>#REF!</v>
      </c>
      <c r="G23" s="175" t="e">
        <f>SUM(G18:G22)</f>
        <v>#REF!</v>
      </c>
      <c r="H23" s="175" t="e">
        <f>SUM(H18:H22)</f>
        <v>#REF!</v>
      </c>
      <c r="I23" s="8" t="e">
        <f t="shared" si="0"/>
        <v>#REF!</v>
      </c>
      <c r="J23" s="8" t="e">
        <f t="shared" si="1"/>
        <v>#REF!</v>
      </c>
    </row>
    <row r="24" spans="2:10" ht="21.75" thickBot="1">
      <c r="B24" s="1371" t="s">
        <v>270</v>
      </c>
      <c r="C24" s="1371"/>
      <c r="D24" s="1371"/>
      <c r="E24" s="1371"/>
      <c r="F24" s="1371"/>
      <c r="G24" s="1371"/>
      <c r="I24" s="8">
        <f t="shared" si="0"/>
        <v>0</v>
      </c>
      <c r="J24" s="8">
        <f t="shared" si="1"/>
        <v>0</v>
      </c>
    </row>
    <row r="25" spans="2:10">
      <c r="B25" s="30">
        <v>1</v>
      </c>
      <c r="C25" s="834" t="s">
        <v>56</v>
      </c>
      <c r="D25" s="34" t="e">
        <f>SUM(#REF!)</f>
        <v>#REF!</v>
      </c>
      <c r="E25" s="34" t="e">
        <f>SUM(#REF!)</f>
        <v>#REF!</v>
      </c>
      <c r="F25" s="34" t="e">
        <f>SUM(#REF!)</f>
        <v>#REF!</v>
      </c>
      <c r="G25" s="34" t="e">
        <f>SUM(#REF!)</f>
        <v>#REF!</v>
      </c>
      <c r="H25" s="34" t="e">
        <f>SUM(#REF!)</f>
        <v>#REF!</v>
      </c>
      <c r="I25" s="8" t="e">
        <f t="shared" si="0"/>
        <v>#REF!</v>
      </c>
      <c r="J25" s="8" t="e">
        <f t="shared" si="1"/>
        <v>#REF!</v>
      </c>
    </row>
    <row r="26" spans="2:10">
      <c r="B26" s="12">
        <f>B25+1</f>
        <v>2</v>
      </c>
      <c r="C26" s="835" t="s">
        <v>57</v>
      </c>
      <c r="D26" s="7" t="e">
        <f>SUM(#REF!)</f>
        <v>#REF!</v>
      </c>
      <c r="E26" s="7" t="e">
        <f>SUM(#REF!)</f>
        <v>#REF!</v>
      </c>
      <c r="F26" s="7" t="e">
        <f>SUM(#REF!)</f>
        <v>#REF!</v>
      </c>
      <c r="G26" s="7" t="e">
        <f>SUM(#REF!)</f>
        <v>#REF!</v>
      </c>
      <c r="H26" s="7" t="e">
        <f>SUM(#REF!)</f>
        <v>#REF!</v>
      </c>
      <c r="I26" s="8" t="e">
        <f t="shared" si="0"/>
        <v>#REF!</v>
      </c>
      <c r="J26" s="8" t="e">
        <f t="shared" si="1"/>
        <v>#REF!</v>
      </c>
    </row>
    <row r="27" spans="2:10">
      <c r="B27" s="12">
        <f t="shared" ref="B27:B32" si="3">B26+1</f>
        <v>3</v>
      </c>
      <c r="C27" s="835" t="s">
        <v>79</v>
      </c>
      <c r="D27" s="7" t="e">
        <f>SUM(#REF!)</f>
        <v>#REF!</v>
      </c>
      <c r="E27" s="7" t="e">
        <f>SUM(#REF!)</f>
        <v>#REF!</v>
      </c>
      <c r="F27" s="7" t="e">
        <f>SUM(#REF!)</f>
        <v>#REF!</v>
      </c>
      <c r="G27" s="7" t="e">
        <f>SUM(#REF!)</f>
        <v>#REF!</v>
      </c>
      <c r="H27" s="7" t="e">
        <f>SUM(#REF!)</f>
        <v>#REF!</v>
      </c>
      <c r="I27" s="8" t="e">
        <f t="shared" si="0"/>
        <v>#REF!</v>
      </c>
      <c r="J27" s="8" t="e">
        <f t="shared" si="1"/>
        <v>#REF!</v>
      </c>
    </row>
    <row r="28" spans="2:10">
      <c r="B28" s="12">
        <f t="shared" si="3"/>
        <v>4</v>
      </c>
      <c r="C28" s="835" t="s">
        <v>58</v>
      </c>
      <c r="D28" s="7" t="e">
        <f>SUM(#REF!)</f>
        <v>#REF!</v>
      </c>
      <c r="E28" s="7" t="e">
        <f>SUM(#REF!)</f>
        <v>#REF!</v>
      </c>
      <c r="F28" s="7" t="e">
        <f>SUM(#REF!)</f>
        <v>#REF!</v>
      </c>
      <c r="G28" s="7" t="e">
        <f>SUM(#REF!)</f>
        <v>#REF!</v>
      </c>
      <c r="H28" s="7" t="e">
        <f>SUM(#REF!)</f>
        <v>#REF!</v>
      </c>
      <c r="I28" s="8" t="e">
        <f t="shared" si="0"/>
        <v>#REF!</v>
      </c>
      <c r="J28" s="8" t="e">
        <f t="shared" si="1"/>
        <v>#REF!</v>
      </c>
    </row>
    <row r="29" spans="2:10">
      <c r="B29" s="12">
        <f t="shared" si="3"/>
        <v>5</v>
      </c>
      <c r="C29" s="835" t="s">
        <v>78</v>
      </c>
      <c r="D29" s="7" t="e">
        <f>SUM(#REF!)</f>
        <v>#REF!</v>
      </c>
      <c r="E29" s="7" t="e">
        <f>SUM(#REF!)</f>
        <v>#REF!</v>
      </c>
      <c r="F29" s="7" t="e">
        <f>SUM(#REF!)</f>
        <v>#REF!</v>
      </c>
      <c r="G29" s="7" t="e">
        <f>SUM(#REF!)</f>
        <v>#REF!</v>
      </c>
      <c r="H29" s="7" t="e">
        <f>SUM(#REF!)</f>
        <v>#REF!</v>
      </c>
      <c r="I29" s="8" t="e">
        <f t="shared" si="0"/>
        <v>#REF!</v>
      </c>
      <c r="J29" s="8" t="e">
        <f t="shared" si="1"/>
        <v>#REF!</v>
      </c>
    </row>
    <row r="30" spans="2:10">
      <c r="B30" s="12">
        <f t="shared" si="3"/>
        <v>6</v>
      </c>
      <c r="C30" s="835" t="s">
        <v>59</v>
      </c>
      <c r="D30" s="7" t="e">
        <f>SUM(#REF!)</f>
        <v>#REF!</v>
      </c>
      <c r="E30" s="7" t="e">
        <f>SUM(#REF!)</f>
        <v>#REF!</v>
      </c>
      <c r="F30" s="7" t="e">
        <f>SUM(#REF!)</f>
        <v>#REF!</v>
      </c>
      <c r="G30" s="7" t="e">
        <f>SUM(#REF!)</f>
        <v>#REF!</v>
      </c>
      <c r="H30" s="7" t="e">
        <f>SUM(#REF!)</f>
        <v>#REF!</v>
      </c>
      <c r="I30" s="8" t="e">
        <f t="shared" si="0"/>
        <v>#REF!</v>
      </c>
      <c r="J30" s="8" t="e">
        <f t="shared" si="1"/>
        <v>#REF!</v>
      </c>
    </row>
    <row r="31" spans="2:10">
      <c r="B31" s="12">
        <f t="shared" si="3"/>
        <v>7</v>
      </c>
      <c r="C31" s="835" t="s">
        <v>60</v>
      </c>
      <c r="D31" s="7" t="e">
        <f>SUM(#REF!)</f>
        <v>#REF!</v>
      </c>
      <c r="E31" s="7" t="e">
        <f>SUM(#REF!)</f>
        <v>#REF!</v>
      </c>
      <c r="F31" s="7" t="e">
        <f>SUM(#REF!)</f>
        <v>#REF!</v>
      </c>
      <c r="G31" s="7" t="e">
        <f>SUM(#REF!)</f>
        <v>#REF!</v>
      </c>
      <c r="H31" s="7" t="e">
        <f>SUM(#REF!)</f>
        <v>#REF!</v>
      </c>
      <c r="I31" s="8" t="e">
        <f t="shared" si="0"/>
        <v>#REF!</v>
      </c>
      <c r="J31" s="8" t="e">
        <f t="shared" si="1"/>
        <v>#REF!</v>
      </c>
    </row>
    <row r="32" spans="2:10" ht="21.75" thickBot="1">
      <c r="B32" s="20">
        <f t="shared" si="3"/>
        <v>8</v>
      </c>
      <c r="C32" s="836" t="s">
        <v>61</v>
      </c>
      <c r="D32" s="23" t="e">
        <f>SUM(#REF!)</f>
        <v>#REF!</v>
      </c>
      <c r="E32" s="23" t="e">
        <f>SUM(#REF!)</f>
        <v>#REF!</v>
      </c>
      <c r="F32" s="23" t="e">
        <f>SUM(#REF!)</f>
        <v>#REF!</v>
      </c>
      <c r="G32" s="23" t="e">
        <f>SUM(#REF!)</f>
        <v>#REF!</v>
      </c>
      <c r="H32" s="23" t="e">
        <f>SUM(#REF!)</f>
        <v>#REF!</v>
      </c>
      <c r="I32" s="8" t="e">
        <f t="shared" si="0"/>
        <v>#REF!</v>
      </c>
      <c r="J32" s="8" t="e">
        <f t="shared" si="1"/>
        <v>#REF!</v>
      </c>
    </row>
    <row r="33" spans="2:10" ht="45.75" customHeight="1" thickBot="1">
      <c r="B33" s="1367" t="s">
        <v>62</v>
      </c>
      <c r="C33" s="1368"/>
      <c r="D33" s="102" t="e">
        <f>SUM(D25:D32)</f>
        <v>#REF!</v>
      </c>
      <c r="E33" s="102" t="e">
        <f>SUM(E25:E32)</f>
        <v>#REF!</v>
      </c>
      <c r="F33" s="102" t="e">
        <f>SUM(F25:F32)</f>
        <v>#REF!</v>
      </c>
      <c r="G33" s="102" t="e">
        <f>SUM(G25:G32)</f>
        <v>#REF!</v>
      </c>
      <c r="H33" s="102" t="e">
        <f>SUM(H25:H32)</f>
        <v>#REF!</v>
      </c>
      <c r="I33" s="8" t="e">
        <f t="shared" si="0"/>
        <v>#REF!</v>
      </c>
      <c r="J33" s="8" t="e">
        <f t="shared" si="1"/>
        <v>#REF!</v>
      </c>
    </row>
    <row r="34" spans="2:10" ht="21.75" thickBot="1">
      <c r="B34" s="1168" t="s">
        <v>72</v>
      </c>
      <c r="C34" s="1168"/>
      <c r="D34" s="1168"/>
      <c r="E34" s="1168"/>
      <c r="F34" s="1168"/>
      <c r="G34" s="1168"/>
      <c r="I34" s="8">
        <f t="shared" ref="I34:I46" si="4">SUM(D34+E34-F34)</f>
        <v>0</v>
      </c>
      <c r="J34" s="8">
        <f t="shared" ref="J34:J46" si="5">SUM(G34-I34)</f>
        <v>0</v>
      </c>
    </row>
    <row r="35" spans="2:10">
      <c r="B35" s="30">
        <v>1</v>
      </c>
      <c r="C35" s="831" t="s">
        <v>27</v>
      </c>
      <c r="D35" s="34" t="e">
        <f>SUM(#REF!)</f>
        <v>#REF!</v>
      </c>
      <c r="E35" s="34" t="e">
        <f>SUM(#REF!)</f>
        <v>#REF!</v>
      </c>
      <c r="F35" s="34" t="e">
        <f>SUM(#REF!)</f>
        <v>#REF!</v>
      </c>
      <c r="G35" s="34" t="e">
        <f>SUM(#REF!)</f>
        <v>#REF!</v>
      </c>
      <c r="H35" s="34" t="e">
        <f>SUM(#REF!)</f>
        <v>#REF!</v>
      </c>
      <c r="I35" s="8" t="e">
        <f t="shared" si="4"/>
        <v>#REF!</v>
      </c>
      <c r="J35" s="8" t="e">
        <f t="shared" si="5"/>
        <v>#REF!</v>
      </c>
    </row>
    <row r="36" spans="2:10">
      <c r="B36" s="12">
        <f>B35+1</f>
        <v>2</v>
      </c>
      <c r="C36" s="832" t="s">
        <v>28</v>
      </c>
      <c r="D36" s="7" t="e">
        <f>SUM(#REF!)</f>
        <v>#REF!</v>
      </c>
      <c r="E36" s="7" t="e">
        <f>SUM(#REF!)</f>
        <v>#REF!</v>
      </c>
      <c r="F36" s="7" t="e">
        <f>SUM(#REF!)</f>
        <v>#REF!</v>
      </c>
      <c r="G36" s="7" t="e">
        <f>SUM(#REF!)</f>
        <v>#REF!</v>
      </c>
      <c r="H36" s="7" t="e">
        <f>SUM(#REF!)</f>
        <v>#REF!</v>
      </c>
      <c r="I36" s="8" t="e">
        <f t="shared" si="4"/>
        <v>#REF!</v>
      </c>
      <c r="J36" s="8" t="e">
        <f t="shared" si="5"/>
        <v>#REF!</v>
      </c>
    </row>
    <row r="37" spans="2:10">
      <c r="B37" s="12">
        <f t="shared" ref="B37:B59" si="6">B36+1</f>
        <v>3</v>
      </c>
      <c r="C37" s="832" t="s">
        <v>4</v>
      </c>
      <c r="D37" s="7" t="e">
        <f>SUM(#REF!)</f>
        <v>#REF!</v>
      </c>
      <c r="E37" s="7" t="e">
        <f>SUM(#REF!)</f>
        <v>#REF!</v>
      </c>
      <c r="F37" s="7" t="e">
        <f>SUM(#REF!)</f>
        <v>#REF!</v>
      </c>
      <c r="G37" s="7" t="e">
        <f>SUM(#REF!)</f>
        <v>#REF!</v>
      </c>
      <c r="H37" s="7" t="e">
        <f>SUM(#REF!)</f>
        <v>#REF!</v>
      </c>
      <c r="I37" s="8" t="e">
        <f t="shared" si="4"/>
        <v>#REF!</v>
      </c>
      <c r="J37" s="8" t="e">
        <f t="shared" si="5"/>
        <v>#REF!</v>
      </c>
    </row>
    <row r="38" spans="2:10">
      <c r="B38" s="12">
        <f t="shared" si="6"/>
        <v>4</v>
      </c>
      <c r="C38" s="832" t="s">
        <v>29</v>
      </c>
      <c r="D38" s="7" t="e">
        <f>SUM(#REF!)</f>
        <v>#REF!</v>
      </c>
      <c r="E38" s="7" t="e">
        <f>SUM(#REF!)</f>
        <v>#REF!</v>
      </c>
      <c r="F38" s="7" t="e">
        <f>SUM(#REF!)</f>
        <v>#REF!</v>
      </c>
      <c r="G38" s="7" t="e">
        <f>SUM(#REF!)</f>
        <v>#REF!</v>
      </c>
      <c r="H38" s="7" t="e">
        <f>SUM(#REF!)</f>
        <v>#REF!</v>
      </c>
      <c r="I38" s="8" t="e">
        <f t="shared" si="4"/>
        <v>#REF!</v>
      </c>
      <c r="J38" s="8" t="e">
        <f t="shared" si="5"/>
        <v>#REF!</v>
      </c>
    </row>
    <row r="39" spans="2:10">
      <c r="B39" s="12">
        <f t="shared" si="6"/>
        <v>5</v>
      </c>
      <c r="C39" s="832" t="s">
        <v>30</v>
      </c>
      <c r="D39" s="7" t="e">
        <f>SUM(#REF!)</f>
        <v>#REF!</v>
      </c>
      <c r="E39" s="7" t="e">
        <f>SUM(#REF!)</f>
        <v>#REF!</v>
      </c>
      <c r="F39" s="7" t="e">
        <f>SUM(#REF!)</f>
        <v>#REF!</v>
      </c>
      <c r="G39" s="7" t="e">
        <f>SUM(#REF!)</f>
        <v>#REF!</v>
      </c>
      <c r="H39" s="7" t="e">
        <f>SUM(#REF!)</f>
        <v>#REF!</v>
      </c>
      <c r="I39" s="8" t="e">
        <f t="shared" si="4"/>
        <v>#REF!</v>
      </c>
      <c r="J39" s="8" t="e">
        <f t="shared" si="5"/>
        <v>#REF!</v>
      </c>
    </row>
    <row r="40" spans="2:10">
      <c r="B40" s="12">
        <f t="shared" si="6"/>
        <v>6</v>
      </c>
      <c r="C40" s="832" t="s">
        <v>31</v>
      </c>
      <c r="D40" s="7" t="e">
        <f>SUM(#REF!)</f>
        <v>#REF!</v>
      </c>
      <c r="E40" s="7" t="e">
        <f>SUM(#REF!)</f>
        <v>#REF!</v>
      </c>
      <c r="F40" s="7" t="e">
        <f>SUM(#REF!)</f>
        <v>#REF!</v>
      </c>
      <c r="G40" s="7" t="e">
        <f>SUM(#REF!)</f>
        <v>#REF!</v>
      </c>
      <c r="H40" s="7" t="e">
        <f>SUM(#REF!)</f>
        <v>#REF!</v>
      </c>
      <c r="I40" s="8" t="e">
        <f t="shared" si="4"/>
        <v>#REF!</v>
      </c>
      <c r="J40" s="8" t="e">
        <f t="shared" si="5"/>
        <v>#REF!</v>
      </c>
    </row>
    <row r="41" spans="2:10">
      <c r="B41" s="12">
        <f t="shared" si="6"/>
        <v>7</v>
      </c>
      <c r="C41" s="832" t="s">
        <v>32</v>
      </c>
      <c r="D41" s="7" t="e">
        <f>SUM(#REF!)</f>
        <v>#REF!</v>
      </c>
      <c r="E41" s="7" t="e">
        <f>SUM(#REF!)</f>
        <v>#REF!</v>
      </c>
      <c r="F41" s="7" t="e">
        <f>SUM(#REF!)</f>
        <v>#REF!</v>
      </c>
      <c r="G41" s="7" t="e">
        <f>SUM(#REF!)</f>
        <v>#REF!</v>
      </c>
      <c r="H41" s="7" t="e">
        <f>SUM(#REF!)</f>
        <v>#REF!</v>
      </c>
      <c r="I41" s="8" t="e">
        <f t="shared" si="4"/>
        <v>#REF!</v>
      </c>
      <c r="J41" s="8" t="e">
        <f t="shared" si="5"/>
        <v>#REF!</v>
      </c>
    </row>
    <row r="42" spans="2:10">
      <c r="B42" s="12">
        <f t="shared" si="6"/>
        <v>8</v>
      </c>
      <c r="C42" s="832" t="s">
        <v>443</v>
      </c>
      <c r="D42" s="7" t="e">
        <f>SUM(#REF!)</f>
        <v>#REF!</v>
      </c>
      <c r="E42" s="7" t="e">
        <f>SUM(#REF!)</f>
        <v>#REF!</v>
      </c>
      <c r="F42" s="7" t="e">
        <f>SUM(#REF!)</f>
        <v>#REF!</v>
      </c>
      <c r="G42" s="7" t="e">
        <f>SUM(#REF!)</f>
        <v>#REF!</v>
      </c>
      <c r="H42" s="7" t="e">
        <f>SUM(#REF!)</f>
        <v>#REF!</v>
      </c>
      <c r="I42" s="8" t="e">
        <f t="shared" si="4"/>
        <v>#REF!</v>
      </c>
      <c r="J42" s="8" t="e">
        <f t="shared" si="5"/>
        <v>#REF!</v>
      </c>
    </row>
    <row r="43" spans="2:10">
      <c r="B43" s="12">
        <f t="shared" si="6"/>
        <v>9</v>
      </c>
      <c r="C43" s="832" t="s">
        <v>420</v>
      </c>
      <c r="D43" s="7" t="e">
        <f>SUM(#REF!)</f>
        <v>#REF!</v>
      </c>
      <c r="E43" s="7" t="e">
        <f>SUM(#REF!)</f>
        <v>#REF!</v>
      </c>
      <c r="F43" s="7" t="e">
        <f>SUM(#REF!)</f>
        <v>#REF!</v>
      </c>
      <c r="G43" s="7" t="e">
        <f>SUM(#REF!)</f>
        <v>#REF!</v>
      </c>
      <c r="H43" s="7" t="e">
        <f>SUM(#REF!)</f>
        <v>#REF!</v>
      </c>
      <c r="I43" s="8" t="e">
        <f t="shared" si="4"/>
        <v>#REF!</v>
      </c>
      <c r="J43" s="8" t="e">
        <f t="shared" si="5"/>
        <v>#REF!</v>
      </c>
    </row>
    <row r="44" spans="2:10">
      <c r="B44" s="12">
        <f t="shared" si="6"/>
        <v>10</v>
      </c>
      <c r="C44" s="832" t="s">
        <v>96</v>
      </c>
      <c r="D44" s="7" t="e">
        <f>SUM(#REF!)</f>
        <v>#REF!</v>
      </c>
      <c r="E44" s="7" t="e">
        <f>SUM(#REF!)</f>
        <v>#REF!</v>
      </c>
      <c r="F44" s="7" t="e">
        <f>SUM(#REF!)</f>
        <v>#REF!</v>
      </c>
      <c r="G44" s="7" t="e">
        <f>SUM(#REF!)</f>
        <v>#REF!</v>
      </c>
      <c r="H44" s="7" t="e">
        <f>SUM(#REF!)</f>
        <v>#REF!</v>
      </c>
      <c r="I44" s="8" t="e">
        <f t="shared" si="4"/>
        <v>#REF!</v>
      </c>
      <c r="J44" s="8" t="e">
        <f t="shared" si="5"/>
        <v>#REF!</v>
      </c>
    </row>
    <row r="45" spans="2:10">
      <c r="B45" s="12">
        <f t="shared" si="6"/>
        <v>11</v>
      </c>
      <c r="C45" s="832" t="s">
        <v>35</v>
      </c>
      <c r="D45" s="7" t="e">
        <f>SUM(#REF!)</f>
        <v>#REF!</v>
      </c>
      <c r="E45" s="7" t="e">
        <f>SUM(#REF!)</f>
        <v>#REF!</v>
      </c>
      <c r="F45" s="7" t="e">
        <f>SUM(#REF!)</f>
        <v>#REF!</v>
      </c>
      <c r="G45" s="7" t="e">
        <f>SUM(#REF!)</f>
        <v>#REF!</v>
      </c>
      <c r="H45" s="7" t="e">
        <f>SUM(#REF!)</f>
        <v>#REF!</v>
      </c>
      <c r="I45" s="8" t="e">
        <f t="shared" si="4"/>
        <v>#REF!</v>
      </c>
      <c r="J45" s="8" t="e">
        <f t="shared" si="5"/>
        <v>#REF!</v>
      </c>
    </row>
    <row r="46" spans="2:10">
      <c r="B46" s="12">
        <f t="shared" si="6"/>
        <v>12</v>
      </c>
      <c r="C46" s="832" t="s">
        <v>440</v>
      </c>
      <c r="D46" s="7" t="e">
        <f>SUM(#REF!)</f>
        <v>#REF!</v>
      </c>
      <c r="E46" s="7" t="e">
        <f>SUM(#REF!)</f>
        <v>#REF!</v>
      </c>
      <c r="F46" s="7" t="e">
        <f>SUM(#REF!)</f>
        <v>#REF!</v>
      </c>
      <c r="G46" s="7" t="e">
        <f>SUM(#REF!)</f>
        <v>#REF!</v>
      </c>
      <c r="H46" s="7" t="e">
        <f>SUM(#REF!)</f>
        <v>#REF!</v>
      </c>
      <c r="I46" s="8" t="e">
        <f t="shared" si="4"/>
        <v>#REF!</v>
      </c>
      <c r="J46" s="8" t="e">
        <f t="shared" si="5"/>
        <v>#REF!</v>
      </c>
    </row>
    <row r="47" spans="2:10">
      <c r="B47" s="12">
        <f t="shared" si="6"/>
        <v>13</v>
      </c>
      <c r="C47" s="832" t="s">
        <v>37</v>
      </c>
      <c r="D47" s="7" t="e">
        <f>SUM(#REF!)</f>
        <v>#REF!</v>
      </c>
      <c r="E47" s="7" t="e">
        <f>SUM(#REF!)</f>
        <v>#REF!</v>
      </c>
      <c r="F47" s="7" t="e">
        <f>SUM(#REF!)</f>
        <v>#REF!</v>
      </c>
      <c r="G47" s="7" t="e">
        <f>SUM(#REF!)</f>
        <v>#REF!</v>
      </c>
      <c r="H47" s="7" t="e">
        <f>SUM(#REF!)</f>
        <v>#REF!</v>
      </c>
      <c r="I47" s="8" t="e">
        <f t="shared" ref="I47:I60" si="7">SUM(D47+E47-F47)</f>
        <v>#REF!</v>
      </c>
      <c r="J47" s="8" t="e">
        <f t="shared" ref="J47:J60" si="8">SUM(G47-I47)</f>
        <v>#REF!</v>
      </c>
    </row>
    <row r="48" spans="2:10">
      <c r="B48" s="12">
        <f t="shared" si="6"/>
        <v>14</v>
      </c>
      <c r="C48" s="832" t="s">
        <v>38</v>
      </c>
      <c r="D48" s="7" t="e">
        <f>SUM(#REF!)</f>
        <v>#REF!</v>
      </c>
      <c r="E48" s="7" t="e">
        <f>SUM(#REF!)</f>
        <v>#REF!</v>
      </c>
      <c r="F48" s="7" t="e">
        <f>SUM(#REF!)</f>
        <v>#REF!</v>
      </c>
      <c r="G48" s="7" t="e">
        <f>SUM(#REF!)</f>
        <v>#REF!</v>
      </c>
      <c r="H48" s="7" t="e">
        <f>SUM(#REF!)</f>
        <v>#REF!</v>
      </c>
      <c r="I48" s="8" t="e">
        <f t="shared" si="7"/>
        <v>#REF!</v>
      </c>
      <c r="J48" s="8" t="e">
        <f t="shared" si="8"/>
        <v>#REF!</v>
      </c>
    </row>
    <row r="49" spans="2:10">
      <c r="B49" s="12">
        <f t="shared" si="6"/>
        <v>15</v>
      </c>
      <c r="C49" s="832" t="s">
        <v>39</v>
      </c>
      <c r="D49" s="7" t="e">
        <f>SUM(#REF!)</f>
        <v>#REF!</v>
      </c>
      <c r="E49" s="7" t="e">
        <f>SUM(#REF!)</f>
        <v>#REF!</v>
      </c>
      <c r="F49" s="7" t="e">
        <f>SUM(#REF!)</f>
        <v>#REF!</v>
      </c>
      <c r="G49" s="7" t="e">
        <f>SUM(#REF!)</f>
        <v>#REF!</v>
      </c>
      <c r="H49" s="7" t="e">
        <f>SUM(#REF!)</f>
        <v>#REF!</v>
      </c>
      <c r="I49" s="8" t="e">
        <f t="shared" si="7"/>
        <v>#REF!</v>
      </c>
      <c r="J49" s="8" t="e">
        <f t="shared" si="8"/>
        <v>#REF!</v>
      </c>
    </row>
    <row r="50" spans="2:10">
      <c r="B50" s="12">
        <f t="shared" si="6"/>
        <v>16</v>
      </c>
      <c r="C50" s="832" t="s">
        <v>40</v>
      </c>
      <c r="D50" s="7" t="e">
        <f>SUM(#REF!)</f>
        <v>#REF!</v>
      </c>
      <c r="E50" s="7" t="e">
        <f>SUM(#REF!)</f>
        <v>#REF!</v>
      </c>
      <c r="F50" s="7" t="e">
        <f>SUM(#REF!)</f>
        <v>#REF!</v>
      </c>
      <c r="G50" s="7" t="e">
        <f>SUM(#REF!)</f>
        <v>#REF!</v>
      </c>
      <c r="H50" s="7" t="e">
        <f>SUM(#REF!)</f>
        <v>#REF!</v>
      </c>
      <c r="I50" s="8" t="e">
        <f t="shared" si="7"/>
        <v>#REF!</v>
      </c>
      <c r="J50" s="8" t="e">
        <f t="shared" si="8"/>
        <v>#REF!</v>
      </c>
    </row>
    <row r="51" spans="2:10">
      <c r="B51" s="12">
        <f t="shared" si="6"/>
        <v>17</v>
      </c>
      <c r="C51" s="832" t="s">
        <v>41</v>
      </c>
      <c r="D51" s="7" t="e">
        <f>SUM(#REF!)</f>
        <v>#REF!</v>
      </c>
      <c r="E51" s="7" t="e">
        <f>SUM(#REF!)</f>
        <v>#REF!</v>
      </c>
      <c r="F51" s="7" t="e">
        <f>SUM(#REF!)</f>
        <v>#REF!</v>
      </c>
      <c r="G51" s="7" t="e">
        <f>SUM(#REF!)</f>
        <v>#REF!</v>
      </c>
      <c r="H51" s="7" t="e">
        <f>SUM(#REF!)</f>
        <v>#REF!</v>
      </c>
      <c r="I51" s="8" t="e">
        <f t="shared" si="7"/>
        <v>#REF!</v>
      </c>
      <c r="J51" s="8" t="e">
        <f t="shared" si="8"/>
        <v>#REF!</v>
      </c>
    </row>
    <row r="52" spans="2:10">
      <c r="B52" s="12">
        <f t="shared" si="6"/>
        <v>18</v>
      </c>
      <c r="C52" s="832" t="s">
        <v>42</v>
      </c>
      <c r="D52" s="7" t="e">
        <f>SUM(#REF!)</f>
        <v>#REF!</v>
      </c>
      <c r="E52" s="7" t="e">
        <f>SUM(#REF!)</f>
        <v>#REF!</v>
      </c>
      <c r="F52" s="7" t="e">
        <f>SUM(#REF!)</f>
        <v>#REF!</v>
      </c>
      <c r="G52" s="7" t="e">
        <f>SUM(#REF!)</f>
        <v>#REF!</v>
      </c>
      <c r="H52" s="7" t="e">
        <f>SUM(#REF!)</f>
        <v>#REF!</v>
      </c>
      <c r="I52" s="8" t="e">
        <f t="shared" si="7"/>
        <v>#REF!</v>
      </c>
      <c r="J52" s="8" t="e">
        <f t="shared" si="8"/>
        <v>#REF!</v>
      </c>
    </row>
    <row r="53" spans="2:10">
      <c r="B53" s="12">
        <f t="shared" si="6"/>
        <v>19</v>
      </c>
      <c r="C53" s="832" t="s">
        <v>43</v>
      </c>
      <c r="D53" s="7" t="e">
        <f>SUM(#REF!)</f>
        <v>#REF!</v>
      </c>
      <c r="E53" s="7" t="e">
        <f>SUM(#REF!)</f>
        <v>#REF!</v>
      </c>
      <c r="F53" s="7" t="e">
        <f>SUM(#REF!)</f>
        <v>#REF!</v>
      </c>
      <c r="G53" s="7" t="e">
        <f>SUM(#REF!)</f>
        <v>#REF!</v>
      </c>
      <c r="H53" s="7" t="e">
        <f>SUM(#REF!)</f>
        <v>#REF!</v>
      </c>
      <c r="I53" s="8" t="e">
        <f t="shared" si="7"/>
        <v>#REF!</v>
      </c>
      <c r="J53" s="8" t="e">
        <f t="shared" si="8"/>
        <v>#REF!</v>
      </c>
    </row>
    <row r="54" spans="2:10">
      <c r="B54" s="12">
        <f t="shared" si="6"/>
        <v>20</v>
      </c>
      <c r="C54" s="832" t="s">
        <v>44</v>
      </c>
      <c r="D54" s="7" t="e">
        <f>SUM(#REF!)</f>
        <v>#REF!</v>
      </c>
      <c r="E54" s="7" t="e">
        <f>SUM(#REF!)</f>
        <v>#REF!</v>
      </c>
      <c r="F54" s="7" t="e">
        <f>SUM(#REF!)</f>
        <v>#REF!</v>
      </c>
      <c r="G54" s="7" t="e">
        <f>SUM(#REF!)</f>
        <v>#REF!</v>
      </c>
      <c r="H54" s="7" t="e">
        <f>SUM(#REF!)</f>
        <v>#REF!</v>
      </c>
      <c r="I54" s="8" t="e">
        <f t="shared" si="7"/>
        <v>#REF!</v>
      </c>
      <c r="J54" s="8" t="e">
        <f t="shared" si="8"/>
        <v>#REF!</v>
      </c>
    </row>
    <row r="55" spans="2:10">
      <c r="B55" s="12">
        <f t="shared" si="6"/>
        <v>21</v>
      </c>
      <c r="C55" s="832" t="s">
        <v>45</v>
      </c>
      <c r="D55" s="7" t="e">
        <f>SUM(#REF!)</f>
        <v>#REF!</v>
      </c>
      <c r="E55" s="7" t="e">
        <f>SUM(#REF!)</f>
        <v>#REF!</v>
      </c>
      <c r="F55" s="7" t="e">
        <f>SUM(#REF!)</f>
        <v>#REF!</v>
      </c>
      <c r="G55" s="7" t="e">
        <f>SUM(#REF!)</f>
        <v>#REF!</v>
      </c>
      <c r="H55" s="7" t="e">
        <f>SUM(#REF!)</f>
        <v>#REF!</v>
      </c>
      <c r="I55" s="8" t="e">
        <f t="shared" si="7"/>
        <v>#REF!</v>
      </c>
      <c r="J55" s="8" t="e">
        <f t="shared" si="8"/>
        <v>#REF!</v>
      </c>
    </row>
    <row r="56" spans="2:10">
      <c r="B56" s="12">
        <f t="shared" si="6"/>
        <v>22</v>
      </c>
      <c r="C56" s="832" t="s">
        <v>442</v>
      </c>
      <c r="D56" s="7" t="e">
        <f>SUM(#REF!)</f>
        <v>#REF!</v>
      </c>
      <c r="E56" s="7" t="e">
        <f>SUM(#REF!)</f>
        <v>#REF!</v>
      </c>
      <c r="F56" s="7" t="e">
        <f>SUM(#REF!)</f>
        <v>#REF!</v>
      </c>
      <c r="G56" s="7" t="e">
        <f>SUM(#REF!)</f>
        <v>#REF!</v>
      </c>
      <c r="H56" s="7" t="e">
        <f>SUM(#REF!)</f>
        <v>#REF!</v>
      </c>
      <c r="I56" s="8" t="e">
        <f t="shared" si="7"/>
        <v>#REF!</v>
      </c>
      <c r="J56" s="8" t="e">
        <f t="shared" si="8"/>
        <v>#REF!</v>
      </c>
    </row>
    <row r="57" spans="2:10">
      <c r="B57" s="12">
        <f t="shared" si="6"/>
        <v>23</v>
      </c>
      <c r="C57" s="832" t="s">
        <v>216</v>
      </c>
      <c r="D57" s="7" t="e">
        <f>SUM(#REF!)</f>
        <v>#REF!</v>
      </c>
      <c r="E57" s="7" t="e">
        <f>SUM(#REF!)</f>
        <v>#REF!</v>
      </c>
      <c r="F57" s="7" t="e">
        <f>SUM(#REF!)</f>
        <v>#REF!</v>
      </c>
      <c r="G57" s="7" t="e">
        <f>SUM(#REF!)</f>
        <v>#REF!</v>
      </c>
      <c r="H57" s="7" t="e">
        <f>SUM(#REF!)</f>
        <v>#REF!</v>
      </c>
      <c r="I57" s="8" t="e">
        <f t="shared" si="7"/>
        <v>#REF!</v>
      </c>
      <c r="J57" s="8" t="e">
        <f t="shared" si="8"/>
        <v>#REF!</v>
      </c>
    </row>
    <row r="58" spans="2:10">
      <c r="B58" s="12">
        <f t="shared" si="6"/>
        <v>24</v>
      </c>
      <c r="C58" s="832" t="s">
        <v>48</v>
      </c>
      <c r="D58" s="7" t="e">
        <f>SUM(#REF!)</f>
        <v>#REF!</v>
      </c>
      <c r="E58" s="7" t="e">
        <f>SUM(#REF!)</f>
        <v>#REF!</v>
      </c>
      <c r="F58" s="7" t="e">
        <f>SUM(#REF!)</f>
        <v>#REF!</v>
      </c>
      <c r="G58" s="7" t="e">
        <f>SUM(#REF!)</f>
        <v>#REF!</v>
      </c>
      <c r="H58" s="7" t="e">
        <f>SUM(#REF!)</f>
        <v>#REF!</v>
      </c>
      <c r="I58" s="8" t="e">
        <f t="shared" si="7"/>
        <v>#REF!</v>
      </c>
      <c r="J58" s="8" t="e">
        <f t="shared" si="8"/>
        <v>#REF!</v>
      </c>
    </row>
    <row r="59" spans="2:10" ht="21.75" thickBot="1">
      <c r="B59" s="20">
        <f t="shared" si="6"/>
        <v>25</v>
      </c>
      <c r="C59" s="833" t="s">
        <v>439</v>
      </c>
      <c r="D59" s="23" t="e">
        <f>SUM(#REF!)</f>
        <v>#REF!</v>
      </c>
      <c r="E59" s="23" t="e">
        <f>SUM(#REF!)</f>
        <v>#REF!</v>
      </c>
      <c r="F59" s="23" t="e">
        <f>SUM(#REF!)</f>
        <v>#REF!</v>
      </c>
      <c r="G59" s="23" t="e">
        <f>SUM(#REF!)</f>
        <v>#REF!</v>
      </c>
      <c r="H59" s="23" t="e">
        <f>SUM(#REF!)</f>
        <v>#REF!</v>
      </c>
      <c r="I59" s="8" t="e">
        <f>SUM(D59+E59-F59)</f>
        <v>#REF!</v>
      </c>
      <c r="J59" s="8" t="e">
        <f t="shared" si="8"/>
        <v>#REF!</v>
      </c>
    </row>
    <row r="60" spans="2:10" ht="21.75" thickBot="1">
      <c r="B60" s="1367" t="s">
        <v>50</v>
      </c>
      <c r="C60" s="1368"/>
      <c r="D60" s="99" t="e">
        <f>SUM(D35:D59)</f>
        <v>#REF!</v>
      </c>
      <c r="E60" s="99" t="e">
        <f>SUM(E35:E59)</f>
        <v>#REF!</v>
      </c>
      <c r="F60" s="99" t="e">
        <f>SUM(F35:F59)</f>
        <v>#REF!</v>
      </c>
      <c r="G60" s="99" t="e">
        <f>SUM(G35:G59)</f>
        <v>#REF!</v>
      </c>
      <c r="H60" s="99" t="e">
        <f>SUM(H35:H59)</f>
        <v>#REF!</v>
      </c>
      <c r="I60" s="8" t="e">
        <f t="shared" si="7"/>
        <v>#REF!</v>
      </c>
      <c r="J60" s="8" t="e">
        <f t="shared" si="8"/>
        <v>#REF!</v>
      </c>
    </row>
    <row r="61" spans="2:10" ht="21.75" thickBot="1">
      <c r="B61" s="1168" t="s">
        <v>74</v>
      </c>
      <c r="C61" s="1168"/>
      <c r="D61" s="1168"/>
      <c r="E61" s="1168"/>
      <c r="F61" s="1168"/>
      <c r="G61" s="1168"/>
      <c r="I61" s="8"/>
      <c r="J61" s="8"/>
    </row>
    <row r="62" spans="2:10">
      <c r="B62" s="30">
        <v>1</v>
      </c>
      <c r="C62" s="831" t="s">
        <v>6</v>
      </c>
      <c r="D62" s="34" t="e">
        <f>SUM(#REF!)</f>
        <v>#REF!</v>
      </c>
      <c r="E62" s="31" t="e">
        <f>SUM(#REF!)</f>
        <v>#REF!</v>
      </c>
      <c r="F62" s="31" t="e">
        <f>SUM(#REF!)</f>
        <v>#REF!</v>
      </c>
      <c r="G62" s="172" t="e">
        <f>SUM(#REF!)</f>
        <v>#REF!</v>
      </c>
      <c r="H62" s="172" t="e">
        <f>SUM(#REF!)</f>
        <v>#REF!</v>
      </c>
      <c r="I62" s="8" t="e">
        <f t="shared" ref="I62:I79" si="9">SUM(D62+E62-F62)</f>
        <v>#REF!</v>
      </c>
      <c r="J62" s="8" t="e">
        <f t="shared" ref="J62:J80" si="10">SUM(G62-I62)</f>
        <v>#REF!</v>
      </c>
    </row>
    <row r="63" spans="2:10">
      <c r="B63" s="12">
        <f>B62+1</f>
        <v>2</v>
      </c>
      <c r="C63" s="832" t="s">
        <v>17</v>
      </c>
      <c r="D63" s="7" t="e">
        <f>SUM(#REF!)</f>
        <v>#REF!</v>
      </c>
      <c r="E63" s="21" t="e">
        <f>SUM(#REF!)</f>
        <v>#REF!</v>
      </c>
      <c r="F63" s="21" t="e">
        <f>SUM(#REF!)</f>
        <v>#REF!</v>
      </c>
      <c r="G63" s="173" t="e">
        <f>SUM(#REF!)</f>
        <v>#REF!</v>
      </c>
      <c r="H63" s="173" t="e">
        <f>SUM(#REF!)</f>
        <v>#REF!</v>
      </c>
      <c r="I63" s="8" t="e">
        <f t="shared" si="9"/>
        <v>#REF!</v>
      </c>
      <c r="J63" s="8" t="e">
        <f t="shared" si="10"/>
        <v>#REF!</v>
      </c>
    </row>
    <row r="64" spans="2:10">
      <c r="B64" s="12">
        <f t="shared" ref="B64:B79" si="11">B63+1</f>
        <v>3</v>
      </c>
      <c r="C64" s="832" t="s">
        <v>18</v>
      </c>
      <c r="D64" s="7" t="e">
        <f>SUM(#REF!)</f>
        <v>#REF!</v>
      </c>
      <c r="E64" s="21" t="e">
        <f>SUM(#REF!)</f>
        <v>#REF!</v>
      </c>
      <c r="F64" s="21" t="e">
        <f>SUM(#REF!)</f>
        <v>#REF!</v>
      </c>
      <c r="G64" s="173" t="e">
        <f>SUM(#REF!)</f>
        <v>#REF!</v>
      </c>
      <c r="H64" s="173" t="e">
        <f>SUM(#REF!)</f>
        <v>#REF!</v>
      </c>
      <c r="I64" s="8" t="e">
        <f t="shared" si="9"/>
        <v>#REF!</v>
      </c>
      <c r="J64" s="8" t="e">
        <f t="shared" si="10"/>
        <v>#REF!</v>
      </c>
    </row>
    <row r="65" spans="2:10">
      <c r="B65" s="12">
        <f t="shared" si="11"/>
        <v>4</v>
      </c>
      <c r="C65" s="832" t="s">
        <v>19</v>
      </c>
      <c r="D65" s="7" t="e">
        <f>SUM(#REF!)</f>
        <v>#REF!</v>
      </c>
      <c r="E65" s="21" t="e">
        <f>SUM(#REF!)</f>
        <v>#REF!</v>
      </c>
      <c r="F65" s="21" t="e">
        <f>SUM(#REF!)</f>
        <v>#REF!</v>
      </c>
      <c r="G65" s="173" t="e">
        <f>SUM(#REF!)</f>
        <v>#REF!</v>
      </c>
      <c r="H65" s="173" t="e">
        <f>SUM(#REF!)</f>
        <v>#REF!</v>
      </c>
      <c r="I65" s="8" t="e">
        <f t="shared" si="9"/>
        <v>#REF!</v>
      </c>
      <c r="J65" s="8" t="e">
        <f t="shared" si="10"/>
        <v>#REF!</v>
      </c>
    </row>
    <row r="66" spans="2:10">
      <c r="B66" s="12">
        <f t="shared" si="11"/>
        <v>5</v>
      </c>
      <c r="C66" s="832" t="s">
        <v>20</v>
      </c>
      <c r="D66" s="7" t="e">
        <f>SUM(#REF!)</f>
        <v>#REF!</v>
      </c>
      <c r="E66" s="21" t="e">
        <f>SUM(#REF!)</f>
        <v>#REF!</v>
      </c>
      <c r="F66" s="21" t="e">
        <f>SUM(#REF!)</f>
        <v>#REF!</v>
      </c>
      <c r="G66" s="173" t="e">
        <f>SUM(#REF!)</f>
        <v>#REF!</v>
      </c>
      <c r="H66" s="173" t="e">
        <f>SUM(#REF!)</f>
        <v>#REF!</v>
      </c>
      <c r="I66" s="8" t="e">
        <f t="shared" si="9"/>
        <v>#REF!</v>
      </c>
      <c r="J66" s="8" t="e">
        <f t="shared" si="10"/>
        <v>#REF!</v>
      </c>
    </row>
    <row r="67" spans="2:10">
      <c r="B67" s="12">
        <f t="shared" si="11"/>
        <v>6</v>
      </c>
      <c r="C67" s="832" t="s">
        <v>21</v>
      </c>
      <c r="D67" s="7" t="e">
        <f>SUM(#REF!)</f>
        <v>#REF!</v>
      </c>
      <c r="E67" s="21" t="e">
        <f>SUM(#REF!)</f>
        <v>#REF!</v>
      </c>
      <c r="F67" s="21" t="e">
        <f>SUM(#REF!)</f>
        <v>#REF!</v>
      </c>
      <c r="G67" s="173" t="e">
        <f>SUM(#REF!)</f>
        <v>#REF!</v>
      </c>
      <c r="H67" s="173" t="e">
        <f>SUM(#REF!)</f>
        <v>#REF!</v>
      </c>
      <c r="I67" s="8" t="e">
        <f t="shared" si="9"/>
        <v>#REF!</v>
      </c>
      <c r="J67" s="8" t="e">
        <f t="shared" si="10"/>
        <v>#REF!</v>
      </c>
    </row>
    <row r="68" spans="2:10">
      <c r="B68" s="12">
        <f t="shared" si="11"/>
        <v>7</v>
      </c>
      <c r="C68" s="832" t="s">
        <v>8</v>
      </c>
      <c r="D68" s="7" t="e">
        <f>SUM(#REF!)</f>
        <v>#REF!</v>
      </c>
      <c r="E68" s="21" t="e">
        <f>SUM(#REF!)</f>
        <v>#REF!</v>
      </c>
      <c r="F68" s="21" t="e">
        <f>SUM(#REF!)</f>
        <v>#REF!</v>
      </c>
      <c r="G68" s="173" t="e">
        <f>SUM(#REF!)</f>
        <v>#REF!</v>
      </c>
      <c r="H68" s="173" t="e">
        <f>SUM(#REF!)</f>
        <v>#REF!</v>
      </c>
      <c r="I68" s="8" t="e">
        <f t="shared" si="9"/>
        <v>#REF!</v>
      </c>
      <c r="J68" s="8" t="e">
        <f t="shared" si="10"/>
        <v>#REF!</v>
      </c>
    </row>
    <row r="69" spans="2:10">
      <c r="B69" s="12">
        <f t="shared" si="11"/>
        <v>8</v>
      </c>
      <c r="C69" s="832" t="s">
        <v>9</v>
      </c>
      <c r="D69" s="7" t="e">
        <f>SUM(#REF!)</f>
        <v>#REF!</v>
      </c>
      <c r="E69" s="21" t="e">
        <f>SUM(#REF!)</f>
        <v>#REF!</v>
      </c>
      <c r="F69" s="21" t="e">
        <f>SUM(#REF!)</f>
        <v>#REF!</v>
      </c>
      <c r="G69" s="173" t="e">
        <f>SUM(#REF!)</f>
        <v>#REF!</v>
      </c>
      <c r="H69" s="173" t="e">
        <f>SUM(#REF!)</f>
        <v>#REF!</v>
      </c>
      <c r="I69" s="8" t="e">
        <f t="shared" si="9"/>
        <v>#REF!</v>
      </c>
      <c r="J69" s="8" t="e">
        <f t="shared" si="10"/>
        <v>#REF!</v>
      </c>
    </row>
    <row r="70" spans="2:10">
      <c r="B70" s="12">
        <f t="shared" si="11"/>
        <v>9</v>
      </c>
      <c r="C70" s="832" t="s">
        <v>10</v>
      </c>
      <c r="D70" s="7" t="e">
        <f>SUM(#REF!)</f>
        <v>#REF!</v>
      </c>
      <c r="E70" s="21" t="e">
        <f>SUM(#REF!)</f>
        <v>#REF!</v>
      </c>
      <c r="F70" s="21" t="e">
        <f>SUM(#REF!)</f>
        <v>#REF!</v>
      </c>
      <c r="G70" s="173" t="e">
        <f>SUM(#REF!)</f>
        <v>#REF!</v>
      </c>
      <c r="H70" s="173" t="e">
        <f>SUM(#REF!)</f>
        <v>#REF!</v>
      </c>
      <c r="I70" s="8" t="e">
        <f t="shared" si="9"/>
        <v>#REF!</v>
      </c>
      <c r="J70" s="8" t="e">
        <f t="shared" si="10"/>
        <v>#REF!</v>
      </c>
    </row>
    <row r="71" spans="2:10" ht="42">
      <c r="B71" s="12">
        <f t="shared" si="11"/>
        <v>10</v>
      </c>
      <c r="C71" s="832" t="s">
        <v>81</v>
      </c>
      <c r="D71" s="7" t="e">
        <f>SUM(#REF!)</f>
        <v>#REF!</v>
      </c>
      <c r="E71" s="21" t="e">
        <f>SUM(#REF!)</f>
        <v>#REF!</v>
      </c>
      <c r="F71" s="21" t="e">
        <f>SUM(#REF!)</f>
        <v>#REF!</v>
      </c>
      <c r="G71" s="173" t="e">
        <f>SUM(#REF!)</f>
        <v>#REF!</v>
      </c>
      <c r="H71" s="173" t="e">
        <f>SUM(#REF!)</f>
        <v>#REF!</v>
      </c>
      <c r="I71" s="8" t="e">
        <f t="shared" si="9"/>
        <v>#REF!</v>
      </c>
      <c r="J71" s="8" t="e">
        <f t="shared" si="10"/>
        <v>#REF!</v>
      </c>
    </row>
    <row r="72" spans="2:10">
      <c r="B72" s="12">
        <f t="shared" si="11"/>
        <v>11</v>
      </c>
      <c r="C72" s="832" t="s">
        <v>11</v>
      </c>
      <c r="D72" s="7" t="e">
        <f>SUM(#REF!)</f>
        <v>#REF!</v>
      </c>
      <c r="E72" s="21" t="e">
        <f>SUM(#REF!)</f>
        <v>#REF!</v>
      </c>
      <c r="F72" s="21" t="e">
        <f>SUM(#REF!)</f>
        <v>#REF!</v>
      </c>
      <c r="G72" s="173" t="e">
        <f>SUM(#REF!)</f>
        <v>#REF!</v>
      </c>
      <c r="H72" s="173" t="e">
        <f>SUM(#REF!)</f>
        <v>#REF!</v>
      </c>
      <c r="I72" s="8" t="e">
        <f t="shared" si="9"/>
        <v>#REF!</v>
      </c>
      <c r="J72" s="8" t="e">
        <f t="shared" si="10"/>
        <v>#REF!</v>
      </c>
    </row>
    <row r="73" spans="2:10">
      <c r="B73" s="12">
        <f t="shared" si="11"/>
        <v>12</v>
      </c>
      <c r="C73" s="832" t="s">
        <v>12</v>
      </c>
      <c r="D73" s="7" t="e">
        <f>SUM(#REF!)</f>
        <v>#REF!</v>
      </c>
      <c r="E73" s="21" t="e">
        <f>SUM(#REF!)</f>
        <v>#REF!</v>
      </c>
      <c r="F73" s="21" t="e">
        <f>SUM(#REF!)</f>
        <v>#REF!</v>
      </c>
      <c r="G73" s="173" t="e">
        <f>SUM(#REF!)</f>
        <v>#REF!</v>
      </c>
      <c r="H73" s="173" t="e">
        <f>SUM(#REF!)</f>
        <v>#REF!</v>
      </c>
      <c r="I73" s="8" t="e">
        <f t="shared" si="9"/>
        <v>#REF!</v>
      </c>
      <c r="J73" s="8" t="e">
        <f t="shared" si="10"/>
        <v>#REF!</v>
      </c>
    </row>
    <row r="74" spans="2:10">
      <c r="B74" s="12">
        <f t="shared" si="11"/>
        <v>13</v>
      </c>
      <c r="C74" s="832" t="s">
        <v>13</v>
      </c>
      <c r="D74" s="7" t="e">
        <f>SUM(#REF!)</f>
        <v>#REF!</v>
      </c>
      <c r="E74" s="21" t="e">
        <f>SUM(#REF!)</f>
        <v>#REF!</v>
      </c>
      <c r="F74" s="21" t="e">
        <f>SUM(#REF!)</f>
        <v>#REF!</v>
      </c>
      <c r="G74" s="173" t="e">
        <f>SUM(#REF!)</f>
        <v>#REF!</v>
      </c>
      <c r="H74" s="173" t="e">
        <f>SUM(#REF!)</f>
        <v>#REF!</v>
      </c>
      <c r="I74" s="8" t="e">
        <f t="shared" si="9"/>
        <v>#REF!</v>
      </c>
      <c r="J74" s="8" t="e">
        <f t="shared" si="10"/>
        <v>#REF!</v>
      </c>
    </row>
    <row r="75" spans="2:10">
      <c r="B75" s="12">
        <v>14</v>
      </c>
      <c r="C75" s="832" t="s">
        <v>150</v>
      </c>
      <c r="D75" s="7" t="e">
        <f>SUM(#REF!)</f>
        <v>#REF!</v>
      </c>
      <c r="E75" s="21" t="e">
        <f>SUM(#REF!)</f>
        <v>#REF!</v>
      </c>
      <c r="F75" s="21" t="e">
        <f>SUM(#REF!)</f>
        <v>#REF!</v>
      </c>
      <c r="G75" s="173" t="e">
        <f>SUM(#REF!)</f>
        <v>#REF!</v>
      </c>
      <c r="H75" s="173" t="e">
        <f>SUM(#REF!)</f>
        <v>#REF!</v>
      </c>
      <c r="I75" s="8" t="e">
        <f t="shared" si="9"/>
        <v>#REF!</v>
      </c>
      <c r="J75" s="8" t="e">
        <f t="shared" si="10"/>
        <v>#REF!</v>
      </c>
    </row>
    <row r="76" spans="2:10">
      <c r="B76" s="12">
        <v>15</v>
      </c>
      <c r="C76" s="832" t="s">
        <v>14</v>
      </c>
      <c r="D76" s="7" t="e">
        <f>SUM(#REF!)</f>
        <v>#REF!</v>
      </c>
      <c r="E76" s="21" t="e">
        <f>SUM(#REF!)</f>
        <v>#REF!</v>
      </c>
      <c r="F76" s="21" t="e">
        <f>SUM(#REF!)</f>
        <v>#REF!</v>
      </c>
      <c r="G76" s="173" t="e">
        <f>SUM(#REF!)</f>
        <v>#REF!</v>
      </c>
      <c r="H76" s="173" t="e">
        <f>SUM(#REF!)</f>
        <v>#REF!</v>
      </c>
      <c r="I76" s="8" t="e">
        <f t="shared" si="9"/>
        <v>#REF!</v>
      </c>
      <c r="J76" s="8" t="e">
        <f t="shared" si="10"/>
        <v>#REF!</v>
      </c>
    </row>
    <row r="77" spans="2:10">
      <c r="B77" s="12">
        <f t="shared" si="11"/>
        <v>16</v>
      </c>
      <c r="C77" s="832" t="s">
        <v>15</v>
      </c>
      <c r="D77" s="7" t="e">
        <f>SUM(#REF!)</f>
        <v>#REF!</v>
      </c>
      <c r="E77" s="21" t="e">
        <f>SUM(#REF!)</f>
        <v>#REF!</v>
      </c>
      <c r="F77" s="21" t="e">
        <f>SUM(#REF!)</f>
        <v>#REF!</v>
      </c>
      <c r="G77" s="173" t="e">
        <f>SUM(#REF!)</f>
        <v>#REF!</v>
      </c>
      <c r="H77" s="173" t="e">
        <f>SUM(#REF!)</f>
        <v>#REF!</v>
      </c>
      <c r="I77" s="8" t="e">
        <f t="shared" si="9"/>
        <v>#REF!</v>
      </c>
      <c r="J77" s="8" t="e">
        <f t="shared" si="10"/>
        <v>#REF!</v>
      </c>
    </row>
    <row r="78" spans="2:10">
      <c r="B78" s="12">
        <f t="shared" si="11"/>
        <v>17</v>
      </c>
      <c r="C78" s="832" t="s">
        <v>16</v>
      </c>
      <c r="D78" s="7" t="e">
        <f>SUM(#REF!)</f>
        <v>#REF!</v>
      </c>
      <c r="E78" s="21" t="e">
        <f>SUM(#REF!)</f>
        <v>#REF!</v>
      </c>
      <c r="F78" s="21" t="e">
        <f>SUM(#REF!)</f>
        <v>#REF!</v>
      </c>
      <c r="G78" s="173" t="e">
        <f>SUM(#REF!)</f>
        <v>#REF!</v>
      </c>
      <c r="H78" s="173" t="e">
        <f>SUM(#REF!)</f>
        <v>#REF!</v>
      </c>
      <c r="I78" s="8" t="e">
        <f t="shared" si="9"/>
        <v>#REF!</v>
      </c>
      <c r="J78" s="8" t="e">
        <f t="shared" si="10"/>
        <v>#REF!</v>
      </c>
    </row>
    <row r="79" spans="2:10" ht="21.75" thickBot="1">
      <c r="B79" s="20">
        <f t="shared" si="11"/>
        <v>18</v>
      </c>
      <c r="C79" s="833" t="s">
        <v>5</v>
      </c>
      <c r="D79" s="23" t="e">
        <f>SUM(#REF!)</f>
        <v>#REF!</v>
      </c>
      <c r="E79" s="24" t="e">
        <f>SUM(#REF!)</f>
        <v>#REF!</v>
      </c>
      <c r="F79" s="24" t="e">
        <f>SUM(#REF!)</f>
        <v>#REF!</v>
      </c>
      <c r="G79" s="174" t="e">
        <f>SUM(#REF!)</f>
        <v>#REF!</v>
      </c>
      <c r="H79" s="174" t="e">
        <f>SUM(#REF!)</f>
        <v>#REF!</v>
      </c>
      <c r="I79" s="8" t="e">
        <f t="shared" si="9"/>
        <v>#REF!</v>
      </c>
      <c r="J79" s="8" t="e">
        <f t="shared" si="10"/>
        <v>#REF!</v>
      </c>
    </row>
    <row r="80" spans="2:10" ht="21.75" thickBot="1">
      <c r="B80" s="1369" t="s">
        <v>73</v>
      </c>
      <c r="C80" s="1370"/>
      <c r="D80" s="177" t="e">
        <f>SUM(D62:D79)</f>
        <v>#REF!</v>
      </c>
      <c r="E80" s="177" t="e">
        <f>SUM(E62:E79)</f>
        <v>#REF!</v>
      </c>
      <c r="F80" s="177" t="e">
        <f>SUM(F62:F79)</f>
        <v>#REF!</v>
      </c>
      <c r="G80" s="177" t="e">
        <f>SUM(G62:G79)</f>
        <v>#REF!</v>
      </c>
      <c r="H80" s="177" t="e">
        <f>SUM(H62:H79)</f>
        <v>#REF!</v>
      </c>
      <c r="I80" s="8" t="e">
        <f>SUM(D80+E80-F80)</f>
        <v>#REF!</v>
      </c>
      <c r="J80" s="8" t="e">
        <f t="shared" si="10"/>
        <v>#REF!</v>
      </c>
    </row>
    <row r="81" spans="2:10" ht="21.75" thickBot="1">
      <c r="B81" s="1168" t="s">
        <v>7</v>
      </c>
      <c r="C81" s="1168"/>
      <c r="D81" s="1168"/>
      <c r="E81" s="1168"/>
      <c r="F81" s="1168"/>
      <c r="G81" s="1168"/>
    </row>
    <row r="82" spans="2:10">
      <c r="B82" s="30">
        <v>1</v>
      </c>
      <c r="C82" s="831" t="s">
        <v>22</v>
      </c>
      <c r="D82" s="31" t="e">
        <f>SUM(#REF!)</f>
        <v>#REF!</v>
      </c>
      <c r="E82" s="31" t="e">
        <f>SUM(#REF!)</f>
        <v>#REF!</v>
      </c>
      <c r="F82" s="31" t="e">
        <f>SUM(#REF!)</f>
        <v>#REF!</v>
      </c>
      <c r="G82" s="172" t="e">
        <f>SUM(#REF!)</f>
        <v>#REF!</v>
      </c>
      <c r="H82" s="172" t="e">
        <f>SUM(#REF!)</f>
        <v>#REF!</v>
      </c>
      <c r="I82" s="8" t="e">
        <f>SUM(D82+E82-F82)</f>
        <v>#REF!</v>
      </c>
      <c r="J82" s="8" t="e">
        <f>SUM(G82-I82)</f>
        <v>#REF!</v>
      </c>
    </row>
    <row r="83" spans="2:10">
      <c r="B83" s="12">
        <f>B82+1</f>
        <v>2</v>
      </c>
      <c r="C83" s="832" t="s">
        <v>23</v>
      </c>
      <c r="D83" s="21" t="e">
        <f>SUM(#REF!)</f>
        <v>#REF!</v>
      </c>
      <c r="E83" s="21" t="e">
        <f>SUM(#REF!)</f>
        <v>#REF!</v>
      </c>
      <c r="F83" s="21" t="e">
        <f>SUM(#REF!)</f>
        <v>#REF!</v>
      </c>
      <c r="G83" s="173" t="e">
        <f>SUM(#REF!)</f>
        <v>#REF!</v>
      </c>
      <c r="H83" s="173" t="e">
        <f>SUM(#REF!)</f>
        <v>#REF!</v>
      </c>
      <c r="I83" s="8" t="e">
        <f>SUM(D83+E83-F83)</f>
        <v>#REF!</v>
      </c>
      <c r="J83" s="8" t="e">
        <f>SUM(G83-I83)</f>
        <v>#REF!</v>
      </c>
    </row>
    <row r="84" spans="2:10">
      <c r="B84" s="12">
        <f>B83+1</f>
        <v>3</v>
      </c>
      <c r="C84" s="832" t="s">
        <v>24</v>
      </c>
      <c r="D84" s="21" t="e">
        <f>SUM(#REF!)</f>
        <v>#REF!</v>
      </c>
      <c r="E84" s="21" t="e">
        <f>SUM(#REF!)</f>
        <v>#REF!</v>
      </c>
      <c r="F84" s="21" t="e">
        <f>SUM(#REF!)</f>
        <v>#REF!</v>
      </c>
      <c r="G84" s="173" t="e">
        <f>SUM(#REF!)</f>
        <v>#REF!</v>
      </c>
      <c r="H84" s="173" t="e">
        <f>SUM(#REF!)</f>
        <v>#REF!</v>
      </c>
      <c r="I84" s="8" t="e">
        <f>SUM(D84+E84-F84)</f>
        <v>#REF!</v>
      </c>
      <c r="J84" s="8" t="e">
        <f>SUM(G84-I84)</f>
        <v>#REF!</v>
      </c>
    </row>
    <row r="85" spans="2:10" ht="21.75" thickBot="1">
      <c r="B85" s="20">
        <f>B84+1</f>
        <v>4</v>
      </c>
      <c r="C85" s="833" t="s">
        <v>25</v>
      </c>
      <c r="D85" s="24" t="e">
        <f>SUM(#REF!)</f>
        <v>#REF!</v>
      </c>
      <c r="E85" s="24" t="e">
        <f>SUM(#REF!)</f>
        <v>#REF!</v>
      </c>
      <c r="F85" s="24" t="e">
        <f>SUM(#REF!)</f>
        <v>#REF!</v>
      </c>
      <c r="G85" s="174" t="e">
        <f>SUM(#REF!)</f>
        <v>#REF!</v>
      </c>
      <c r="H85" s="174" t="e">
        <f>SUM(#REF!)</f>
        <v>#REF!</v>
      </c>
      <c r="I85" s="8" t="e">
        <f>SUM(D85+E85-F85)</f>
        <v>#REF!</v>
      </c>
      <c r="J85" s="8" t="e">
        <f>SUM(G85-I85)</f>
        <v>#REF!</v>
      </c>
    </row>
    <row r="86" spans="2:10" ht="21.75" thickBot="1">
      <c r="B86" s="1367" t="s">
        <v>26</v>
      </c>
      <c r="C86" s="1368"/>
      <c r="D86" s="99" t="e">
        <f>SUM(D82:D85)</f>
        <v>#REF!</v>
      </c>
      <c r="E86" s="99" t="e">
        <f>SUM(E82:E85)</f>
        <v>#REF!</v>
      </c>
      <c r="F86" s="99" t="e">
        <f>SUM(F82:F85)</f>
        <v>#REF!</v>
      </c>
      <c r="G86" s="99" t="e">
        <f>SUM(G82:G85)</f>
        <v>#REF!</v>
      </c>
      <c r="H86" s="99" t="e">
        <f>SUM(H82:H85)</f>
        <v>#REF!</v>
      </c>
    </row>
    <row r="87" spans="2:10" ht="21.75" thickBot="1">
      <c r="B87" s="5"/>
      <c r="C87" s="807"/>
      <c r="D87" s="33"/>
      <c r="E87" s="33"/>
      <c r="F87" s="33"/>
      <c r="G87" s="33"/>
      <c r="I87" s="8"/>
      <c r="J87" s="8"/>
    </row>
    <row r="88" spans="2:10" ht="21.75" thickBot="1">
      <c r="B88" s="1365" t="s">
        <v>77</v>
      </c>
      <c r="C88" s="1366"/>
      <c r="D88" s="176" t="e">
        <f>SUM(D86+D80+D60+D33+D23+D16)</f>
        <v>#REF!</v>
      </c>
      <c r="E88" s="176" t="e">
        <f>SUM(E86+E80+E60+E33+E23+E16)</f>
        <v>#REF!</v>
      </c>
      <c r="F88" s="176" t="e">
        <f>SUM(F86+F80+F60+F33+F23+F16)</f>
        <v>#REF!</v>
      </c>
      <c r="G88" s="176" t="e">
        <f>SUM(G86+G80+G60+G33+G23+G16)</f>
        <v>#REF!</v>
      </c>
      <c r="H88" s="176" t="e">
        <f>SUM(H86+H80+H60+H33+H23+H16)</f>
        <v>#REF!</v>
      </c>
      <c r="I88" s="8" t="e">
        <f>SUM(D88+E88-F88)</f>
        <v>#REF!</v>
      </c>
      <c r="J88" s="8" t="e">
        <f>SUM(G88-I88)</f>
        <v>#REF!</v>
      </c>
    </row>
    <row r="89" spans="2:10">
      <c r="B89" s="5"/>
      <c r="C89" s="807"/>
      <c r="D89" s="33"/>
      <c r="E89" s="33"/>
      <c r="F89" s="33"/>
      <c r="G89" s="33"/>
    </row>
    <row r="90" spans="2:10">
      <c r="C90" s="800" t="s">
        <v>257</v>
      </c>
      <c r="E90" s="8"/>
      <c r="F90" s="8"/>
      <c r="G90" s="104" t="e">
        <f>SUM(#REF!)</f>
        <v>#REF!</v>
      </c>
    </row>
    <row r="91" spans="2:10">
      <c r="C91" s="800" t="s">
        <v>258</v>
      </c>
      <c r="E91" s="8"/>
      <c r="F91" s="8"/>
      <c r="G91" s="169"/>
    </row>
    <row r="92" spans="2:10" ht="21.75" customHeight="1">
      <c r="C92" s="1124" t="s">
        <v>259</v>
      </c>
      <c r="D92" s="1124"/>
      <c r="E92" s="1124"/>
      <c r="F92" s="168"/>
      <c r="G92" s="168"/>
    </row>
    <row r="93" spans="2:10">
      <c r="G93" s="103" t="e">
        <f>SUM(G90+G88)</f>
        <v>#REF!</v>
      </c>
    </row>
    <row r="95" spans="2:10">
      <c r="D95" s="8"/>
      <c r="E95" s="8" t="e">
        <f>SUM(E88-#REF!)</f>
        <v>#REF!</v>
      </c>
      <c r="F95" s="8"/>
      <c r="G95" s="8"/>
    </row>
    <row r="96" spans="2:10">
      <c r="E96" s="8"/>
      <c r="G96" s="8"/>
    </row>
  </sheetData>
  <mergeCells count="19">
    <mergeCell ref="B34:G34"/>
    <mergeCell ref="B60:C60"/>
    <mergeCell ref="B24:G24"/>
    <mergeCell ref="B7:G7"/>
    <mergeCell ref="B16:C16"/>
    <mergeCell ref="B33:C33"/>
    <mergeCell ref="C92:E92"/>
    <mergeCell ref="B88:C88"/>
    <mergeCell ref="B81:G81"/>
    <mergeCell ref="B86:C86"/>
    <mergeCell ref="B61:G61"/>
    <mergeCell ref="B80:C80"/>
    <mergeCell ref="G4:G5"/>
    <mergeCell ref="H4:H5"/>
    <mergeCell ref="B17:G17"/>
    <mergeCell ref="B23:C23"/>
    <mergeCell ref="D4:D5"/>
    <mergeCell ref="E4:E5"/>
    <mergeCell ref="F4:F5"/>
  </mergeCells>
  <phoneticPr fontId="0" type="noConversion"/>
  <printOptions horizontalCentered="1"/>
  <pageMargins left="0" right="0" top="0.2" bottom="0.27" header="0" footer="0"/>
  <pageSetup paperSize="9" scale="55" orientation="portrait" r:id="rId1"/>
  <headerFooter alignWithMargins="0">
    <oddFooter>&amp;LНоми файл: 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Лист28">
    <tabColor indexed="31"/>
  </sheetPr>
  <dimension ref="A1:I49"/>
  <sheetViews>
    <sheetView zoomScale="75" workbookViewId="0">
      <selection activeCell="D40" sqref="D40"/>
    </sheetView>
  </sheetViews>
  <sheetFormatPr defaultRowHeight="12.75"/>
  <cols>
    <col min="1" max="1" width="7.7109375" customWidth="1"/>
    <col min="2" max="2" width="49.140625" style="797" customWidth="1"/>
    <col min="3" max="3" width="24.42578125" customWidth="1"/>
    <col min="4" max="4" width="26.28515625" customWidth="1"/>
    <col min="5" max="5" width="23.42578125" customWidth="1"/>
    <col min="6" max="6" width="23.140625" customWidth="1"/>
    <col min="7" max="7" width="17.28515625" customWidth="1"/>
    <col min="9" max="9" width="20.85546875" customWidth="1"/>
  </cols>
  <sheetData>
    <row r="1" spans="1:9" ht="76.5" customHeight="1">
      <c r="A1" s="1374" t="e">
        <f>CLEAN(#REF!)</f>
        <v>#REF!</v>
      </c>
      <c r="B1" s="1374"/>
      <c r="C1" s="1374"/>
      <c r="D1" s="1374"/>
      <c r="E1" s="1374"/>
      <c r="F1" s="1374"/>
    </row>
    <row r="2" spans="1:9" ht="24" customHeight="1">
      <c r="A2" s="1375" t="s">
        <v>218</v>
      </c>
      <c r="B2" s="1375"/>
      <c r="C2" s="1375"/>
      <c r="D2" s="1375"/>
      <c r="E2" s="1375"/>
      <c r="F2" s="1375"/>
    </row>
    <row r="3" spans="1:9" s="1" customFormat="1" ht="21" customHeight="1">
      <c r="A3" s="1141" t="s">
        <v>80</v>
      </c>
      <c r="B3" s="1143" t="s">
        <v>245</v>
      </c>
      <c r="C3" s="1321" t="e">
        <f>CLEAN(#REF!)</f>
        <v>#REF!</v>
      </c>
      <c r="D3" s="1321" t="e">
        <f>CLEAN(#REF!)</f>
        <v>#REF!</v>
      </c>
      <c r="E3" s="1321" t="e">
        <f>CLEAN(#REF!)</f>
        <v>#REF!</v>
      </c>
      <c r="F3" s="1321" t="e">
        <f>CLEAN(#REF!)</f>
        <v>#REF!</v>
      </c>
      <c r="G3" s="1319" t="s">
        <v>263</v>
      </c>
    </row>
    <row r="4" spans="1:9" s="1" customFormat="1" ht="42" customHeight="1">
      <c r="A4" s="1183"/>
      <c r="B4" s="1184"/>
      <c r="C4" s="1323"/>
      <c r="D4" s="1323"/>
      <c r="E4" s="1323"/>
      <c r="F4" s="1323"/>
      <c r="G4" s="1320"/>
    </row>
    <row r="5" spans="1:9" ht="21.75" customHeight="1">
      <c r="A5" s="1345" t="s">
        <v>107</v>
      </c>
      <c r="B5" s="1345"/>
      <c r="C5" s="1345"/>
      <c r="D5" s="1345"/>
      <c r="E5" s="1345"/>
      <c r="F5" s="1345"/>
      <c r="G5" s="15"/>
    </row>
    <row r="6" spans="1:9" ht="25.5">
      <c r="A6" s="130">
        <v>1</v>
      </c>
      <c r="B6" s="837" t="s">
        <v>70</v>
      </c>
      <c r="C6" s="68" t="e">
        <f>SUM(#REF!/1000)</f>
        <v>#REF!</v>
      </c>
      <c r="D6" s="68" t="e">
        <f>SUM(#REF!/1000)</f>
        <v>#REF!</v>
      </c>
      <c r="E6" s="68" t="e">
        <f>SUM(#REF!/1000)</f>
        <v>#REF!</v>
      </c>
      <c r="F6" s="68" t="e">
        <f t="shared" ref="F6:F13" si="0">SUM(C6+D6-E6)</f>
        <v>#REF!</v>
      </c>
      <c r="G6" s="68" t="e">
        <f>SUM('общ.сводрайон без курсовой '!G9/1000)</f>
        <v>#REF!</v>
      </c>
      <c r="I6" s="10" t="e">
        <f t="shared" ref="I6:I14" si="1">SUM(C6+D6-E6-F6)</f>
        <v>#REF!</v>
      </c>
    </row>
    <row r="7" spans="1:9" ht="25.5">
      <c r="A7" s="131">
        <f>A6+1</f>
        <v>2</v>
      </c>
      <c r="B7" s="838" t="s">
        <v>200</v>
      </c>
      <c r="C7" s="68" t="e">
        <f>SUM(#REF!/1000)</f>
        <v>#REF!</v>
      </c>
      <c r="D7" s="68" t="e">
        <f>SUM(#REF!/1000)</f>
        <v>#REF!</v>
      </c>
      <c r="E7" s="68" t="e">
        <f>SUM(#REF!/1000)</f>
        <v>#REF!</v>
      </c>
      <c r="F7" s="68" t="e">
        <f t="shared" si="0"/>
        <v>#REF!</v>
      </c>
      <c r="G7" s="70" t="e">
        <f>SUM('общ.сводрайон без курсовой '!G10/1000)</f>
        <v>#REF!</v>
      </c>
      <c r="I7" s="10" t="e">
        <f t="shared" si="1"/>
        <v>#REF!</v>
      </c>
    </row>
    <row r="8" spans="1:9" ht="25.5">
      <c r="A8" s="131">
        <v>3</v>
      </c>
      <c r="B8" s="838" t="s">
        <v>201</v>
      </c>
      <c r="C8" s="68" t="e">
        <f>SUM(#REF!/1000)</f>
        <v>#REF!</v>
      </c>
      <c r="D8" s="68" t="e">
        <f>SUM(#REF!/1000)</f>
        <v>#REF!</v>
      </c>
      <c r="E8" s="68" t="e">
        <f>SUM(#REF!/1000)</f>
        <v>#REF!</v>
      </c>
      <c r="F8" s="68" t="e">
        <f t="shared" si="0"/>
        <v>#REF!</v>
      </c>
      <c r="G8" s="70" t="e">
        <f>SUM('общ.сводрайон без курсовой '!G11/1000)</f>
        <v>#REF!</v>
      </c>
      <c r="I8" s="10" t="e">
        <f t="shared" si="1"/>
        <v>#REF!</v>
      </c>
    </row>
    <row r="9" spans="1:9" ht="25.5">
      <c r="A9" s="131">
        <v>4</v>
      </c>
      <c r="B9" s="838" t="s">
        <v>202</v>
      </c>
      <c r="C9" s="68" t="e">
        <f>SUM(#REF!/1000)</f>
        <v>#REF!</v>
      </c>
      <c r="D9" s="68" t="e">
        <f>SUM(#REF!/1000)</f>
        <v>#REF!</v>
      </c>
      <c r="E9" s="68" t="e">
        <f>SUM(#REF!/1000)</f>
        <v>#REF!</v>
      </c>
      <c r="F9" s="68" t="e">
        <f t="shared" si="0"/>
        <v>#REF!</v>
      </c>
      <c r="G9" s="70" t="e">
        <f>SUM('общ.сводрайон без курсовой '!G12/1000)</f>
        <v>#REF!</v>
      </c>
      <c r="I9" s="10" t="e">
        <f t="shared" si="1"/>
        <v>#REF!</v>
      </c>
    </row>
    <row r="10" spans="1:9" ht="25.5">
      <c r="A10" s="131">
        <v>5</v>
      </c>
      <c r="B10" s="838" t="s">
        <v>203</v>
      </c>
      <c r="C10" s="68" t="e">
        <f>SUM(#REF!/1000)</f>
        <v>#REF!</v>
      </c>
      <c r="D10" s="68" t="e">
        <f>SUM(#REF!/1000)</f>
        <v>#REF!</v>
      </c>
      <c r="E10" s="68" t="e">
        <f>SUM(#REF!/1000)</f>
        <v>#REF!</v>
      </c>
      <c r="F10" s="68" t="e">
        <f t="shared" si="0"/>
        <v>#REF!</v>
      </c>
      <c r="G10" s="70" t="e">
        <f>SUM('общ.сводрайон без курсовой '!G13/1000)</f>
        <v>#REF!</v>
      </c>
      <c r="I10" s="10" t="e">
        <f t="shared" si="1"/>
        <v>#REF!</v>
      </c>
    </row>
    <row r="11" spans="1:9" ht="25.5">
      <c r="A11" s="131">
        <f>A10+1</f>
        <v>6</v>
      </c>
      <c r="B11" s="838" t="s">
        <v>204</v>
      </c>
      <c r="C11" s="68" t="e">
        <f>SUM(#REF!/1000)</f>
        <v>#REF!</v>
      </c>
      <c r="D11" s="68" t="e">
        <f>SUM(#REF!/1000)</f>
        <v>#REF!</v>
      </c>
      <c r="E11" s="68" t="e">
        <f>SUM(#REF!/1000)</f>
        <v>#REF!</v>
      </c>
      <c r="F11" s="68" t="e">
        <f t="shared" si="0"/>
        <v>#REF!</v>
      </c>
      <c r="G11" s="70" t="e">
        <f>SUM('общ.сводрайон без курсовой '!G14/1000)</f>
        <v>#REF!</v>
      </c>
      <c r="I11" s="10" t="e">
        <f t="shared" si="1"/>
        <v>#REF!</v>
      </c>
    </row>
    <row r="12" spans="1:9" ht="25.5">
      <c r="A12" s="131">
        <f>A11+1</f>
        <v>7</v>
      </c>
      <c r="B12" s="838" t="s">
        <v>68</v>
      </c>
      <c r="C12" s="68" t="e">
        <f>SUM(#REF!/1000)</f>
        <v>#REF!</v>
      </c>
      <c r="D12" s="68" t="e">
        <f>SUM(#REF!/1000)</f>
        <v>#REF!</v>
      </c>
      <c r="E12" s="68" t="e">
        <f>SUM(#REF!/1000)</f>
        <v>#REF!</v>
      </c>
      <c r="F12" s="68" t="e">
        <f t="shared" si="0"/>
        <v>#REF!</v>
      </c>
      <c r="G12" s="70" t="e">
        <f>SUM('общ.сводрайон без курсовой '!G15/1000)</f>
        <v>#REF!</v>
      </c>
      <c r="I12" s="10" t="e">
        <f t="shared" si="1"/>
        <v>#REF!</v>
      </c>
    </row>
    <row r="13" spans="1:9" ht="25.5">
      <c r="A13" s="132">
        <f>A12+1</f>
        <v>8</v>
      </c>
      <c r="B13" s="839" t="s">
        <v>214</v>
      </c>
      <c r="C13" s="68" t="e">
        <f>SUM(#REF!/1000)</f>
        <v>#REF!</v>
      </c>
      <c r="D13" s="68" t="e">
        <f>SUM(#REF!/1000)</f>
        <v>#REF!</v>
      </c>
      <c r="E13" s="68" t="e">
        <f>SUM(#REF!/1000)</f>
        <v>#REF!</v>
      </c>
      <c r="F13" s="68" t="e">
        <f t="shared" si="0"/>
        <v>#REF!</v>
      </c>
      <c r="G13" s="70" t="e">
        <f>SUM('общ.сводрайон без курсовой '!G16/1000)</f>
        <v>#REF!</v>
      </c>
      <c r="I13" s="10" t="e">
        <f t="shared" si="1"/>
        <v>#REF!</v>
      </c>
    </row>
    <row r="14" spans="1:9" ht="21.75" customHeight="1">
      <c r="A14" s="1376" t="s">
        <v>71</v>
      </c>
      <c r="B14" s="1377"/>
      <c r="C14" s="785" t="e">
        <f>SUM(C6:C13)</f>
        <v>#REF!</v>
      </c>
      <c r="D14" s="785" t="e">
        <f>SUM(D6:D13)</f>
        <v>#REF!</v>
      </c>
      <c r="E14" s="785" t="e">
        <f>SUM(E6:E13)</f>
        <v>#REF!</v>
      </c>
      <c r="F14" s="785" t="e">
        <f>SUM(F6:F13)</f>
        <v>#REF!</v>
      </c>
      <c r="G14" s="785" t="e">
        <f>SUM(G6:G13)</f>
        <v>#REF!</v>
      </c>
      <c r="H14" s="10"/>
      <c r="I14" s="10" t="e">
        <f t="shared" si="1"/>
        <v>#REF!</v>
      </c>
    </row>
    <row r="15" spans="1:9" ht="21.75" customHeight="1">
      <c r="A15" s="1345" t="s">
        <v>265</v>
      </c>
      <c r="B15" s="1378"/>
      <c r="C15" s="1378"/>
      <c r="D15" s="1378"/>
      <c r="E15" s="1378"/>
      <c r="F15" s="1378"/>
      <c r="G15" s="15"/>
      <c r="H15" s="15"/>
    </row>
    <row r="16" spans="1:9" ht="25.5">
      <c r="A16" s="130">
        <f>A13+1</f>
        <v>9</v>
      </c>
      <c r="B16" s="840" t="s">
        <v>51</v>
      </c>
      <c r="C16" s="68" t="e">
        <f>SUM(#REF!/1000)</f>
        <v>#REF!</v>
      </c>
      <c r="D16" s="68" t="e">
        <f>SUM(#REF!/1000)</f>
        <v>#REF!</v>
      </c>
      <c r="E16" s="68" t="e">
        <f>SUM(#REF!/1000)</f>
        <v>#REF!</v>
      </c>
      <c r="F16" s="68" t="e">
        <f>SUM(C16+D16-E16)</f>
        <v>#REF!</v>
      </c>
      <c r="G16" s="68" t="e">
        <f>SUM('общ.сводрайон без курсовой '!G19/1000)</f>
        <v>#REF!</v>
      </c>
      <c r="I16" s="10" t="e">
        <f t="shared" ref="I16:I21" si="2">SUM(C16+D16-E16-F16)</f>
        <v>#REF!</v>
      </c>
    </row>
    <row r="17" spans="1:9" ht="25.5">
      <c r="A17" s="131">
        <f t="shared" ref="A17:A25" si="3">A16+1</f>
        <v>10</v>
      </c>
      <c r="B17" s="841" t="s">
        <v>52</v>
      </c>
      <c r="C17" s="68" t="e">
        <f>SUM(#REF!/1000)</f>
        <v>#REF!</v>
      </c>
      <c r="D17" s="68" t="e">
        <f>SUM(#REF!/1000)</f>
        <v>#REF!</v>
      </c>
      <c r="E17" s="68" t="e">
        <f>SUM(#REF!/1000)</f>
        <v>#REF!</v>
      </c>
      <c r="F17" s="68" t="e">
        <f>SUM(C17+D17-E17)</f>
        <v>#REF!</v>
      </c>
      <c r="G17" s="70" t="e">
        <f>SUM('общ.сводрайон без курсовой '!G20/1000)</f>
        <v>#REF!</v>
      </c>
      <c r="I17" s="10" t="e">
        <f t="shared" si="2"/>
        <v>#REF!</v>
      </c>
    </row>
    <row r="18" spans="1:9" ht="25.5">
      <c r="A18" s="131">
        <f t="shared" si="3"/>
        <v>11</v>
      </c>
      <c r="B18" s="841" t="s">
        <v>53</v>
      </c>
      <c r="C18" s="68" t="e">
        <f>SUM(#REF!/1000)</f>
        <v>#REF!</v>
      </c>
      <c r="D18" s="68" t="e">
        <f>SUM(#REF!/1000)</f>
        <v>#REF!</v>
      </c>
      <c r="E18" s="68" t="e">
        <f>SUM(#REF!/1000)</f>
        <v>#REF!</v>
      </c>
      <c r="F18" s="68" t="e">
        <f>SUM(C18+D18-E18)</f>
        <v>#REF!</v>
      </c>
      <c r="G18" s="70" t="e">
        <f>SUM('общ.сводрайон без курсовой '!G21/1000)</f>
        <v>#REF!</v>
      </c>
      <c r="I18" s="10" t="e">
        <f t="shared" si="2"/>
        <v>#REF!</v>
      </c>
    </row>
    <row r="19" spans="1:9" ht="25.5">
      <c r="A19" s="131">
        <f t="shared" si="3"/>
        <v>12</v>
      </c>
      <c r="B19" s="841" t="s">
        <v>54</v>
      </c>
      <c r="C19" s="68" t="e">
        <f>SUM(#REF!/1000)</f>
        <v>#REF!</v>
      </c>
      <c r="D19" s="68" t="e">
        <f>SUM(#REF!/1000)</f>
        <v>#REF!</v>
      </c>
      <c r="E19" s="68" t="e">
        <f>SUM(#REF!/1000)</f>
        <v>#REF!</v>
      </c>
      <c r="F19" s="68" t="e">
        <f>SUM(C19+D19-E19)</f>
        <v>#REF!</v>
      </c>
      <c r="G19" s="70" t="e">
        <f>SUM('общ.сводрайон без курсовой '!G22/1000)</f>
        <v>#REF!</v>
      </c>
      <c r="I19" s="10" t="e">
        <f t="shared" si="2"/>
        <v>#REF!</v>
      </c>
    </row>
    <row r="20" spans="1:9" ht="25.5">
      <c r="A20" s="131">
        <f t="shared" si="3"/>
        <v>13</v>
      </c>
      <c r="B20" s="841" t="s">
        <v>95</v>
      </c>
      <c r="C20" s="68" t="e">
        <f>SUM(#REF!/1000)</f>
        <v>#REF!</v>
      </c>
      <c r="D20" s="68" t="e">
        <f>SUM(#REF!/1000)</f>
        <v>#REF!</v>
      </c>
      <c r="E20" s="68" t="e">
        <f>SUM(#REF!/1000)</f>
        <v>#REF!</v>
      </c>
      <c r="F20" s="68" t="e">
        <f>SUM(C20+D20-E20)</f>
        <v>#REF!</v>
      </c>
      <c r="G20" s="70" t="e">
        <f>SUM('общ.сводрайон без курсовой '!G23/1000)</f>
        <v>#REF!</v>
      </c>
      <c r="I20" s="10" t="e">
        <f t="shared" si="2"/>
        <v>#REF!</v>
      </c>
    </row>
    <row r="21" spans="1:9" ht="21.75" customHeight="1">
      <c r="A21" s="1379" t="s">
        <v>267</v>
      </c>
      <c r="B21" s="1380"/>
      <c r="C21" s="785" t="e">
        <f>SUM(C16:C20)</f>
        <v>#REF!</v>
      </c>
      <c r="D21" s="785" t="e">
        <f>SUM(D16:D20)</f>
        <v>#REF!</v>
      </c>
      <c r="E21" s="785" t="e">
        <f>SUM(E16:E20)</f>
        <v>#REF!</v>
      </c>
      <c r="F21" s="785" t="e">
        <f>SUM(F16:F20)</f>
        <v>#REF!</v>
      </c>
      <c r="G21" s="785" t="e">
        <f>SUM(G16:G20)</f>
        <v>#REF!</v>
      </c>
      <c r="I21" s="10" t="e">
        <f t="shared" si="2"/>
        <v>#REF!</v>
      </c>
    </row>
    <row r="22" spans="1:9" ht="21.75" customHeight="1">
      <c r="A22" s="1372" t="s">
        <v>266</v>
      </c>
      <c r="B22" s="1373"/>
      <c r="C22" s="1373"/>
      <c r="D22" s="1373"/>
      <c r="E22" s="1373"/>
      <c r="F22" s="1373"/>
    </row>
    <row r="23" spans="1:9" ht="25.5">
      <c r="A23" s="130">
        <f>A20+1</f>
        <v>14</v>
      </c>
      <c r="B23" s="840" t="s">
        <v>59</v>
      </c>
      <c r="C23" s="68" t="e">
        <f>SUM(#REF!/1000)</f>
        <v>#REF!</v>
      </c>
      <c r="D23" s="68" t="e">
        <f>SUM(#REF!/1000)</f>
        <v>#REF!</v>
      </c>
      <c r="E23" s="68" t="e">
        <f>SUM(#REF!/1000)</f>
        <v>#REF!</v>
      </c>
      <c r="F23" s="68" t="e">
        <f>SUM(C23+D23-E23)</f>
        <v>#REF!</v>
      </c>
      <c r="G23" s="69" t="e">
        <f>SUM('общ.сводрайон без курсовой '!G26/1000)</f>
        <v>#REF!</v>
      </c>
      <c r="I23" s="10" t="e">
        <f>SUM(C23+D23-E23-F23)</f>
        <v>#REF!</v>
      </c>
    </row>
    <row r="24" spans="1:9" ht="25.5">
      <c r="A24" s="131">
        <f t="shared" si="3"/>
        <v>15</v>
      </c>
      <c r="B24" s="841" t="s">
        <v>56</v>
      </c>
      <c r="C24" s="68" t="e">
        <f>SUM(#REF!/1000)</f>
        <v>#REF!</v>
      </c>
      <c r="D24" s="68" t="e">
        <f>SUM(#REF!/1000)</f>
        <v>#REF!</v>
      </c>
      <c r="E24" s="68" t="e">
        <f>SUM(#REF!/1000)</f>
        <v>#REF!</v>
      </c>
      <c r="F24" s="68" t="e">
        <f>SUM(C24+D24-E24)</f>
        <v>#REF!</v>
      </c>
      <c r="G24" s="71" t="e">
        <f>SUM('общ.сводрайон без курсовой '!G27/1000)</f>
        <v>#REF!</v>
      </c>
      <c r="I24" s="10" t="e">
        <f>SUM(C24+D24-E24-F24)</f>
        <v>#REF!</v>
      </c>
    </row>
    <row r="25" spans="1:9" ht="25.5">
      <c r="A25" s="132">
        <f t="shared" si="3"/>
        <v>16</v>
      </c>
      <c r="B25" s="842" t="s">
        <v>140</v>
      </c>
      <c r="C25" s="68" t="e">
        <f>SUM(#REF!/1000)</f>
        <v>#REF!</v>
      </c>
      <c r="D25" s="68" t="e">
        <f>SUM(#REF!/1000)</f>
        <v>#REF!</v>
      </c>
      <c r="E25" s="68" t="e">
        <f>SUM(#REF!/1000)</f>
        <v>#REF!</v>
      </c>
      <c r="F25" s="68" t="e">
        <f>SUM(C25+D25-E25)</f>
        <v>#REF!</v>
      </c>
      <c r="G25" s="72" t="e">
        <f>SUM('общ.сводрайон без курсовой '!G28/1000)</f>
        <v>#REF!</v>
      </c>
      <c r="I25" s="10" t="e">
        <f>SUM(C25+D25-E25-F25)</f>
        <v>#REF!</v>
      </c>
    </row>
    <row r="26" spans="1:9" ht="27" customHeight="1">
      <c r="A26" s="1381" t="s">
        <v>268</v>
      </c>
      <c r="B26" s="1382"/>
      <c r="C26" s="786" t="e">
        <f>SUM(C23:C25)</f>
        <v>#REF!</v>
      </c>
      <c r="D26" s="786" t="e">
        <f>SUM(D23:D25)</f>
        <v>#REF!</v>
      </c>
      <c r="E26" s="786" t="e">
        <f>SUM(E23:E25)</f>
        <v>#REF!</v>
      </c>
      <c r="F26" s="786" t="e">
        <f>SUM(F23:F25)</f>
        <v>#REF!</v>
      </c>
      <c r="G26" s="787" t="e">
        <f>SUM(G23:G25)</f>
        <v>#REF!</v>
      </c>
      <c r="I26" s="10" t="e">
        <f>SUM(C26+D26-E26-F26)</f>
        <v>#REF!</v>
      </c>
    </row>
    <row r="27" spans="1:9" ht="21.75" customHeight="1">
      <c r="A27" s="1383" t="s">
        <v>72</v>
      </c>
      <c r="B27" s="1383"/>
      <c r="C27" s="1383"/>
      <c r="D27" s="1383"/>
      <c r="E27" s="1383"/>
      <c r="F27" s="1383"/>
      <c r="G27" s="15"/>
    </row>
    <row r="28" spans="1:9" ht="25.5">
      <c r="A28" s="130">
        <f>A25+1</f>
        <v>17</v>
      </c>
      <c r="B28" s="843" t="s">
        <v>31</v>
      </c>
      <c r="C28" s="70" t="e">
        <f>SUM(#REF!/1000)</f>
        <v>#REF!</v>
      </c>
      <c r="D28" s="70" t="e">
        <f>SUM(#REF!/1000)</f>
        <v>#REF!</v>
      </c>
      <c r="E28" s="70" t="e">
        <f>SUM(#REF!/1000)</f>
        <v>#REF!</v>
      </c>
      <c r="F28" s="68" t="e">
        <f t="shared" ref="F28:F34" si="4">SUM(C28+D28-E28)</f>
        <v>#REF!</v>
      </c>
      <c r="G28" s="70" t="e">
        <f>SUM('общ.сводрайон без курсовой '!G37/1000)</f>
        <v>#REF!</v>
      </c>
      <c r="I28" s="10" t="e">
        <f t="shared" ref="I28:I35" si="5">SUM(C28+D28-E28-F28)</f>
        <v>#REF!</v>
      </c>
    </row>
    <row r="29" spans="1:9" ht="25.5">
      <c r="A29" s="131">
        <f t="shared" ref="A29:A34" si="6">A28+1</f>
        <v>18</v>
      </c>
      <c r="B29" s="841" t="s">
        <v>36</v>
      </c>
      <c r="C29" s="70" t="e">
        <f>SUM(#REF!/1000)</f>
        <v>#REF!</v>
      </c>
      <c r="D29" s="70" t="e">
        <f>SUM(#REF!/1000)</f>
        <v>#REF!</v>
      </c>
      <c r="E29" s="70" t="e">
        <f>SUM(#REF!/1000)</f>
        <v>#REF!</v>
      </c>
      <c r="F29" s="68" t="e">
        <f t="shared" si="4"/>
        <v>#REF!</v>
      </c>
      <c r="G29" s="70" t="e">
        <f>SUM('общ.сводрайон без курсовой '!G38/1000)</f>
        <v>#REF!</v>
      </c>
      <c r="I29" s="10" t="e">
        <f t="shared" si="5"/>
        <v>#REF!</v>
      </c>
    </row>
    <row r="30" spans="1:9" ht="25.5">
      <c r="A30" s="131">
        <f t="shared" si="6"/>
        <v>19</v>
      </c>
      <c r="B30" s="841" t="s">
        <v>44</v>
      </c>
      <c r="C30" s="70" t="e">
        <f>SUM(#REF!/1000)</f>
        <v>#REF!</v>
      </c>
      <c r="D30" s="70" t="e">
        <f>SUM(#REF!/1000)</f>
        <v>#REF!</v>
      </c>
      <c r="E30" s="70" t="e">
        <f>SUM(#REF!/1000)</f>
        <v>#REF!</v>
      </c>
      <c r="F30" s="68" t="e">
        <f t="shared" si="4"/>
        <v>#REF!</v>
      </c>
      <c r="G30" s="70" t="e">
        <f>SUM('общ.сводрайон без курсовой '!G39/1000)</f>
        <v>#REF!</v>
      </c>
      <c r="I30" s="10" t="e">
        <f t="shared" si="5"/>
        <v>#REF!</v>
      </c>
    </row>
    <row r="31" spans="1:9" ht="25.5">
      <c r="A31" s="131">
        <f t="shared" si="6"/>
        <v>20</v>
      </c>
      <c r="B31" s="841" t="s">
        <v>28</v>
      </c>
      <c r="C31" s="70" t="e">
        <f>SUM(#REF!/1000)</f>
        <v>#REF!</v>
      </c>
      <c r="D31" s="70" t="e">
        <f>SUM(#REF!/1000)</f>
        <v>#REF!</v>
      </c>
      <c r="E31" s="70" t="e">
        <f>SUM(#REF!/1000)</f>
        <v>#REF!</v>
      </c>
      <c r="F31" s="68" t="e">
        <f t="shared" si="4"/>
        <v>#REF!</v>
      </c>
      <c r="G31" s="70" t="e">
        <f>SUM('общ.сводрайон без курсовой '!G40/1000)</f>
        <v>#REF!</v>
      </c>
      <c r="I31" s="10" t="e">
        <f t="shared" si="5"/>
        <v>#REF!</v>
      </c>
    </row>
    <row r="32" spans="1:9" ht="25.5">
      <c r="A32" s="131">
        <f t="shared" si="6"/>
        <v>21</v>
      </c>
      <c r="B32" s="841" t="s">
        <v>48</v>
      </c>
      <c r="C32" s="70" t="e">
        <f>SUM(#REF!/1000)</f>
        <v>#REF!</v>
      </c>
      <c r="D32" s="70" t="e">
        <f>SUM(#REF!/1000)</f>
        <v>#REF!</v>
      </c>
      <c r="E32" s="70" t="e">
        <f>SUM(#REF!/1000)</f>
        <v>#REF!</v>
      </c>
      <c r="F32" s="68" t="e">
        <f t="shared" si="4"/>
        <v>#REF!</v>
      </c>
      <c r="G32" s="70" t="e">
        <f>SUM('общ.сводрайон без курсовой '!G41/1000)</f>
        <v>#REF!</v>
      </c>
      <c r="I32" s="10" t="e">
        <f t="shared" si="5"/>
        <v>#REF!</v>
      </c>
    </row>
    <row r="33" spans="1:9" ht="25.5">
      <c r="A33" s="131">
        <f t="shared" si="6"/>
        <v>22</v>
      </c>
      <c r="B33" s="841" t="s">
        <v>142</v>
      </c>
      <c r="C33" s="70" t="e">
        <f>SUM(#REF!/1000)</f>
        <v>#REF!</v>
      </c>
      <c r="D33" s="70" t="e">
        <f>SUM(#REF!/1000)</f>
        <v>#REF!</v>
      </c>
      <c r="E33" s="70" t="e">
        <f>SUM(#REF!/1000)</f>
        <v>#REF!</v>
      </c>
      <c r="F33" s="68" t="e">
        <f t="shared" si="4"/>
        <v>#REF!</v>
      </c>
      <c r="G33" s="70" t="e">
        <f>SUM('общ.сводрайон без курсовой '!G42/1000)</f>
        <v>#REF!</v>
      </c>
      <c r="I33" s="10" t="e">
        <f t="shared" si="5"/>
        <v>#REF!</v>
      </c>
    </row>
    <row r="34" spans="1:9" ht="25.5">
      <c r="A34" s="132">
        <f t="shared" si="6"/>
        <v>23</v>
      </c>
      <c r="B34" s="842" t="s">
        <v>143</v>
      </c>
      <c r="C34" s="70" t="e">
        <f>SUM(#REF!/1000)</f>
        <v>#REF!</v>
      </c>
      <c r="D34" s="70" t="e">
        <f>SUM(#REF!/1000)</f>
        <v>#REF!</v>
      </c>
      <c r="E34" s="70" t="e">
        <f>SUM(#REF!/1000)</f>
        <v>#REF!</v>
      </c>
      <c r="F34" s="68" t="e">
        <f t="shared" si="4"/>
        <v>#REF!</v>
      </c>
      <c r="G34" s="70" t="e">
        <f>SUM('общ.сводрайон без курсовой '!G43/1000)</f>
        <v>#REF!</v>
      </c>
      <c r="I34" s="10" t="e">
        <f t="shared" si="5"/>
        <v>#REF!</v>
      </c>
    </row>
    <row r="35" spans="1:9" ht="21.75" customHeight="1">
      <c r="A35" s="1379" t="s">
        <v>271</v>
      </c>
      <c r="B35" s="1380"/>
      <c r="C35" s="785" t="e">
        <f>SUM(C28:C34)</f>
        <v>#REF!</v>
      </c>
      <c r="D35" s="785" t="e">
        <f>SUM(D28:D34)</f>
        <v>#REF!</v>
      </c>
      <c r="E35" s="785" t="e">
        <f>SUM(E28:E34)</f>
        <v>#REF!</v>
      </c>
      <c r="F35" s="785" t="e">
        <f>SUM(F28:F34)</f>
        <v>#REF!</v>
      </c>
      <c r="G35" s="785" t="e">
        <f>SUM(G28:G34)</f>
        <v>#REF!</v>
      </c>
      <c r="I35" s="10" t="e">
        <f t="shared" si="5"/>
        <v>#REF!</v>
      </c>
    </row>
    <row r="36" spans="1:9" ht="21.75" customHeight="1">
      <c r="A36" s="1345" t="s">
        <v>74</v>
      </c>
      <c r="B36" s="1345"/>
      <c r="C36" s="1345"/>
      <c r="D36" s="1345"/>
      <c r="E36" s="1345"/>
      <c r="F36" s="1345"/>
      <c r="G36" s="15"/>
    </row>
    <row r="37" spans="1:9" ht="25.5">
      <c r="A37" s="130">
        <f>A34+1</f>
        <v>24</v>
      </c>
      <c r="B37" s="840" t="s">
        <v>111</v>
      </c>
      <c r="C37" s="68" t="e">
        <f>SUM(#REF!/1000)</f>
        <v>#REF!</v>
      </c>
      <c r="D37" s="68" t="e">
        <f>SUM(#REF!/1000)</f>
        <v>#REF!</v>
      </c>
      <c r="E37" s="68" t="e">
        <f>SUM(#REF!/1000)</f>
        <v>#REF!</v>
      </c>
      <c r="F37" s="68" t="e">
        <f t="shared" ref="F37:F43" si="7">SUM(C37+D37-E37)</f>
        <v>#REF!</v>
      </c>
      <c r="G37" s="68" t="e">
        <f>SUM('общ.сводрайон без курсовой '!G64/1000)</f>
        <v>#REF!</v>
      </c>
      <c r="I37" s="10" t="e">
        <f t="shared" ref="I37:I44" si="8">SUM(C37+D37-E37-F37)</f>
        <v>#REF!</v>
      </c>
    </row>
    <row r="38" spans="1:9" ht="25.5">
      <c r="A38" s="131">
        <f t="shared" ref="A38:A43" si="9">A37+1</f>
        <v>25</v>
      </c>
      <c r="B38" s="841" t="s">
        <v>112</v>
      </c>
      <c r="C38" s="68" t="e">
        <f>SUM(#REF!/1000)</f>
        <v>#REF!</v>
      </c>
      <c r="D38" s="68" t="e">
        <f>SUM(#REF!/1000)</f>
        <v>#REF!</v>
      </c>
      <c r="E38" s="68" t="e">
        <f>SUM(#REF!/1000)</f>
        <v>#REF!</v>
      </c>
      <c r="F38" s="68" t="e">
        <f t="shared" si="7"/>
        <v>#REF!</v>
      </c>
      <c r="G38" s="70" t="e">
        <f>SUM('общ.сводрайон без курсовой '!G65/1000)</f>
        <v>#REF!</v>
      </c>
      <c r="I38" s="10" t="e">
        <f t="shared" si="8"/>
        <v>#REF!</v>
      </c>
    </row>
    <row r="39" spans="1:9" ht="25.5">
      <c r="A39" s="131">
        <f t="shared" si="9"/>
        <v>26</v>
      </c>
      <c r="B39" s="841" t="s">
        <v>242</v>
      </c>
      <c r="C39" s="68" t="e">
        <f>SUM(#REF!/1000)</f>
        <v>#REF!</v>
      </c>
      <c r="D39" s="68" t="e">
        <f>SUM(#REF!/1000)</f>
        <v>#REF!</v>
      </c>
      <c r="E39" s="68" t="e">
        <f>SUM(#REF!/1000)</f>
        <v>#REF!</v>
      </c>
      <c r="F39" s="68" t="e">
        <f t="shared" si="7"/>
        <v>#REF!</v>
      </c>
      <c r="G39" s="70" t="e">
        <f>SUM('общ.сводрайон без курсовой '!G66/1000)</f>
        <v>#REF!</v>
      </c>
      <c r="I39" s="10" t="e">
        <f t="shared" si="8"/>
        <v>#REF!</v>
      </c>
    </row>
    <row r="40" spans="1:9" ht="25.5">
      <c r="A40" s="131">
        <f t="shared" si="9"/>
        <v>27</v>
      </c>
      <c r="B40" s="841" t="s">
        <v>129</v>
      </c>
      <c r="C40" s="68" t="e">
        <f>SUM(#REF!/1000)</f>
        <v>#REF!</v>
      </c>
      <c r="D40" s="68" t="e">
        <f>SUM(#REF!/1000)</f>
        <v>#REF!</v>
      </c>
      <c r="E40" s="68" t="e">
        <f>SUM(#REF!/1000)</f>
        <v>#REF!</v>
      </c>
      <c r="F40" s="68" t="e">
        <f t="shared" si="7"/>
        <v>#REF!</v>
      </c>
      <c r="G40" s="70" t="e">
        <f>SUM('общ.сводрайон без курсовой '!G67/1000)</f>
        <v>#REF!</v>
      </c>
      <c r="I40" s="10" t="e">
        <f t="shared" si="8"/>
        <v>#REF!</v>
      </c>
    </row>
    <row r="41" spans="1:9" ht="25.5">
      <c r="A41" s="131">
        <f t="shared" si="9"/>
        <v>28</v>
      </c>
      <c r="B41" s="841" t="s">
        <v>145</v>
      </c>
      <c r="C41" s="68" t="e">
        <f>SUM(#REF!/1000)</f>
        <v>#REF!</v>
      </c>
      <c r="D41" s="68" t="e">
        <f>SUM(#REF!/1000)</f>
        <v>#REF!</v>
      </c>
      <c r="E41" s="68" t="e">
        <f>SUM(#REF!/1000)</f>
        <v>#REF!</v>
      </c>
      <c r="F41" s="68" t="e">
        <f t="shared" si="7"/>
        <v>#REF!</v>
      </c>
      <c r="G41" s="70" t="e">
        <f>SUM('общ.сводрайон без курсовой '!G68/1000)</f>
        <v>#REF!</v>
      </c>
      <c r="I41" s="10" t="e">
        <f t="shared" si="8"/>
        <v>#REF!</v>
      </c>
    </row>
    <row r="42" spans="1:9" ht="25.5">
      <c r="A42" s="131">
        <f t="shared" si="9"/>
        <v>29</v>
      </c>
      <c r="B42" s="841" t="s">
        <v>146</v>
      </c>
      <c r="C42" s="68" t="e">
        <f>SUM(#REF!/1000)</f>
        <v>#REF!</v>
      </c>
      <c r="D42" s="68" t="e">
        <f>SUM(#REF!/1000)</f>
        <v>#REF!</v>
      </c>
      <c r="E42" s="68" t="e">
        <f>SUM(#REF!/1000)</f>
        <v>#REF!</v>
      </c>
      <c r="F42" s="68" t="e">
        <f t="shared" si="7"/>
        <v>#REF!</v>
      </c>
      <c r="G42" s="70" t="e">
        <f>SUM('общ.сводрайон без курсовой '!G69/1000)</f>
        <v>#REF!</v>
      </c>
      <c r="I42" s="10" t="e">
        <f t="shared" si="8"/>
        <v>#REF!</v>
      </c>
    </row>
    <row r="43" spans="1:9" ht="25.5">
      <c r="A43" s="132">
        <f t="shared" si="9"/>
        <v>30</v>
      </c>
      <c r="B43" s="842" t="s">
        <v>147</v>
      </c>
      <c r="C43" s="68" t="e">
        <f>SUM(#REF!/1000)</f>
        <v>#REF!</v>
      </c>
      <c r="D43" s="68" t="e">
        <f>SUM(#REF!/1000)</f>
        <v>#REF!</v>
      </c>
      <c r="E43" s="68" t="e">
        <f>SUM(#REF!/1000)</f>
        <v>#REF!</v>
      </c>
      <c r="F43" s="68" t="e">
        <f t="shared" si="7"/>
        <v>#REF!</v>
      </c>
      <c r="G43" s="70" t="e">
        <f>SUM('общ.сводрайон без курсовой '!G70/1000)</f>
        <v>#REF!</v>
      </c>
      <c r="I43" s="10" t="e">
        <f t="shared" si="8"/>
        <v>#REF!</v>
      </c>
    </row>
    <row r="44" spans="1:9" ht="21.75" customHeight="1">
      <c r="A44" s="1376" t="s">
        <v>73</v>
      </c>
      <c r="B44" s="1377"/>
      <c r="C44" s="785" t="e">
        <f>SUM(C37:C43)</f>
        <v>#REF!</v>
      </c>
      <c r="D44" s="785" t="e">
        <f>SUM(D37:D43)</f>
        <v>#REF!</v>
      </c>
      <c r="E44" s="785" t="e">
        <f>SUM(E37:E43)</f>
        <v>#REF!</v>
      </c>
      <c r="F44" s="785" t="e">
        <f>SUM(F37:F43)</f>
        <v>#REF!</v>
      </c>
      <c r="G44" s="785" t="e">
        <f>SUM(G37:G43)</f>
        <v>#REF!</v>
      </c>
      <c r="I44" s="10" t="e">
        <f t="shared" si="8"/>
        <v>#REF!</v>
      </c>
    </row>
    <row r="45" spans="1:9" ht="25.5">
      <c r="A45" s="65"/>
      <c r="B45" s="819"/>
      <c r="C45" s="61"/>
      <c r="D45" s="133"/>
      <c r="E45" s="133"/>
      <c r="F45" s="133"/>
      <c r="G45" s="15"/>
    </row>
    <row r="46" spans="1:9" ht="25.5">
      <c r="A46" s="1385" t="s">
        <v>249</v>
      </c>
      <c r="B46" s="1386"/>
      <c r="C46" s="785" t="e">
        <f>SUM(C44+C35+C26+C21+C14)</f>
        <v>#REF!</v>
      </c>
      <c r="D46" s="785" t="e">
        <f>SUM(D44+D35+D26+D21+D14)</f>
        <v>#REF!</v>
      </c>
      <c r="E46" s="785" t="e">
        <f>SUM(E44+E35+E26+E21+E14)</f>
        <v>#REF!</v>
      </c>
      <c r="F46" s="785" t="e">
        <f>SUM(F44+F35+F26+F21+F14)</f>
        <v>#REF!</v>
      </c>
      <c r="G46" s="785" t="e">
        <f>SUM(G44+G35+G26+G21+G14)</f>
        <v>#REF!</v>
      </c>
      <c r="I46" s="10" t="e">
        <f>SUM(C46+D46-E46-F46)</f>
        <v>#REF!</v>
      </c>
    </row>
    <row r="47" spans="1:9" ht="25.5">
      <c r="A47" s="75"/>
      <c r="B47" s="844"/>
      <c r="C47" s="75"/>
      <c r="D47" s="75"/>
      <c r="E47" s="75"/>
    </row>
    <row r="48" spans="1:9" ht="51.75" customHeight="1">
      <c r="A48" s="75"/>
      <c r="B48" s="1384" t="s">
        <v>149</v>
      </c>
      <c r="C48" s="1384"/>
      <c r="D48" s="1384"/>
      <c r="E48" s="1384"/>
      <c r="F48" s="10"/>
    </row>
    <row r="49" spans="1:5" ht="23.25">
      <c r="A49" s="67"/>
      <c r="C49" s="10"/>
      <c r="D49" s="10"/>
      <c r="E49" s="10"/>
    </row>
  </sheetData>
  <mergeCells count="21">
    <mergeCell ref="A26:B26"/>
    <mergeCell ref="A27:F27"/>
    <mergeCell ref="B48:E48"/>
    <mergeCell ref="A35:B35"/>
    <mergeCell ref="A36:F36"/>
    <mergeCell ref="A44:B44"/>
    <mergeCell ref="A46:B46"/>
    <mergeCell ref="G3:G4"/>
    <mergeCell ref="A5:F5"/>
    <mergeCell ref="A14:B14"/>
    <mergeCell ref="A15:F15"/>
    <mergeCell ref="A21:B21"/>
    <mergeCell ref="A22:F22"/>
    <mergeCell ref="A1:F1"/>
    <mergeCell ref="A2:F2"/>
    <mergeCell ref="A3:A4"/>
    <mergeCell ref="B3:B4"/>
    <mergeCell ref="C3:C4"/>
    <mergeCell ref="D3:D4"/>
    <mergeCell ref="E3:E4"/>
    <mergeCell ref="F3:F4"/>
  </mergeCells>
  <phoneticPr fontId="1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0"/>
  </sheetPr>
  <dimension ref="A1:AL82"/>
  <sheetViews>
    <sheetView tabSelected="1" view="pageBreakPreview" zoomScale="70" zoomScaleNormal="85" zoomScaleSheetLayoutView="70" workbookViewId="0">
      <pane xSplit="2" ySplit="4" topLeftCell="AA5" activePane="bottomRight" state="frozen"/>
      <selection pane="topRight" activeCell="C1" sqref="C1"/>
      <selection pane="bottomLeft" activeCell="A7" sqref="A7"/>
      <selection pane="bottomRight" activeCell="AS67" sqref="AS67"/>
    </sheetView>
  </sheetViews>
  <sheetFormatPr defaultRowHeight="22.5"/>
  <cols>
    <col min="1" max="1" width="5.28515625" customWidth="1"/>
    <col min="2" max="2" width="46.140625" style="946" customWidth="1"/>
    <col min="3" max="7" width="9" style="946" hidden="1" customWidth="1"/>
    <col min="8" max="12" width="10.42578125" style="946" hidden="1" customWidth="1"/>
    <col min="13" max="18" width="11.5703125" style="946" hidden="1" customWidth="1"/>
    <col min="19" max="21" width="13.85546875" style="946" hidden="1" customWidth="1"/>
    <col min="22" max="25" width="13.85546875" hidden="1" customWidth="1"/>
    <col min="26" max="26" width="2.28515625" hidden="1" customWidth="1"/>
    <col min="27" max="32" width="20.28515625" customWidth="1"/>
    <col min="33" max="33" width="22.85546875" bestFit="1" customWidth="1"/>
    <col min="34" max="35" width="16.28515625" customWidth="1"/>
    <col min="36" max="36" width="17.85546875" style="1081" bestFit="1" customWidth="1"/>
    <col min="37" max="38" width="13.7109375" customWidth="1"/>
  </cols>
  <sheetData>
    <row r="1" spans="1:38" ht="57.75" customHeight="1">
      <c r="A1" s="1054"/>
      <c r="B1" s="1393" t="s">
        <v>508</v>
      </c>
      <c r="C1" s="1393"/>
      <c r="D1" s="1393"/>
      <c r="E1" s="1393"/>
      <c r="F1" s="1393"/>
      <c r="G1" s="1393"/>
      <c r="H1" s="1393"/>
      <c r="I1" s="1393"/>
      <c r="J1" s="1393"/>
      <c r="K1" s="1393"/>
      <c r="L1" s="1393"/>
      <c r="M1" s="1393"/>
      <c r="N1" s="1393"/>
      <c r="O1" s="1393"/>
      <c r="P1" s="1393"/>
      <c r="Q1" s="1393"/>
      <c r="R1" s="1393"/>
      <c r="S1" s="1393"/>
      <c r="T1" s="1393"/>
      <c r="U1" s="1393"/>
      <c r="V1" s="1393"/>
      <c r="W1" s="1393"/>
      <c r="X1" s="1393"/>
      <c r="Y1" s="1393"/>
      <c r="Z1" s="1393"/>
      <c r="AA1" s="1393"/>
      <c r="AB1" s="1393"/>
      <c r="AC1" s="1393"/>
      <c r="AD1" s="1393"/>
      <c r="AE1" s="1393"/>
      <c r="AF1" s="1393"/>
      <c r="AG1" s="1393"/>
      <c r="AH1" s="1393"/>
      <c r="AI1" s="1393"/>
    </row>
    <row r="2" spans="1:38" ht="24" customHeight="1">
      <c r="A2" s="1054"/>
      <c r="B2" s="941"/>
      <c r="C2" s="1086"/>
      <c r="D2" s="1086"/>
      <c r="E2" s="1086"/>
      <c r="F2" s="1086"/>
      <c r="G2" s="1086"/>
      <c r="H2" s="1086"/>
      <c r="I2" s="1086"/>
      <c r="J2" s="1086"/>
      <c r="K2" s="1086"/>
      <c r="L2" s="1086"/>
      <c r="M2" s="1086"/>
      <c r="N2" s="1086"/>
      <c r="O2" s="1086"/>
      <c r="P2" s="1086"/>
      <c r="Q2" s="941"/>
      <c r="R2" s="941"/>
      <c r="S2" s="941"/>
      <c r="T2" s="941"/>
      <c r="U2" s="941"/>
      <c r="V2" s="1084"/>
      <c r="W2" s="1084"/>
      <c r="X2" s="1084"/>
      <c r="Y2" s="1084"/>
      <c r="Z2" s="1084"/>
      <c r="AA2" s="1085"/>
      <c r="AB2" s="1085"/>
      <c r="AC2" s="1085"/>
      <c r="AD2" s="1085"/>
      <c r="AE2" s="1085"/>
      <c r="AF2" s="1085"/>
      <c r="AG2" s="1054"/>
      <c r="AH2" s="1396" t="s">
        <v>104</v>
      </c>
      <c r="AI2" s="1396"/>
    </row>
    <row r="3" spans="1:38" ht="29.25" customHeight="1">
      <c r="A3" s="1394" t="s">
        <v>105</v>
      </c>
      <c r="B3" s="1394" t="s">
        <v>106</v>
      </c>
      <c r="C3" s="1389">
        <v>1991</v>
      </c>
      <c r="D3" s="1389">
        <v>1992</v>
      </c>
      <c r="E3" s="1389">
        <v>1993</v>
      </c>
      <c r="F3" s="1389">
        <v>1994</v>
      </c>
      <c r="G3" s="1389">
        <v>1995</v>
      </c>
      <c r="H3" s="1389">
        <v>1996</v>
      </c>
      <c r="I3" s="1389">
        <v>1997</v>
      </c>
      <c r="J3" s="1389">
        <v>1998</v>
      </c>
      <c r="K3" s="1389">
        <v>1999</v>
      </c>
      <c r="L3" s="1389">
        <v>2000</v>
      </c>
      <c r="M3" s="1389">
        <v>2001</v>
      </c>
      <c r="N3" s="1389">
        <v>2002</v>
      </c>
      <c r="O3" s="1389">
        <v>2003</v>
      </c>
      <c r="P3" s="1389">
        <v>2004</v>
      </c>
      <c r="Q3" s="1389">
        <v>2005</v>
      </c>
      <c r="R3" s="1389">
        <v>2006</v>
      </c>
      <c r="S3" s="1389">
        <v>2007</v>
      </c>
      <c r="T3" s="1389">
        <v>2008</v>
      </c>
      <c r="U3" s="1389">
        <v>2009</v>
      </c>
      <c r="V3" s="1389">
        <v>2010</v>
      </c>
      <c r="W3" s="1389">
        <v>2011</v>
      </c>
      <c r="X3" s="1389">
        <v>2012</v>
      </c>
      <c r="Y3" s="1389">
        <v>2013</v>
      </c>
      <c r="Z3" s="1389">
        <v>2014</v>
      </c>
      <c r="AA3" s="1389">
        <v>2015</v>
      </c>
      <c r="AB3" s="1389">
        <v>2016</v>
      </c>
      <c r="AC3" s="1389">
        <v>2017</v>
      </c>
      <c r="AD3" s="1389">
        <v>2018</v>
      </c>
      <c r="AE3" s="1389">
        <v>2019</v>
      </c>
      <c r="AF3" s="1389">
        <v>2020</v>
      </c>
      <c r="AG3" s="1389">
        <v>2021</v>
      </c>
      <c r="AH3" s="1395" t="s">
        <v>495</v>
      </c>
      <c r="AI3" s="1395"/>
    </row>
    <row r="4" spans="1:38" ht="29.25" customHeight="1">
      <c r="A4" s="1394"/>
      <c r="B4" s="1394"/>
      <c r="C4" s="1389"/>
      <c r="D4" s="1389"/>
      <c r="E4" s="1389"/>
      <c r="F4" s="1389"/>
      <c r="G4" s="1389"/>
      <c r="H4" s="1389"/>
      <c r="I4" s="1389"/>
      <c r="J4" s="1389"/>
      <c r="K4" s="1389"/>
      <c r="L4" s="1389"/>
      <c r="M4" s="1389"/>
      <c r="N4" s="1389"/>
      <c r="O4" s="1389"/>
      <c r="P4" s="1389"/>
      <c r="Q4" s="1389"/>
      <c r="R4" s="1389"/>
      <c r="S4" s="1389"/>
      <c r="T4" s="1389"/>
      <c r="U4" s="1389"/>
      <c r="V4" s="1389"/>
      <c r="W4" s="1389"/>
      <c r="X4" s="1389"/>
      <c r="Y4" s="1389"/>
      <c r="Z4" s="1389"/>
      <c r="AA4" s="1389"/>
      <c r="AB4" s="1389"/>
      <c r="AC4" s="1389"/>
      <c r="AD4" s="1389"/>
      <c r="AE4" s="1389"/>
      <c r="AF4" s="1389"/>
      <c r="AG4" s="1389"/>
      <c r="AH4" s="1095" t="s">
        <v>496</v>
      </c>
      <c r="AI4" s="1095" t="s">
        <v>497</v>
      </c>
      <c r="AJ4" s="1081">
        <v>1000</v>
      </c>
    </row>
    <row r="5" spans="1:38" ht="24" customHeight="1">
      <c r="A5" s="1392" t="s">
        <v>474</v>
      </c>
      <c r="B5" s="1392"/>
      <c r="C5" s="1094">
        <v>1519</v>
      </c>
      <c r="D5" s="1094">
        <v>2128</v>
      </c>
      <c r="E5" s="1094">
        <v>2271.5</v>
      </c>
      <c r="F5" s="1094">
        <v>2912</v>
      </c>
      <c r="G5" s="1094">
        <v>4459</v>
      </c>
      <c r="H5" s="1094">
        <v>14114.099999999999</v>
      </c>
      <c r="I5" s="1094">
        <v>24988.25</v>
      </c>
      <c r="J5" s="1094">
        <v>34554.800000000003</v>
      </c>
      <c r="K5" s="1094">
        <v>49382.899999999994</v>
      </c>
      <c r="L5" s="1094">
        <v>67766.835479999994</v>
      </c>
      <c r="M5" s="1094">
        <v>110180.597408</v>
      </c>
      <c r="N5" s="1094">
        <v>142167.55624999999</v>
      </c>
      <c r="O5" s="1094">
        <v>254747.42838</v>
      </c>
      <c r="P5" s="1094">
        <v>220170.61799999999</v>
      </c>
      <c r="Q5" s="1094">
        <v>295917.00000000006</v>
      </c>
      <c r="R5" s="1094">
        <v>528574.5639999999</v>
      </c>
      <c r="S5" s="1094">
        <v>1026482.2600000001</v>
      </c>
      <c r="T5" s="1094">
        <v>1663096.8689999997</v>
      </c>
      <c r="U5" s="1094">
        <v>1626809.9830000005</v>
      </c>
      <c r="V5" s="1094">
        <v>1793084.8049999999</v>
      </c>
      <c r="W5" s="1094">
        <v>2402513.4029999999</v>
      </c>
      <c r="X5" s="1094">
        <v>3138167.3440000005</v>
      </c>
      <c r="Y5" s="1094">
        <v>4707526.1140000001</v>
      </c>
      <c r="Z5" s="1094">
        <v>6189866.443</v>
      </c>
      <c r="AA5" s="1094">
        <v>5366416.2390000001</v>
      </c>
      <c r="AB5" s="1094">
        <v>3626482.0419999994</v>
      </c>
      <c r="AC5" s="1094">
        <v>3717772.9101400003</v>
      </c>
      <c r="AD5" s="1094">
        <v>4812474.6689999998</v>
      </c>
      <c r="AE5" s="1094">
        <v>6003978.8844300006</v>
      </c>
      <c r="AF5" s="1094">
        <v>6251565.3200000003</v>
      </c>
      <c r="AG5" s="1094">
        <f>+AG75+AG12+AG21+AG66+AG40+AG6</f>
        <v>9262785.0160000008</v>
      </c>
      <c r="AH5" s="1094">
        <f>+AG5-AF5</f>
        <v>3011219.6960000005</v>
      </c>
      <c r="AI5" s="1094">
        <f>+AG5/AF5*100-100</f>
        <v>48.167451539960865</v>
      </c>
      <c r="AK5" s="10"/>
      <c r="AL5" s="10"/>
    </row>
    <row r="6" spans="1:38" ht="24" customHeight="1">
      <c r="A6" s="1390" t="s">
        <v>26</v>
      </c>
      <c r="B6" s="1391"/>
      <c r="C6" s="1065">
        <v>518.87690857565406</v>
      </c>
      <c r="D6" s="1065">
        <v>726.90589957142322</v>
      </c>
      <c r="E6" s="1065">
        <v>775.92422503594355</v>
      </c>
      <c r="F6" s="1065">
        <v>994.71333625563182</v>
      </c>
      <c r="G6" s="1065">
        <v>1523.154796141436</v>
      </c>
      <c r="H6" s="1065">
        <v>4821.2512016640148</v>
      </c>
      <c r="I6" s="1065">
        <v>8535.7642598522634</v>
      </c>
      <c r="J6" s="1065">
        <v>11803.612771856493</v>
      </c>
      <c r="K6" s="1065">
        <v>16868.760031929341</v>
      </c>
      <c r="L6" s="1065">
        <v>23148.549109820506</v>
      </c>
      <c r="M6" s="1065">
        <v>37636.713474708209</v>
      </c>
      <c r="N6" s="1065">
        <v>48563.174513993028</v>
      </c>
      <c r="O6" s="1065">
        <v>87019.45892390536</v>
      </c>
      <c r="P6" s="1065">
        <v>75208.327601732221</v>
      </c>
      <c r="Q6" s="1065">
        <v>81288.3</v>
      </c>
      <c r="R6" s="1065">
        <v>133866.14199999999</v>
      </c>
      <c r="S6" s="1065">
        <v>194213.96900000001</v>
      </c>
      <c r="T6" s="1065">
        <v>319773.49599999998</v>
      </c>
      <c r="U6" s="1065">
        <v>345614.06300000002</v>
      </c>
      <c r="V6" s="1089">
        <v>415625.016</v>
      </c>
      <c r="W6" s="1090">
        <v>552742.13500000001</v>
      </c>
      <c r="X6" s="1091">
        <v>674360.05500000005</v>
      </c>
      <c r="Y6" s="1092">
        <v>1064770.0190000001</v>
      </c>
      <c r="Z6" s="1065">
        <v>1388685.5049999999</v>
      </c>
      <c r="AA6" s="1093">
        <v>1162683.6189999999</v>
      </c>
      <c r="AB6" s="1065">
        <v>729257.28799999994</v>
      </c>
      <c r="AC6" s="1065">
        <v>701955.47600000002</v>
      </c>
      <c r="AD6" s="1065">
        <v>1017645.334</v>
      </c>
      <c r="AE6" s="1065">
        <v>1230961.8219999999</v>
      </c>
      <c r="AF6" s="1065">
        <v>1446854.098</v>
      </c>
      <c r="AG6" s="1065">
        <v>2135156.9679999999</v>
      </c>
      <c r="AH6" s="1065">
        <f>+AG6-AF6</f>
        <v>688302.86999999988</v>
      </c>
      <c r="AI6" s="1065">
        <f>+AG6/AF6*100-100</f>
        <v>47.572375884441101</v>
      </c>
      <c r="AK6" s="10"/>
      <c r="AL6" s="10"/>
    </row>
    <row r="7" spans="1:38" ht="24" customHeight="1">
      <c r="A7" s="1058">
        <v>1</v>
      </c>
      <c r="B7" s="943" t="s">
        <v>51</v>
      </c>
      <c r="C7" s="1059">
        <v>1.1981183582957571</v>
      </c>
      <c r="D7" s="1059">
        <v>1.6784699581654849</v>
      </c>
      <c r="E7" s="1059">
        <v>1.7916562546865127</v>
      </c>
      <c r="F7" s="1059">
        <v>2.2968536269632951</v>
      </c>
      <c r="G7" s="1059">
        <v>3.5170571162875452</v>
      </c>
      <c r="H7" s="1059">
        <v>11.13256242318772</v>
      </c>
      <c r="I7" s="1059">
        <v>19.70959912224092</v>
      </c>
      <c r="J7" s="1059">
        <v>27.255260202263486</v>
      </c>
      <c r="K7" s="1059">
        <v>38.95099346667778</v>
      </c>
      <c r="L7" s="1059">
        <v>53.451408605790832</v>
      </c>
      <c r="M7" s="1059">
        <v>86.905461805476449</v>
      </c>
      <c r="N7" s="1059">
        <v>112.13532527792606</v>
      </c>
      <c r="O7" s="1059">
        <v>200.9332262479997</v>
      </c>
      <c r="P7" s="1059">
        <v>173.66060525551168</v>
      </c>
      <c r="Q7" s="1059">
        <v>556.70000000000005</v>
      </c>
      <c r="R7" s="1059">
        <v>1513.1857659999998</v>
      </c>
      <c r="S7" s="1059">
        <v>4895.5020000000004</v>
      </c>
      <c r="T7" s="1059">
        <v>8159.9847803619987</v>
      </c>
      <c r="U7" s="1059">
        <v>7175.1279000000004</v>
      </c>
      <c r="V7" s="1059">
        <v>6502.6369999999997</v>
      </c>
      <c r="W7" s="1059">
        <v>5852.1289999999999</v>
      </c>
      <c r="X7" s="1059">
        <v>5957.0724899999996</v>
      </c>
      <c r="Y7" s="1059">
        <v>8656.9369999999999</v>
      </c>
      <c r="Z7" s="1059">
        <v>11866.49</v>
      </c>
      <c r="AA7" s="1059">
        <v>6246.232</v>
      </c>
      <c r="AB7" s="1061">
        <v>2792.8290000000002</v>
      </c>
      <c r="AC7" s="1069">
        <v>3154.6575599999996</v>
      </c>
      <c r="AD7" s="1069">
        <v>3049.6729999999998</v>
      </c>
      <c r="AE7" s="1069">
        <v>5414.3144300000004</v>
      </c>
      <c r="AF7" s="1069">
        <v>8404.4549999999999</v>
      </c>
      <c r="AG7" s="1059">
        <v>9972.134</v>
      </c>
      <c r="AH7" s="1059">
        <f>+AG7-AF7</f>
        <v>1567.6790000000001</v>
      </c>
      <c r="AI7" s="1059">
        <f>+AG7/AF7*100-100</f>
        <v>18.652952511495386</v>
      </c>
      <c r="AK7" s="10"/>
      <c r="AL7" s="10"/>
    </row>
    <row r="8" spans="1:38" ht="24" customHeight="1">
      <c r="A8" s="1060">
        <v>2</v>
      </c>
      <c r="B8" s="943" t="s">
        <v>52</v>
      </c>
      <c r="C8" s="1061">
        <v>6.3097497472147142</v>
      </c>
      <c r="D8" s="1061">
        <v>8.8394650836556377</v>
      </c>
      <c r="E8" s="1061">
        <v>9.4355474330468887</v>
      </c>
      <c r="F8" s="1061">
        <v>12.096110114476135</v>
      </c>
      <c r="G8" s="1061">
        <v>18.522168612791582</v>
      </c>
      <c r="H8" s="1061">
        <v>58.628333711101519</v>
      </c>
      <c r="I8" s="1061">
        <v>103.79829106045958</v>
      </c>
      <c r="J8" s="1061">
        <v>143.53662973341343</v>
      </c>
      <c r="K8" s="1061">
        <v>205.13083659758362</v>
      </c>
      <c r="L8" s="1061">
        <v>281.49557145455634</v>
      </c>
      <c r="M8" s="1061">
        <v>457.67741714489415</v>
      </c>
      <c r="N8" s="1061">
        <v>590.54753266002047</v>
      </c>
      <c r="O8" s="1061">
        <v>1058.191258607178</v>
      </c>
      <c r="P8" s="1061">
        <v>914.56320030915549</v>
      </c>
      <c r="Q8" s="1061">
        <v>4045.2425790958591</v>
      </c>
      <c r="R8" s="1061">
        <v>6661.6312339999995</v>
      </c>
      <c r="S8" s="1061">
        <v>13330.29</v>
      </c>
      <c r="T8" s="1061">
        <v>20822.763219638</v>
      </c>
      <c r="U8" s="1061">
        <v>22344.733670000005</v>
      </c>
      <c r="V8" s="1061">
        <v>19647.215060000002</v>
      </c>
      <c r="W8" s="1061">
        <v>17641.53</v>
      </c>
      <c r="X8" s="1061">
        <v>19948.615510000007</v>
      </c>
      <c r="Y8" s="1061">
        <v>28206.944</v>
      </c>
      <c r="Z8" s="1061">
        <v>29809.291000000001</v>
      </c>
      <c r="AA8" s="1061">
        <v>26412.737000000001</v>
      </c>
      <c r="AB8" s="1061">
        <v>11071.269</v>
      </c>
      <c r="AC8" s="1061">
        <v>6710.5094399999998</v>
      </c>
      <c r="AD8" s="1061">
        <v>8566.8168409530008</v>
      </c>
      <c r="AE8" s="1061">
        <v>9998.1180000000004</v>
      </c>
      <c r="AF8" s="1061">
        <v>12756.996999999999</v>
      </c>
      <c r="AG8" s="1061">
        <v>17040.489000000001</v>
      </c>
      <c r="AH8" s="1061">
        <f t="shared" ref="AH8:AH11" si="0">+AG8-AF8</f>
        <v>4283.492000000002</v>
      </c>
      <c r="AI8" s="1061">
        <f t="shared" ref="AI8:AI11" si="1">+AG8/AF8*100-100</f>
        <v>33.577588832230674</v>
      </c>
      <c r="AK8" s="10"/>
      <c r="AL8" s="10"/>
    </row>
    <row r="9" spans="1:38" ht="24" customHeight="1">
      <c r="A9" s="1060">
        <v>3</v>
      </c>
      <c r="B9" s="943" t="s">
        <v>480</v>
      </c>
      <c r="C9" s="1061">
        <v>1.0038777555213989</v>
      </c>
      <c r="D9" s="1061">
        <v>1.4063540906843561</v>
      </c>
      <c r="E9" s="1061">
        <v>1.5011904685101105</v>
      </c>
      <c r="F9" s="1061">
        <v>1.9244845451470134</v>
      </c>
      <c r="G9" s="1061">
        <v>2.9468669597563641</v>
      </c>
      <c r="H9" s="1061">
        <v>9.3277360297594303</v>
      </c>
      <c r="I9" s="1061">
        <v>16.514251694804212</v>
      </c>
      <c r="J9" s="1061">
        <v>22.836599780441627</v>
      </c>
      <c r="K9" s="1061">
        <v>32.636204616943836</v>
      </c>
      <c r="L9" s="1061">
        <v>44.785792429526197</v>
      </c>
      <c r="M9" s="1061">
        <v>72.816228326497622</v>
      </c>
      <c r="N9" s="1061">
        <v>93.955791491910588</v>
      </c>
      <c r="O9" s="1061">
        <v>168.35765413229933</v>
      </c>
      <c r="P9" s="1061">
        <v>145.50650811691852</v>
      </c>
      <c r="Q9" s="1061">
        <v>359.25742090414076</v>
      </c>
      <c r="R9" s="1061">
        <v>1267.866</v>
      </c>
      <c r="S9" s="1061">
        <v>2428.944</v>
      </c>
      <c r="T9" s="1061">
        <v>4313.6670000000004</v>
      </c>
      <c r="U9" s="1061">
        <v>5652.96504</v>
      </c>
      <c r="V9" s="1061">
        <v>4632.3464400000003</v>
      </c>
      <c r="W9" s="1061">
        <v>4985.3209999999999</v>
      </c>
      <c r="X9" s="1061">
        <v>3330.6419999999998</v>
      </c>
      <c r="Y9" s="1061">
        <v>4801.1080000000002</v>
      </c>
      <c r="Z9" s="1061">
        <v>5674.0690000000004</v>
      </c>
      <c r="AA9" s="1061">
        <v>5350.35</v>
      </c>
      <c r="AB9" s="1061">
        <v>2461.348</v>
      </c>
      <c r="AC9" s="1061">
        <v>1602.924</v>
      </c>
      <c r="AD9" s="1061">
        <v>600.678</v>
      </c>
      <c r="AE9" s="1061">
        <v>1844.8430000000001</v>
      </c>
      <c r="AF9" s="1061">
        <v>2848.9319999999998</v>
      </c>
      <c r="AG9" s="1061">
        <v>3073.576</v>
      </c>
      <c r="AH9" s="1061">
        <f t="shared" si="0"/>
        <v>224.64400000000023</v>
      </c>
      <c r="AI9" s="1061">
        <f t="shared" si="1"/>
        <v>7.8852004891657685</v>
      </c>
      <c r="AK9" s="10"/>
      <c r="AL9" s="10"/>
    </row>
    <row r="10" spans="1:38" ht="24" customHeight="1">
      <c r="A10" s="1060">
        <v>4</v>
      </c>
      <c r="B10" s="943" t="s">
        <v>54</v>
      </c>
      <c r="C10" s="1061">
        <v>2.0797478044263475</v>
      </c>
      <c r="D10" s="1061">
        <v>2.9135637444498141</v>
      </c>
      <c r="E10" s="1061">
        <v>3.1100376153748841</v>
      </c>
      <c r="F10" s="1061">
        <v>3.9869819660892194</v>
      </c>
      <c r="G10" s="1061">
        <v>6.1050661355741163</v>
      </c>
      <c r="H10" s="1061">
        <v>19.324403216888683</v>
      </c>
      <c r="I10" s="1061">
        <v>34.212809791939883</v>
      </c>
      <c r="J10" s="1061">
        <v>47.310908118756785</v>
      </c>
      <c r="K10" s="1061">
        <v>67.612888644638488</v>
      </c>
      <c r="L10" s="1061">
        <v>92.783362279428232</v>
      </c>
      <c r="M10" s="1061">
        <v>150.85441445007987</v>
      </c>
      <c r="N10" s="1061">
        <v>194.64954771007029</v>
      </c>
      <c r="O10" s="1061">
        <v>348.78894328937673</v>
      </c>
      <c r="P10" s="1061">
        <v>301.44789952909281</v>
      </c>
      <c r="Q10" s="1061">
        <v>1400.8574209041408</v>
      </c>
      <c r="R10" s="1061">
        <v>2608.433</v>
      </c>
      <c r="S10" s="1061">
        <v>5530.8119999999999</v>
      </c>
      <c r="T10" s="1061">
        <v>7965.4709999999995</v>
      </c>
      <c r="U10" s="1061">
        <v>9036.6229999999996</v>
      </c>
      <c r="V10" s="1061">
        <v>7823.5604999999996</v>
      </c>
      <c r="W10" s="1061">
        <v>7763.3050000000003</v>
      </c>
      <c r="X10" s="1061">
        <v>9209.116</v>
      </c>
      <c r="Y10" s="1061">
        <v>14964.33</v>
      </c>
      <c r="Z10" s="1061">
        <v>16485.268</v>
      </c>
      <c r="AA10" s="1061">
        <v>7914.1679999999997</v>
      </c>
      <c r="AB10" s="1061">
        <v>3733.5189999999998</v>
      </c>
      <c r="AC10" s="1061">
        <v>2698.6660000000002</v>
      </c>
      <c r="AD10" s="1061">
        <v>2490.9949999999999</v>
      </c>
      <c r="AE10" s="1061">
        <v>4382.3649999999998</v>
      </c>
      <c r="AF10" s="1061">
        <v>5948.1850000000004</v>
      </c>
      <c r="AG10" s="1061">
        <v>13157.254999999999</v>
      </c>
      <c r="AH10" s="1061">
        <f t="shared" si="0"/>
        <v>7209.0699999999988</v>
      </c>
      <c r="AI10" s="1061" t="s">
        <v>507</v>
      </c>
      <c r="AJ10" s="1081">
        <f>+AG10/AF10</f>
        <v>2.2119781076076146</v>
      </c>
      <c r="AK10" s="10"/>
      <c r="AL10" s="10"/>
    </row>
    <row r="11" spans="1:38" ht="24" customHeight="1">
      <c r="A11" s="1062">
        <v>5</v>
      </c>
      <c r="B11" s="943" t="s">
        <v>481</v>
      </c>
      <c r="C11" s="1061">
        <v>4.1960564885449196</v>
      </c>
      <c r="D11" s="1061">
        <v>5.8783464171320539</v>
      </c>
      <c r="E11" s="1061">
        <v>6.2747480669715507</v>
      </c>
      <c r="F11" s="1061">
        <v>8.0440529918649162</v>
      </c>
      <c r="G11" s="1061">
        <v>12.317456143793152</v>
      </c>
      <c r="H11" s="1061">
        <v>38.98851934494526</v>
      </c>
      <c r="I11" s="1061">
        <v>69.027062903148519</v>
      </c>
      <c r="J11" s="1061">
        <v>95.453517281350884</v>
      </c>
      <c r="K11" s="1061">
        <v>136.41437654257072</v>
      </c>
      <c r="L11" s="1061">
        <v>187.19780758657674</v>
      </c>
      <c r="M11" s="1061">
        <v>304.36077068176036</v>
      </c>
      <c r="N11" s="1061">
        <v>392.72093276062367</v>
      </c>
      <c r="O11" s="1061">
        <v>703.70941395262105</v>
      </c>
      <c r="P11" s="1061">
        <v>608.19509561938435</v>
      </c>
      <c r="Q11" s="1061">
        <v>2104.8425790958581</v>
      </c>
      <c r="R11" s="1061">
        <v>5193.8</v>
      </c>
      <c r="S11" s="1061">
        <v>11792.752</v>
      </c>
      <c r="T11" s="1061">
        <v>21795.188999999998</v>
      </c>
      <c r="U11" s="1061">
        <v>24001.677390000001</v>
      </c>
      <c r="V11" s="1061">
        <v>25950.803</v>
      </c>
      <c r="W11" s="1061">
        <v>15992.493</v>
      </c>
      <c r="X11" s="1061">
        <v>16266.788</v>
      </c>
      <c r="Y11" s="1061">
        <v>22955.823</v>
      </c>
      <c r="Z11" s="1061">
        <v>25190.419000000002</v>
      </c>
      <c r="AA11" s="1061">
        <v>11668.036</v>
      </c>
      <c r="AB11" s="1061">
        <v>6068.5940000000001</v>
      </c>
      <c r="AC11" s="1064">
        <v>5075.2790000000005</v>
      </c>
      <c r="AD11" s="1064">
        <v>6384.2671590470009</v>
      </c>
      <c r="AE11" s="1064">
        <v>8545.4150000000009</v>
      </c>
      <c r="AF11" s="1064">
        <v>8880.5849999999991</v>
      </c>
      <c r="AG11" s="1061">
        <v>14474.544</v>
      </c>
      <c r="AH11" s="1061">
        <f t="shared" si="0"/>
        <v>5593.9590000000007</v>
      </c>
      <c r="AI11" s="1061">
        <f t="shared" si="1"/>
        <v>62.990884046490208</v>
      </c>
      <c r="AK11" s="10"/>
      <c r="AL11" s="10"/>
    </row>
    <row r="12" spans="1:38" ht="24" customHeight="1">
      <c r="A12" s="1388" t="s">
        <v>55</v>
      </c>
      <c r="B12" s="1388"/>
      <c r="C12" s="1065">
        <v>14.787550154003139</v>
      </c>
      <c r="D12" s="1065">
        <v>20.716199294087346</v>
      </c>
      <c r="E12" s="1065">
        <v>22.11317983858995</v>
      </c>
      <c r="F12" s="1065">
        <v>28.348483244540581</v>
      </c>
      <c r="G12" s="1065">
        <v>43.408614968202762</v>
      </c>
      <c r="H12" s="1065">
        <v>137.40155472588262</v>
      </c>
      <c r="I12" s="1065">
        <v>243.26201457259313</v>
      </c>
      <c r="J12" s="1065">
        <v>336.39291511622628</v>
      </c>
      <c r="K12" s="1065">
        <v>480.74529986841452</v>
      </c>
      <c r="L12" s="1065">
        <v>659.71394235587843</v>
      </c>
      <c r="M12" s="1065">
        <v>1072.6142924087087</v>
      </c>
      <c r="N12" s="1065">
        <v>1384.0091299005512</v>
      </c>
      <c r="O12" s="1065">
        <v>2479.9804962294752</v>
      </c>
      <c r="P12" s="1065">
        <v>2143.3733088300633</v>
      </c>
      <c r="Q12" s="1065">
        <v>8466.8999999999978</v>
      </c>
      <c r="R12" s="1065">
        <v>17244.915999999997</v>
      </c>
      <c r="S12" s="1065">
        <v>37978.300000000003</v>
      </c>
      <c r="T12" s="1065">
        <v>63057.074999999997</v>
      </c>
      <c r="U12" s="1065">
        <v>68211.127000000008</v>
      </c>
      <c r="V12" s="1065">
        <v>64556.562000000005</v>
      </c>
      <c r="W12" s="1065">
        <v>52234.778000000006</v>
      </c>
      <c r="X12" s="1065">
        <v>54712.234000000004</v>
      </c>
      <c r="Y12" s="1065">
        <v>79585.142000000007</v>
      </c>
      <c r="Z12" s="1065">
        <v>89025.537000000011</v>
      </c>
      <c r="AA12" s="1065">
        <v>57591.523000000001</v>
      </c>
      <c r="AB12" s="1065">
        <v>26127.559000000001</v>
      </c>
      <c r="AC12" s="1065">
        <v>19242.036</v>
      </c>
      <c r="AD12" s="1065">
        <v>21092.43</v>
      </c>
      <c r="AE12" s="1065">
        <v>30185.05543</v>
      </c>
      <c r="AF12" s="1065">
        <v>38839.153999999995</v>
      </c>
      <c r="AG12" s="1065">
        <f>SUM(AG7:AG11)</f>
        <v>57717.998</v>
      </c>
      <c r="AH12" s="1065">
        <f>+AG12-AF12</f>
        <v>18878.844000000005</v>
      </c>
      <c r="AI12" s="1065">
        <f>+AG12/AF12*100-100</f>
        <v>48.607763186602881</v>
      </c>
      <c r="AK12" s="10"/>
      <c r="AL12" s="10"/>
    </row>
    <row r="13" spans="1:38" ht="24" customHeight="1">
      <c r="A13" s="1058">
        <v>6</v>
      </c>
      <c r="B13" s="943" t="s">
        <v>59</v>
      </c>
      <c r="C13" s="1061">
        <v>4.0513022808513881</v>
      </c>
      <c r="D13" s="1061">
        <v>5.6755571123448023</v>
      </c>
      <c r="E13" s="1061">
        <v>6.0582838255127918</v>
      </c>
      <c r="F13" s="1061">
        <v>7.766551837945519</v>
      </c>
      <c r="G13" s="1061">
        <v>11.892532501854076</v>
      </c>
      <c r="H13" s="1061">
        <v>37.643505939542187</v>
      </c>
      <c r="I13" s="1061">
        <v>66.645789479581779</v>
      </c>
      <c r="J13" s="1061">
        <v>92.160592530851588</v>
      </c>
      <c r="K13" s="1061">
        <v>131.70839723835155</v>
      </c>
      <c r="L13" s="1061">
        <v>180.73991780526978</v>
      </c>
      <c r="M13" s="1061">
        <v>293.86103066793879</v>
      </c>
      <c r="N13" s="1061">
        <v>379.17297228353732</v>
      </c>
      <c r="O13" s="1061">
        <v>679.43307283536535</v>
      </c>
      <c r="P13" s="1061">
        <v>587.21377674776807</v>
      </c>
      <c r="Q13" s="1061">
        <v>2430.6999999999998</v>
      </c>
      <c r="R13" s="1061">
        <v>4075.6889999999999</v>
      </c>
      <c r="S13" s="1061">
        <v>5660.1116600000005</v>
      </c>
      <c r="T13" s="1061">
        <v>17398.668000000001</v>
      </c>
      <c r="U13" s="1061">
        <v>14416.914000000001</v>
      </c>
      <c r="V13" s="1061">
        <v>14715.312</v>
      </c>
      <c r="W13" s="1061">
        <v>18367.312999999998</v>
      </c>
      <c r="X13" s="1061">
        <v>21914.296999999999</v>
      </c>
      <c r="Y13" s="1061">
        <v>31066.952000000001</v>
      </c>
      <c r="Z13" s="1061">
        <v>45005.857000000004</v>
      </c>
      <c r="AA13" s="1061">
        <v>33680.286</v>
      </c>
      <c r="AB13" s="1061">
        <v>15572.457</v>
      </c>
      <c r="AC13" s="1069">
        <v>17047.907999999999</v>
      </c>
      <c r="AD13" s="1069">
        <v>21815.648000000001</v>
      </c>
      <c r="AE13" s="1069">
        <v>36719.652000000002</v>
      </c>
      <c r="AF13" s="1069">
        <v>37528.438000000002</v>
      </c>
      <c r="AG13" s="1059">
        <v>68626.370999999999</v>
      </c>
      <c r="AH13" s="1061">
        <f t="shared" ref="AH13:AH14" si="2">+AG13-AF13</f>
        <v>31097.932999999997</v>
      </c>
      <c r="AI13" s="1061">
        <f t="shared" ref="AI13:AI14" si="3">+AG13/AF13*100-100</f>
        <v>82.864980951245542</v>
      </c>
      <c r="AK13" s="10"/>
      <c r="AL13" s="10"/>
    </row>
    <row r="14" spans="1:38" ht="24" customHeight="1">
      <c r="A14" s="1060">
        <v>7</v>
      </c>
      <c r="B14" s="943" t="s">
        <v>56</v>
      </c>
      <c r="C14" s="1061">
        <v>5.8734739013450676</v>
      </c>
      <c r="D14" s="1061">
        <v>8.228276801884336</v>
      </c>
      <c r="E14" s="1061">
        <v>8.7831441520114062</v>
      </c>
      <c r="F14" s="1061">
        <v>11.259747202578566</v>
      </c>
      <c r="G14" s="1061">
        <v>17.241487903948425</v>
      </c>
      <c r="H14" s="1061">
        <v>54.574587222497975</v>
      </c>
      <c r="I14" s="1061">
        <v>96.621352347126987</v>
      </c>
      <c r="J14" s="1061">
        <v>133.61205791059814</v>
      </c>
      <c r="K14" s="1061">
        <v>190.94744853372833</v>
      </c>
      <c r="L14" s="1061">
        <v>262.03208661522382</v>
      </c>
      <c r="M14" s="1061">
        <v>426.03216807800936</v>
      </c>
      <c r="N14" s="1061">
        <v>549.71522794758528</v>
      </c>
      <c r="O14" s="1061">
        <v>985.02460304457031</v>
      </c>
      <c r="P14" s="1061">
        <v>851.32743822647456</v>
      </c>
      <c r="Q14" s="1061">
        <v>2446.5</v>
      </c>
      <c r="R14" s="1061">
        <v>6602.25</v>
      </c>
      <c r="S14" s="1061">
        <v>8754.4422400000003</v>
      </c>
      <c r="T14" s="1061">
        <v>12098.414000000001</v>
      </c>
      <c r="U14" s="1061">
        <v>7290.4250000000002</v>
      </c>
      <c r="V14" s="1061">
        <v>8917.5619999999999</v>
      </c>
      <c r="W14" s="1061">
        <v>9088.7870000000003</v>
      </c>
      <c r="X14" s="1061">
        <v>17589.080000000002</v>
      </c>
      <c r="Y14" s="1061">
        <v>35015.610999999997</v>
      </c>
      <c r="Z14" s="1061">
        <v>48021.847999999998</v>
      </c>
      <c r="AA14" s="1061">
        <v>35300.775000000001</v>
      </c>
      <c r="AB14" s="1061">
        <v>18192.109</v>
      </c>
      <c r="AC14" s="1061">
        <v>13673.232</v>
      </c>
      <c r="AD14" s="1061">
        <v>22377.428166666668</v>
      </c>
      <c r="AE14" s="1061">
        <v>36870.786999999997</v>
      </c>
      <c r="AF14" s="1061">
        <v>40812.292000000001</v>
      </c>
      <c r="AG14" s="1061">
        <v>57193.076999999997</v>
      </c>
      <c r="AH14" s="1061">
        <f t="shared" si="2"/>
        <v>16380.784999999996</v>
      </c>
      <c r="AI14" s="1061">
        <f t="shared" si="3"/>
        <v>40.136890621090316</v>
      </c>
      <c r="AK14" s="10"/>
      <c r="AL14" s="10"/>
    </row>
    <row r="15" spans="1:38" ht="24" customHeight="1">
      <c r="A15" s="1060">
        <v>8</v>
      </c>
      <c r="B15" s="943" t="s">
        <v>79</v>
      </c>
      <c r="C15" s="1061">
        <v>2.3848658021084681</v>
      </c>
      <c r="D15" s="1061">
        <v>3.3410101559491903</v>
      </c>
      <c r="E15" s="1061">
        <v>3.5663085381760271</v>
      </c>
      <c r="F15" s="1061">
        <v>4.5719086344567863</v>
      </c>
      <c r="G15" s="1061">
        <v>7.0007350965119537</v>
      </c>
      <c r="H15" s="1061">
        <v>22.159469662632738</v>
      </c>
      <c r="I15" s="1061">
        <v>39.232141461182962</v>
      </c>
      <c r="J15" s="1061">
        <v>54.251850440222306</v>
      </c>
      <c r="K15" s="1061">
        <v>77.532316931495885</v>
      </c>
      <c r="L15" s="1061">
        <v>106.39552893572269</v>
      </c>
      <c r="M15" s="1061">
        <v>172.98613483490462</v>
      </c>
      <c r="N15" s="1061">
        <v>223.20641413427055</v>
      </c>
      <c r="O15" s="1061">
        <v>399.9594668324807</v>
      </c>
      <c r="P15" s="1061">
        <v>345.67305957688416</v>
      </c>
      <c r="Q15" s="1061">
        <v>1321.3</v>
      </c>
      <c r="R15" s="1061">
        <v>2329.1329999999998</v>
      </c>
      <c r="S15" s="1061">
        <v>3590.4929999999999</v>
      </c>
      <c r="T15" s="1061">
        <v>5843.4059999999999</v>
      </c>
      <c r="U15" s="1061">
        <v>4317.9359999999997</v>
      </c>
      <c r="V15" s="1061">
        <v>5951.29</v>
      </c>
      <c r="W15" s="1061">
        <v>4295.6869999999999</v>
      </c>
      <c r="X15" s="1061">
        <v>4455.0889999999999</v>
      </c>
      <c r="Y15" s="1061">
        <v>5445.3739999999998</v>
      </c>
      <c r="Z15" s="1061">
        <v>8865.7150000000001</v>
      </c>
      <c r="AA15" s="1061">
        <v>7480.2950000000001</v>
      </c>
      <c r="AB15" s="1061">
        <v>5712.4340000000002</v>
      </c>
      <c r="AC15" s="1061">
        <v>7347.067</v>
      </c>
      <c r="AD15" s="1061">
        <v>14357.332</v>
      </c>
      <c r="AE15" s="1061">
        <v>12450.647000000001</v>
      </c>
      <c r="AF15" s="1061">
        <v>16619.366000000002</v>
      </c>
      <c r="AG15" s="1061">
        <v>23238.366999999998</v>
      </c>
      <c r="AH15" s="1061">
        <f t="shared" ref="AH15:AH20" si="4">+AG15-AF15</f>
        <v>6619.0009999999966</v>
      </c>
      <c r="AI15" s="1061">
        <f t="shared" ref="AI15:AI20" si="5">+AG15/AF15*100-100</f>
        <v>39.827036723302172</v>
      </c>
      <c r="AK15" s="10"/>
      <c r="AL15" s="10"/>
    </row>
    <row r="16" spans="1:38" ht="24" customHeight="1">
      <c r="A16" s="1060">
        <v>9</v>
      </c>
      <c r="B16" s="943" t="s">
        <v>58</v>
      </c>
      <c r="C16" s="1061">
        <v>21.645790999300843</v>
      </c>
      <c r="D16" s="1061">
        <v>30.324057436808559</v>
      </c>
      <c r="E16" s="1061">
        <v>32.368936310014398</v>
      </c>
      <c r="F16" s="1061">
        <v>41.496078597738027</v>
      </c>
      <c r="G16" s="1061">
        <v>63.540870352786349</v>
      </c>
      <c r="H16" s="1061">
        <v>201.12630595341147</v>
      </c>
      <c r="I16" s="1061">
        <v>356.08323695739261</v>
      </c>
      <c r="J16" s="1061">
        <v>492.40683266796634</v>
      </c>
      <c r="K16" s="1061">
        <v>703.70765789293864</v>
      </c>
      <c r="L16" s="1061">
        <v>965.6792346834003</v>
      </c>
      <c r="M16" s="1061">
        <v>1570.0764869464624</v>
      </c>
      <c r="N16" s="1061">
        <v>2025.8915138043756</v>
      </c>
      <c r="O16" s="1061">
        <v>3630.1577302981177</v>
      </c>
      <c r="P16" s="1061">
        <v>3137.4372491210688</v>
      </c>
      <c r="Q16" s="1061">
        <v>4685.2</v>
      </c>
      <c r="R16" s="1061">
        <v>9500.69</v>
      </c>
      <c r="S16" s="1061">
        <v>14335.634</v>
      </c>
      <c r="T16" s="1061">
        <v>30178.636999999999</v>
      </c>
      <c r="U16" s="1061">
        <v>41759.686999999998</v>
      </c>
      <c r="V16" s="1061">
        <v>48815.7</v>
      </c>
      <c r="W16" s="1061">
        <v>63772.127999999997</v>
      </c>
      <c r="X16" s="1061">
        <v>88967.527000000002</v>
      </c>
      <c r="Y16" s="1061">
        <v>142576.32399999999</v>
      </c>
      <c r="Z16" s="1061">
        <v>158476.16500000001</v>
      </c>
      <c r="AA16" s="1061">
        <v>156470.535</v>
      </c>
      <c r="AB16" s="1061">
        <v>114485.37300000001</v>
      </c>
      <c r="AC16" s="1061">
        <v>123654.96422000004</v>
      </c>
      <c r="AD16" s="1061">
        <v>159651.38116666666</v>
      </c>
      <c r="AE16" s="1061">
        <v>209843.364</v>
      </c>
      <c r="AF16" s="1061">
        <v>214986.18100000001</v>
      </c>
      <c r="AG16" s="1061">
        <v>330445.75199999998</v>
      </c>
      <c r="AH16" s="1061">
        <f t="shared" si="4"/>
        <v>115459.57099999997</v>
      </c>
      <c r="AI16" s="1061">
        <f t="shared" si="5"/>
        <v>53.705577941309599</v>
      </c>
      <c r="AK16" s="10"/>
      <c r="AL16" s="10"/>
    </row>
    <row r="17" spans="1:38" ht="24" customHeight="1">
      <c r="A17" s="1060">
        <v>10</v>
      </c>
      <c r="B17" s="943" t="s">
        <v>57</v>
      </c>
      <c r="C17" s="1061">
        <v>25.028162432809189</v>
      </c>
      <c r="D17" s="1061">
        <v>35.062494836746524</v>
      </c>
      <c r="E17" s="1061">
        <v>37.426906495145545</v>
      </c>
      <c r="F17" s="1061">
        <v>47.980256092389972</v>
      </c>
      <c r="G17" s="1061">
        <v>73.469767141472147</v>
      </c>
      <c r="H17" s="1061">
        <v>232.55430374780263</v>
      </c>
      <c r="I17" s="1061">
        <v>411.72480573511808</v>
      </c>
      <c r="J17" s="1061">
        <v>569.35032734248523</v>
      </c>
      <c r="K17" s="1061">
        <v>813.66902080524881</v>
      </c>
      <c r="L17" s="1061">
        <v>1116.5762777820255</v>
      </c>
      <c r="M17" s="1061">
        <v>1815.4166483682552</v>
      </c>
      <c r="N17" s="1061">
        <v>2342.4573341017363</v>
      </c>
      <c r="O17" s="1061">
        <v>4197.4061993647574</v>
      </c>
      <c r="P17" s="1061">
        <v>3627.6932127952491</v>
      </c>
      <c r="Q17" s="1061">
        <v>5328.8</v>
      </c>
      <c r="R17" s="1061">
        <v>13272.404</v>
      </c>
      <c r="S17" s="1061">
        <v>35060.97295000001</v>
      </c>
      <c r="T17" s="1061">
        <v>42707.135999999999</v>
      </c>
      <c r="U17" s="1061">
        <v>37215.894</v>
      </c>
      <c r="V17" s="1061">
        <v>45979.188000000002</v>
      </c>
      <c r="W17" s="1061">
        <v>64117.764999999999</v>
      </c>
      <c r="X17" s="1061">
        <v>80385.841</v>
      </c>
      <c r="Y17" s="1061">
        <v>120631.594</v>
      </c>
      <c r="Z17" s="1061">
        <v>154141.82399999999</v>
      </c>
      <c r="AA17" s="1061">
        <v>144686.057</v>
      </c>
      <c r="AB17" s="1061">
        <v>99355.77</v>
      </c>
      <c r="AC17" s="1061">
        <v>113500.33199999999</v>
      </c>
      <c r="AD17" s="1061">
        <v>140217.45516666668</v>
      </c>
      <c r="AE17" s="1061">
        <v>165570.946</v>
      </c>
      <c r="AF17" s="1061">
        <v>181497.18700000001</v>
      </c>
      <c r="AG17" s="1061">
        <v>254715.198</v>
      </c>
      <c r="AH17" s="1061">
        <f t="shared" si="4"/>
        <v>73218.010999999999</v>
      </c>
      <c r="AI17" s="1061">
        <f t="shared" si="5"/>
        <v>40.341127160279342</v>
      </c>
      <c r="AK17" s="10"/>
      <c r="AL17" s="10"/>
    </row>
    <row r="18" spans="1:38" ht="24" customHeight="1">
      <c r="A18" s="1060">
        <v>11</v>
      </c>
      <c r="B18" s="943" t="s">
        <v>479</v>
      </c>
      <c r="C18" s="1061">
        <v>38.086117627225143</v>
      </c>
      <c r="D18" s="1061">
        <v>53.355667090674856</v>
      </c>
      <c r="E18" s="1061">
        <v>56.953664378039448</v>
      </c>
      <c r="F18" s="1061">
        <v>73.013018124081384</v>
      </c>
      <c r="G18" s="1061">
        <v>111.80118400249961</v>
      </c>
      <c r="H18" s="1061">
        <v>353.88497222015695</v>
      </c>
      <c r="I18" s="1061">
        <v>626.53418617413342</v>
      </c>
      <c r="J18" s="1061">
        <v>866.39774679739253</v>
      </c>
      <c r="K18" s="1061">
        <v>1238.1849494229734</v>
      </c>
      <c r="L18" s="1061">
        <v>1699.1281549151379</v>
      </c>
      <c r="M18" s="1061">
        <v>2762.5748473462977</v>
      </c>
      <c r="N18" s="1061">
        <v>3564.5887229181349</v>
      </c>
      <c r="O18" s="1061">
        <v>6387.3209496469999</v>
      </c>
      <c r="P18" s="1061">
        <v>5520.3713332500683</v>
      </c>
      <c r="Q18" s="1061">
        <v>13673.8</v>
      </c>
      <c r="R18" s="1061">
        <v>10934.474</v>
      </c>
      <c r="S18" s="1061">
        <v>22639.377</v>
      </c>
      <c r="T18" s="1061">
        <v>44406.6</v>
      </c>
      <c r="U18" s="1061">
        <v>47473.309000000001</v>
      </c>
      <c r="V18" s="1061">
        <v>59551.99</v>
      </c>
      <c r="W18" s="1061">
        <v>71337.763000000006</v>
      </c>
      <c r="X18" s="1061">
        <v>108847.06299999999</v>
      </c>
      <c r="Y18" s="1061">
        <v>168215.769</v>
      </c>
      <c r="Z18" s="1061">
        <v>212759.32800000001</v>
      </c>
      <c r="AA18" s="1061">
        <v>179356.01300000001</v>
      </c>
      <c r="AB18" s="1061">
        <v>123104.586</v>
      </c>
      <c r="AC18" s="1061">
        <v>119807.52</v>
      </c>
      <c r="AD18" s="1061">
        <v>149453.54016666667</v>
      </c>
      <c r="AE18" s="1061">
        <v>211391.049</v>
      </c>
      <c r="AF18" s="1061">
        <v>220701.527</v>
      </c>
      <c r="AG18" s="1061">
        <v>327973.51899999997</v>
      </c>
      <c r="AH18" s="1061">
        <f t="shared" si="4"/>
        <v>107271.99199999997</v>
      </c>
      <c r="AI18" s="1061">
        <f t="shared" si="5"/>
        <v>48.605006706636857</v>
      </c>
      <c r="AK18" s="10"/>
      <c r="AL18" s="10"/>
    </row>
    <row r="19" spans="1:38" ht="24" customHeight="1">
      <c r="A19" s="1060">
        <v>12</v>
      </c>
      <c r="B19" s="943" t="s">
        <v>61</v>
      </c>
      <c r="C19" s="1061">
        <v>13.2581252909022</v>
      </c>
      <c r="D19" s="1061">
        <v>18.573594877577275</v>
      </c>
      <c r="E19" s="1061">
        <v>19.826090584782321</v>
      </c>
      <c r="F19" s="1061">
        <v>25.416498253526797</v>
      </c>
      <c r="G19" s="1061">
        <v>38.919012950712904</v>
      </c>
      <c r="H19" s="1061">
        <v>123.19058997256268</v>
      </c>
      <c r="I19" s="1061">
        <v>218.10227077049831</v>
      </c>
      <c r="J19" s="1061">
        <v>301.60096629497519</v>
      </c>
      <c r="K19" s="1061">
        <v>431.02348612777763</v>
      </c>
      <c r="L19" s="1061">
        <v>591.48202459631091</v>
      </c>
      <c r="M19" s="1061">
        <v>961.67752801956431</v>
      </c>
      <c r="N19" s="1061">
        <v>1240.8658808847176</v>
      </c>
      <c r="O19" s="1061">
        <v>2223.4847419336238</v>
      </c>
      <c r="P19" s="1061">
        <v>1921.6916647922098</v>
      </c>
      <c r="Q19" s="1061">
        <v>1177.5999999999999</v>
      </c>
      <c r="R19" s="1061">
        <v>2812.2139999999999</v>
      </c>
      <c r="S19" s="1061">
        <v>6372.3990000000003</v>
      </c>
      <c r="T19" s="1061">
        <v>10799.626</v>
      </c>
      <c r="U19" s="1061">
        <v>13032.755999999999</v>
      </c>
      <c r="V19" s="1061">
        <v>15669.769</v>
      </c>
      <c r="W19" s="1061">
        <v>17881.721000000001</v>
      </c>
      <c r="X19" s="1061">
        <v>30655.772000000001</v>
      </c>
      <c r="Y19" s="1061">
        <v>46058.724000000002</v>
      </c>
      <c r="Z19" s="1061">
        <v>65302.404999999999</v>
      </c>
      <c r="AA19" s="1061">
        <v>62542.428</v>
      </c>
      <c r="AB19" s="1061">
        <v>44676.712</v>
      </c>
      <c r="AC19" s="1061">
        <v>42267.631780000003</v>
      </c>
      <c r="AD19" s="1061">
        <v>51879.684999999998</v>
      </c>
      <c r="AE19" s="1061">
        <v>67121.718999999997</v>
      </c>
      <c r="AF19" s="1061">
        <v>64665.788999999997</v>
      </c>
      <c r="AG19" s="1061">
        <v>89657.214000000007</v>
      </c>
      <c r="AH19" s="1061">
        <f t="shared" si="4"/>
        <v>24991.42500000001</v>
      </c>
      <c r="AI19" s="1061">
        <f t="shared" si="5"/>
        <v>38.647058029400995</v>
      </c>
      <c r="AK19" s="10"/>
      <c r="AL19" s="10"/>
    </row>
    <row r="20" spans="1:38" ht="24" customHeight="1">
      <c r="A20" s="1060">
        <v>13</v>
      </c>
      <c r="B20" s="1098" t="s">
        <v>78</v>
      </c>
      <c r="C20" s="1064">
        <v>31.003799773983911</v>
      </c>
      <c r="D20" s="1064">
        <v>43.433894614244743</v>
      </c>
      <c r="E20" s="1064">
        <v>46.362825007639543</v>
      </c>
      <c r="F20" s="1064">
        <v>59.435855787913866</v>
      </c>
      <c r="G20" s="1064">
        <v>91.011154175243092</v>
      </c>
      <c r="H20" s="1064">
        <v>288.07816352204497</v>
      </c>
      <c r="I20" s="1064">
        <v>510.02679374736903</v>
      </c>
      <c r="J20" s="1064">
        <v>705.28643872946623</v>
      </c>
      <c r="K20" s="1064">
        <v>1007.937816891817</v>
      </c>
      <c r="L20" s="1064">
        <v>1383.1661609864575</v>
      </c>
      <c r="M20" s="1064">
        <v>2248.8592370082706</v>
      </c>
      <c r="N20" s="1064">
        <v>2901.7343306988773</v>
      </c>
      <c r="O20" s="1064">
        <v>5199.5643597306307</v>
      </c>
      <c r="P20" s="1064">
        <v>4493.828674513692</v>
      </c>
      <c r="Q20" s="1064">
        <v>9581.7999999999993</v>
      </c>
      <c r="R20" s="1064">
        <v>18281.614000000001</v>
      </c>
      <c r="S20" s="1064">
        <v>41884.367149999998</v>
      </c>
      <c r="T20" s="1064">
        <v>70216.751000000004</v>
      </c>
      <c r="U20" s="1064">
        <v>52972.932000000001</v>
      </c>
      <c r="V20" s="1064">
        <v>53783.358999999997</v>
      </c>
      <c r="W20" s="1064">
        <v>69423.464000000007</v>
      </c>
      <c r="X20" s="1064">
        <v>82621.417000000001</v>
      </c>
      <c r="Y20" s="1064">
        <v>122300.526</v>
      </c>
      <c r="Z20" s="1064">
        <v>157926.87100000001</v>
      </c>
      <c r="AA20" s="1064">
        <v>149634.568</v>
      </c>
      <c r="AB20" s="1064">
        <v>119442.96799999999</v>
      </c>
      <c r="AC20" s="1064">
        <v>114586.79300000001</v>
      </c>
      <c r="AD20" s="1064">
        <v>140620.15599999999</v>
      </c>
      <c r="AE20" s="1064">
        <v>182221.62899999999</v>
      </c>
      <c r="AF20" s="1064">
        <v>193067.61600000001</v>
      </c>
      <c r="AG20" s="1064">
        <v>270366.755</v>
      </c>
      <c r="AH20" s="1061">
        <f t="shared" si="4"/>
        <v>77299.138999999996</v>
      </c>
      <c r="AI20" s="1061">
        <f t="shared" si="5"/>
        <v>40.037340596778279</v>
      </c>
      <c r="AK20" s="10"/>
      <c r="AL20" s="10"/>
    </row>
    <row r="21" spans="1:38" ht="24" customHeight="1">
      <c r="A21" s="1388" t="s">
        <v>494</v>
      </c>
      <c r="B21" s="1388"/>
      <c r="C21" s="1065">
        <v>141.33163810852619</v>
      </c>
      <c r="D21" s="1065">
        <v>197.99455292623028</v>
      </c>
      <c r="E21" s="1065">
        <v>211.3461592913215</v>
      </c>
      <c r="F21" s="1065">
        <v>270.93991453063092</v>
      </c>
      <c r="G21" s="1065">
        <v>414.87674412502855</v>
      </c>
      <c r="H21" s="1065">
        <v>1313.2118982406516</v>
      </c>
      <c r="I21" s="1065">
        <v>2324.9705766724032</v>
      </c>
      <c r="J21" s="1065">
        <v>3215.0668127139575</v>
      </c>
      <c r="K21" s="1065">
        <v>4594.7110938443311</v>
      </c>
      <c r="L21" s="1065">
        <v>6305.1993863195476</v>
      </c>
      <c r="M21" s="1065">
        <v>10251.484081269702</v>
      </c>
      <c r="N21" s="1065">
        <v>13227.632396773235</v>
      </c>
      <c r="O21" s="1065">
        <v>23702.351123686545</v>
      </c>
      <c r="P21" s="1065">
        <v>20485.236409023411</v>
      </c>
      <c r="Q21" s="1065">
        <v>40645.699999999997</v>
      </c>
      <c r="R21" s="1065">
        <v>67808.468000000008</v>
      </c>
      <c r="S21" s="1065">
        <v>138297.79700000002</v>
      </c>
      <c r="T21" s="1065">
        <v>233649.23800000001</v>
      </c>
      <c r="U21" s="1065">
        <v>218479.853</v>
      </c>
      <c r="V21" s="1065">
        <v>253384.16999999998</v>
      </c>
      <c r="W21" s="1065">
        <v>318284.62800000003</v>
      </c>
      <c r="X21" s="1065">
        <v>435436.08600000001</v>
      </c>
      <c r="Y21" s="1065">
        <v>671310.87399999995</v>
      </c>
      <c r="Z21" s="1065">
        <v>850500.01300000004</v>
      </c>
      <c r="AA21" s="1065">
        <v>769150.95699999994</v>
      </c>
      <c r="AB21" s="1065">
        <v>540542.40899999999</v>
      </c>
      <c r="AC21" s="1065">
        <v>551885.44800000009</v>
      </c>
      <c r="AD21" s="1065">
        <v>700372.62566666666</v>
      </c>
      <c r="AE21" s="1065">
        <v>922189.79300000006</v>
      </c>
      <c r="AF21" s="1065">
        <v>969878.39600000007</v>
      </c>
      <c r="AG21" s="1065">
        <f>SUM(AG13:AG20)</f>
        <v>1422216.253</v>
      </c>
      <c r="AH21" s="1065">
        <f>+AG21-AF21</f>
        <v>452337.85699999996</v>
      </c>
      <c r="AI21" s="1065">
        <f>+AG21/AF21*100-100</f>
        <v>46.638615610528547</v>
      </c>
      <c r="AK21" s="10"/>
      <c r="AL21" s="10"/>
    </row>
    <row r="22" spans="1:38" ht="24" customHeight="1">
      <c r="A22" s="1058">
        <v>14</v>
      </c>
      <c r="B22" s="943" t="s">
        <v>5</v>
      </c>
      <c r="C22" s="1059">
        <v>142.01232782041632</v>
      </c>
      <c r="D22" s="1059">
        <v>198.94814588666623</v>
      </c>
      <c r="E22" s="1059">
        <v>212.36405704020788</v>
      </c>
      <c r="F22" s="1059">
        <v>272.2448312133327</v>
      </c>
      <c r="G22" s="1059">
        <v>416.87489779541568</v>
      </c>
      <c r="H22" s="1059">
        <v>1319.5366662871218</v>
      </c>
      <c r="I22" s="1059">
        <v>2336.1682361148905</v>
      </c>
      <c r="J22" s="1059">
        <v>3230.5514057728255</v>
      </c>
      <c r="K22" s="1059">
        <v>4616.8404104824467</v>
      </c>
      <c r="L22" s="1059">
        <v>6335.5668568386973</v>
      </c>
      <c r="M22" s="1059">
        <v>10300.85787923253</v>
      </c>
      <c r="N22" s="1059">
        <v>13291.340094537512</v>
      </c>
      <c r="O22" s="1059">
        <v>23816.507775186703</v>
      </c>
      <c r="P22" s="1059">
        <v>20583.898604239406</v>
      </c>
      <c r="Q22" s="1059">
        <v>42535.020227192137</v>
      </c>
      <c r="R22" s="1059">
        <v>63578.98</v>
      </c>
      <c r="S22" s="1059">
        <v>107736.746</v>
      </c>
      <c r="T22" s="1059">
        <v>152772.22683200001</v>
      </c>
      <c r="U22" s="1059">
        <v>129708.08500000001</v>
      </c>
      <c r="V22" s="1059">
        <v>163154.019</v>
      </c>
      <c r="W22" s="1059">
        <v>217228.12700000001</v>
      </c>
      <c r="X22" s="1059">
        <v>265045.34135000006</v>
      </c>
      <c r="Y22" s="1059">
        <v>369408.96600000001</v>
      </c>
      <c r="Z22" s="1059">
        <v>495434.77799999999</v>
      </c>
      <c r="AA22" s="1059">
        <v>406582.73800000001</v>
      </c>
      <c r="AB22" s="1061">
        <v>311877.33899999998</v>
      </c>
      <c r="AC22" s="1069">
        <v>356145.05575999996</v>
      </c>
      <c r="AD22" s="1069">
        <v>476145.02871999989</v>
      </c>
      <c r="AE22" s="1069">
        <v>545078.26300000004</v>
      </c>
      <c r="AF22" s="1069">
        <v>453054.50199999998</v>
      </c>
      <c r="AG22" s="1059">
        <v>689428.495</v>
      </c>
      <c r="AH22" s="1061">
        <f t="shared" ref="AH22:AH24" si="6">+AG22-AF22</f>
        <v>236373.99300000002</v>
      </c>
      <c r="AI22" s="1061">
        <f t="shared" ref="AI22:AI24" si="7">+AG22/AF22*100-100</f>
        <v>52.17341223992517</v>
      </c>
      <c r="AK22" s="10"/>
      <c r="AL22" s="10"/>
    </row>
    <row r="23" spans="1:38" ht="24" customHeight="1">
      <c r="A23" s="1060">
        <v>15</v>
      </c>
      <c r="B23" s="943" t="s">
        <v>16</v>
      </c>
      <c r="C23" s="1061">
        <v>2.2876986689917485</v>
      </c>
      <c r="D23" s="1061">
        <v>3.2048866146243853</v>
      </c>
      <c r="E23" s="1061">
        <v>3.4210056133079378</v>
      </c>
      <c r="F23" s="1061">
        <v>4.3856343147491588</v>
      </c>
      <c r="G23" s="1061">
        <v>6.7155025444596488</v>
      </c>
      <c r="H23" s="1061">
        <v>21.256621319299828</v>
      </c>
      <c r="I23" s="1061">
        <v>37.633697343932234</v>
      </c>
      <c r="J23" s="1061">
        <v>52.041454882999389</v>
      </c>
      <c r="K23" s="1061">
        <v>74.373400000627129</v>
      </c>
      <c r="L23" s="1061">
        <v>102.06063155324475</v>
      </c>
      <c r="M23" s="1061">
        <v>165.93812115799687</v>
      </c>
      <c r="N23" s="1061">
        <v>214.11226412569749</v>
      </c>
      <c r="O23" s="1061">
        <v>383.66382675049158</v>
      </c>
      <c r="P23" s="1061">
        <v>331.58922300835457</v>
      </c>
      <c r="Q23" s="1061">
        <v>431.5</v>
      </c>
      <c r="R23" s="1061">
        <v>2700.83</v>
      </c>
      <c r="S23" s="1061">
        <v>5598.808</v>
      </c>
      <c r="T23" s="1061">
        <v>8726.846168</v>
      </c>
      <c r="U23" s="1061">
        <v>11893.982</v>
      </c>
      <c r="V23" s="1061">
        <v>9377.1560000000009</v>
      </c>
      <c r="W23" s="1061">
        <v>13080.369000000001</v>
      </c>
      <c r="X23" s="1061">
        <v>22452.403999999999</v>
      </c>
      <c r="Y23" s="1061">
        <v>31548.949000000001</v>
      </c>
      <c r="Z23" s="1061">
        <v>42645.838000000003</v>
      </c>
      <c r="AA23" s="1061">
        <v>44134.118000000002</v>
      </c>
      <c r="AB23" s="1061">
        <v>30047.723000000002</v>
      </c>
      <c r="AC23" s="1061">
        <v>30746.438240000003</v>
      </c>
      <c r="AD23" s="1061">
        <v>40312.881000000001</v>
      </c>
      <c r="AE23" s="1061">
        <v>51380.557999999997</v>
      </c>
      <c r="AF23" s="1061">
        <v>58778.534</v>
      </c>
      <c r="AG23" s="1061">
        <v>91456.014999999999</v>
      </c>
      <c r="AH23" s="1061">
        <f t="shared" si="6"/>
        <v>32677.481</v>
      </c>
      <c r="AI23" s="1061">
        <f t="shared" si="7"/>
        <v>55.594242959513082</v>
      </c>
      <c r="AK23" s="10"/>
      <c r="AL23" s="10"/>
    </row>
    <row r="24" spans="1:38" ht="24" customHeight="1">
      <c r="A24" s="1060">
        <v>16</v>
      </c>
      <c r="B24" s="943" t="s">
        <v>6</v>
      </c>
      <c r="C24" s="1061">
        <v>1.3630483587029059</v>
      </c>
      <c r="D24" s="1061">
        <v>1.9095239679524583</v>
      </c>
      <c r="E24" s="1061">
        <v>2.0382912092124101</v>
      </c>
      <c r="F24" s="1061">
        <v>2.6130327982507326</v>
      </c>
      <c r="G24" s="1061">
        <v>4.0012064723214333</v>
      </c>
      <c r="H24" s="1061">
        <v>12.665043344021518</v>
      </c>
      <c r="I24" s="1061">
        <v>22.422773633546996</v>
      </c>
      <c r="J24" s="1061">
        <v>31.007151695396423</v>
      </c>
      <c r="K24" s="1061">
        <v>44.31289058129672</v>
      </c>
      <c r="L24" s="1061">
        <v>60.809396889732618</v>
      </c>
      <c r="M24" s="1061">
        <v>98.868652046004001</v>
      </c>
      <c r="N24" s="1061">
        <v>127.57159592321631</v>
      </c>
      <c r="O24" s="1061">
        <v>228.59319561365709</v>
      </c>
      <c r="P24" s="1061">
        <v>197.56629328472974</v>
      </c>
      <c r="Q24" s="1061">
        <v>526.70000000000005</v>
      </c>
      <c r="R24" s="1061">
        <v>1196.6669999999999</v>
      </c>
      <c r="S24" s="1061">
        <v>4209.5919999999996</v>
      </c>
      <c r="T24" s="1061">
        <v>7822.192</v>
      </c>
      <c r="U24" s="1061">
        <v>6170.2780000000002</v>
      </c>
      <c r="V24" s="1061">
        <v>7538.9059999999999</v>
      </c>
      <c r="W24" s="1061">
        <v>13185.333000000001</v>
      </c>
      <c r="X24" s="1061">
        <v>15686.678</v>
      </c>
      <c r="Y24" s="1061">
        <v>22310.392</v>
      </c>
      <c r="Z24" s="1061">
        <v>28792.26</v>
      </c>
      <c r="AA24" s="1061">
        <v>26657.686000000002</v>
      </c>
      <c r="AB24" s="1061">
        <v>16336.42</v>
      </c>
      <c r="AC24" s="1061">
        <v>16479.889230000001</v>
      </c>
      <c r="AD24" s="1061">
        <v>21372.186000000002</v>
      </c>
      <c r="AE24" s="1061">
        <v>23898.501</v>
      </c>
      <c r="AF24" s="1061">
        <v>26721.883999999998</v>
      </c>
      <c r="AG24" s="1061">
        <v>44268.41</v>
      </c>
      <c r="AH24" s="1061">
        <f t="shared" si="6"/>
        <v>17546.526000000005</v>
      </c>
      <c r="AI24" s="1061">
        <f t="shared" si="7"/>
        <v>65.66350636055455</v>
      </c>
      <c r="AK24" s="10"/>
      <c r="AL24" s="10"/>
    </row>
    <row r="25" spans="1:38" ht="24" customHeight="1">
      <c r="A25" s="1060">
        <v>17</v>
      </c>
      <c r="B25" s="943" t="s">
        <v>505</v>
      </c>
      <c r="C25" s="1061">
        <v>0.18606956298814603</v>
      </c>
      <c r="D25" s="1061">
        <v>0.26066888086818613</v>
      </c>
      <c r="E25" s="1061">
        <v>0.27824688105831058</v>
      </c>
      <c r="F25" s="1061">
        <v>0.35670478434593894</v>
      </c>
      <c r="G25" s="1061">
        <v>0.54620420102971889</v>
      </c>
      <c r="H25" s="1061">
        <v>1.7289035016267225</v>
      </c>
      <c r="I25" s="1061">
        <v>3.060930057497393</v>
      </c>
      <c r="J25" s="1061">
        <v>4.2327824457819538</v>
      </c>
      <c r="K25" s="1061">
        <v>6.0491472166473441</v>
      </c>
      <c r="L25" s="1061">
        <v>8.3010832540178985</v>
      </c>
      <c r="M25" s="1061">
        <v>13.496547471678351</v>
      </c>
      <c r="N25" s="1061">
        <v>17.414782792975753</v>
      </c>
      <c r="O25" s="1061">
        <v>31.205228881514568</v>
      </c>
      <c r="P25" s="1061">
        <v>26.969750279190276</v>
      </c>
      <c r="Q25" s="1061">
        <v>125.33102694546723</v>
      </c>
      <c r="R25" s="1061">
        <v>235</v>
      </c>
      <c r="S25" s="1061">
        <v>902.23599999999999</v>
      </c>
      <c r="T25" s="1061">
        <v>895.96299999999997</v>
      </c>
      <c r="U25" s="1061">
        <v>73.879000000000005</v>
      </c>
      <c r="V25" s="1061">
        <v>176.411</v>
      </c>
      <c r="W25" s="1061">
        <v>3036.4470000000001</v>
      </c>
      <c r="X25" s="1061">
        <v>2602.2669999999998</v>
      </c>
      <c r="Y25" s="1061">
        <v>2297.8470000000002</v>
      </c>
      <c r="Z25" s="1061">
        <v>5210.2700000000004</v>
      </c>
      <c r="AA25" s="1061">
        <v>5936.3969999999999</v>
      </c>
      <c r="AB25" s="1061">
        <v>8565.5889999999999</v>
      </c>
      <c r="AC25" s="1061">
        <v>7742.75</v>
      </c>
      <c r="AD25" s="1061">
        <v>7929.0140000000001</v>
      </c>
      <c r="AE25" s="1061">
        <v>11563.069</v>
      </c>
      <c r="AF25" s="1061">
        <v>11865.351000000001</v>
      </c>
      <c r="AG25" s="1061">
        <v>15406.382</v>
      </c>
      <c r="AH25" s="1061">
        <f t="shared" ref="AH25:AH39" si="8">+AG25-AF25</f>
        <v>3541.030999999999</v>
      </c>
      <c r="AI25" s="1061">
        <f t="shared" ref="AI25:AI39" si="9">+AG25/AF25*100-100</f>
        <v>29.843457644025847</v>
      </c>
      <c r="AK25" s="10"/>
      <c r="AL25" s="10"/>
    </row>
    <row r="26" spans="1:38" ht="24" customHeight="1">
      <c r="A26" s="1060">
        <v>18</v>
      </c>
      <c r="B26" s="943" t="s">
        <v>81</v>
      </c>
      <c r="C26" s="1061">
        <v>0.7901867597466935</v>
      </c>
      <c r="D26" s="1061">
        <v>1.1069897463732481</v>
      </c>
      <c r="E26" s="1061">
        <v>1.1816387259806547</v>
      </c>
      <c r="F26" s="1061">
        <v>1.5148280739844446</v>
      </c>
      <c r="G26" s="1061">
        <v>2.3195804882886808</v>
      </c>
      <c r="H26" s="1061">
        <v>7.3421823210933548</v>
      </c>
      <c r="I26" s="1061">
        <v>12.998936339197048</v>
      </c>
      <c r="J26" s="1061">
        <v>17.975474289463492</v>
      </c>
      <c r="K26" s="1061">
        <v>25.689080801774185</v>
      </c>
      <c r="L26" s="1061">
        <v>35.252439859268243</v>
      </c>
      <c r="M26" s="1061">
        <v>57.316161456736317</v>
      </c>
      <c r="N26" s="1061">
        <v>73.955839772411636</v>
      </c>
      <c r="O26" s="1061">
        <v>132.52010861447997</v>
      </c>
      <c r="P26" s="1061">
        <v>114.53318448245359</v>
      </c>
      <c r="Q26" s="1061">
        <v>532.24673873218865</v>
      </c>
      <c r="R26" s="1061">
        <v>791.65599999999995</v>
      </c>
      <c r="S26" s="1061">
        <v>1601.614</v>
      </c>
      <c r="T26" s="1061">
        <v>1651.6110000000001</v>
      </c>
      <c r="U26" s="1061">
        <v>1818.49</v>
      </c>
      <c r="V26" s="1061">
        <v>2299.1120000000001</v>
      </c>
      <c r="W26" s="1061">
        <v>6786.7939999999999</v>
      </c>
      <c r="X26" s="1061">
        <v>5568.6266499999992</v>
      </c>
      <c r="Y26" s="1061">
        <v>5735.4530000000004</v>
      </c>
      <c r="Z26" s="1061">
        <v>4622.9210000000003</v>
      </c>
      <c r="AA26" s="1061">
        <v>3238.5949999999998</v>
      </c>
      <c r="AB26" s="1061">
        <v>1943.16</v>
      </c>
      <c r="AC26" s="1061">
        <v>1311.56</v>
      </c>
      <c r="AD26" s="1061">
        <v>1484.6172799999999</v>
      </c>
      <c r="AE26" s="1061">
        <v>2010.836</v>
      </c>
      <c r="AF26" s="1061">
        <v>2378.7260000000001</v>
      </c>
      <c r="AG26" s="1061">
        <v>2676.9589999999998</v>
      </c>
      <c r="AH26" s="1061">
        <f t="shared" si="8"/>
        <v>298.23299999999972</v>
      </c>
      <c r="AI26" s="1061">
        <f t="shared" si="9"/>
        <v>12.537509574452883</v>
      </c>
      <c r="AK26" s="10"/>
      <c r="AL26" s="10"/>
    </row>
    <row r="27" spans="1:38" ht="24" customHeight="1">
      <c r="A27" s="1060">
        <v>19</v>
      </c>
      <c r="B27" s="943" t="s">
        <v>8</v>
      </c>
      <c r="C27" s="1061">
        <v>13.907575917778491</v>
      </c>
      <c r="D27" s="1061">
        <v>19.483424327210422</v>
      </c>
      <c r="E27" s="1061">
        <v>20.79727366506507</v>
      </c>
      <c r="F27" s="1061">
        <v>26.661528026708996</v>
      </c>
      <c r="G27" s="1061">
        <v>40.825464790898145</v>
      </c>
      <c r="H27" s="1061">
        <v>129.22509365445515</v>
      </c>
      <c r="I27" s="1061">
        <v>228.78603286861647</v>
      </c>
      <c r="J27" s="1061">
        <v>316.37492055539974</v>
      </c>
      <c r="K27" s="1061">
        <v>452.13721579332679</v>
      </c>
      <c r="L27" s="1061">
        <v>620.45583222232062</v>
      </c>
      <c r="M27" s="1061">
        <v>1008.7854003409797</v>
      </c>
      <c r="N27" s="1061">
        <v>1301.6498232994859</v>
      </c>
      <c r="O27" s="1061">
        <v>2332.4023700155954</v>
      </c>
      <c r="P27" s="1061">
        <v>2015.8259280442444</v>
      </c>
      <c r="Q27" s="1061">
        <v>5611.5</v>
      </c>
      <c r="R27" s="1061">
        <v>15028.045</v>
      </c>
      <c r="S27" s="1061">
        <v>30302.427</v>
      </c>
      <c r="T27" s="1061">
        <v>42933.557999999997</v>
      </c>
      <c r="U27" s="1061">
        <v>35105.044999999998</v>
      </c>
      <c r="V27" s="1061">
        <v>38159.904000000002</v>
      </c>
      <c r="W27" s="1061">
        <v>58355.487999999998</v>
      </c>
      <c r="X27" s="1061">
        <v>86249.165999999997</v>
      </c>
      <c r="Y27" s="1061">
        <v>120837.781</v>
      </c>
      <c r="Z27" s="1061">
        <v>135596.18700000001</v>
      </c>
      <c r="AA27" s="1061">
        <v>127516.42</v>
      </c>
      <c r="AB27" s="1061">
        <v>98376.513000000006</v>
      </c>
      <c r="AC27" s="1061">
        <v>100041.651</v>
      </c>
      <c r="AD27" s="1061">
        <v>116322.755</v>
      </c>
      <c r="AE27" s="1061">
        <v>136809.465</v>
      </c>
      <c r="AF27" s="1061">
        <v>128918.776</v>
      </c>
      <c r="AG27" s="1061">
        <v>197833.859</v>
      </c>
      <c r="AH27" s="1061">
        <f t="shared" si="8"/>
        <v>68915.082999999999</v>
      </c>
      <c r="AI27" s="1061">
        <f t="shared" si="9"/>
        <v>53.456203307422015</v>
      </c>
      <c r="AK27" s="10"/>
      <c r="AL27" s="10"/>
    </row>
    <row r="28" spans="1:38" ht="24" customHeight="1">
      <c r="A28" s="1060">
        <v>20</v>
      </c>
      <c r="B28" s="943" t="s">
        <v>21</v>
      </c>
      <c r="C28" s="1061">
        <v>32.950785821583708</v>
      </c>
      <c r="D28" s="1061">
        <v>46.161469538071195</v>
      </c>
      <c r="E28" s="1061">
        <v>49.274331793105603</v>
      </c>
      <c r="F28" s="1061">
        <v>63.168326736307947</v>
      </c>
      <c r="G28" s="1061">
        <v>96.726500314971531</v>
      </c>
      <c r="H28" s="1061">
        <v>306.16898365004255</v>
      </c>
      <c r="I28" s="1061">
        <v>542.05561145897912</v>
      </c>
      <c r="J28" s="1061">
        <v>749.57723101228487</v>
      </c>
      <c r="K28" s="1061">
        <v>1071.2346024678645</v>
      </c>
      <c r="L28" s="1061">
        <v>1470.0266502356681</v>
      </c>
      <c r="M28" s="1061">
        <v>2390.083783334529</v>
      </c>
      <c r="N28" s="1061">
        <v>3083.9583257219911</v>
      </c>
      <c r="O28" s="1061">
        <v>5526.0881837713077</v>
      </c>
      <c r="P28" s="1061">
        <v>4776.0334943539983</v>
      </c>
      <c r="Q28" s="1061">
        <v>16119.2</v>
      </c>
      <c r="R28" s="1061">
        <v>38262.870999999999</v>
      </c>
      <c r="S28" s="1061">
        <v>69290.638999999996</v>
      </c>
      <c r="T28" s="1061">
        <v>92639.782000000007</v>
      </c>
      <c r="U28" s="1061">
        <v>96951.620999999999</v>
      </c>
      <c r="V28" s="1061">
        <v>85074.400999999998</v>
      </c>
      <c r="W28" s="1061">
        <v>119522.014</v>
      </c>
      <c r="X28" s="1061">
        <v>138424.79800000001</v>
      </c>
      <c r="Y28" s="1061">
        <v>177943.448</v>
      </c>
      <c r="Z28" s="1061">
        <v>233712.66800000001</v>
      </c>
      <c r="AA28" s="1061">
        <v>225417.55</v>
      </c>
      <c r="AB28" s="1061">
        <v>161861.31599999999</v>
      </c>
      <c r="AC28" s="1061">
        <v>167830.59400000001</v>
      </c>
      <c r="AD28" s="1061">
        <v>227042.02299999999</v>
      </c>
      <c r="AE28" s="1061">
        <v>279065.38799999998</v>
      </c>
      <c r="AF28" s="1061">
        <v>227854.71599999999</v>
      </c>
      <c r="AG28" s="1061">
        <v>327124.28200000001</v>
      </c>
      <c r="AH28" s="1061">
        <f t="shared" si="8"/>
        <v>99269.566000000021</v>
      </c>
      <c r="AI28" s="1061">
        <f t="shared" si="9"/>
        <v>43.56704471282481</v>
      </c>
      <c r="AK28" s="10"/>
      <c r="AL28" s="10"/>
    </row>
    <row r="29" spans="1:38" ht="24" customHeight="1">
      <c r="A29" s="1060">
        <v>21</v>
      </c>
      <c r="B29" s="943" t="s">
        <v>12</v>
      </c>
      <c r="C29" s="1061">
        <v>8.8604075977429826</v>
      </c>
      <c r="D29" s="1061">
        <v>12.412736911123812</v>
      </c>
      <c r="E29" s="1061">
        <v>13.249780025196305</v>
      </c>
      <c r="F29" s="1061">
        <v>16.985850509958901</v>
      </c>
      <c r="G29" s="1061">
        <v>26.009583593374561</v>
      </c>
      <c r="H29" s="1061">
        <v>82.328294190457029</v>
      </c>
      <c r="I29" s="1061">
        <v>145.75778812001388</v>
      </c>
      <c r="J29" s="1061">
        <v>201.55998186865651</v>
      </c>
      <c r="K29" s="1061">
        <v>288.05307594376694</v>
      </c>
      <c r="L29" s="1061">
        <v>395.28754704541848</v>
      </c>
      <c r="M29" s="1061">
        <v>642.68927083456481</v>
      </c>
      <c r="N29" s="1061">
        <v>829.27089897962651</v>
      </c>
      <c r="O29" s="1061">
        <v>1485.9552665725068</v>
      </c>
      <c r="P29" s="1061">
        <v>1284.2668969894453</v>
      </c>
      <c r="Q29" s="1061">
        <v>3623.9</v>
      </c>
      <c r="R29" s="1061">
        <v>10288.74</v>
      </c>
      <c r="S29" s="1061">
        <v>31649.922999999999</v>
      </c>
      <c r="T29" s="1061">
        <v>51552.425000000003</v>
      </c>
      <c r="U29" s="1061">
        <v>58155.366000000002</v>
      </c>
      <c r="V29" s="1061">
        <v>53805.258000000002</v>
      </c>
      <c r="W29" s="1061">
        <v>66670.343999999997</v>
      </c>
      <c r="X29" s="1061">
        <v>75807.968999999997</v>
      </c>
      <c r="Y29" s="1061">
        <v>103082.71</v>
      </c>
      <c r="Z29" s="1061">
        <v>126954.428</v>
      </c>
      <c r="AA29" s="1061">
        <v>116842.827</v>
      </c>
      <c r="AB29" s="1061">
        <v>92872.89</v>
      </c>
      <c r="AC29" s="1061">
        <v>100878.466</v>
      </c>
      <c r="AD29" s="1061">
        <v>112419.84600000001</v>
      </c>
      <c r="AE29" s="1061">
        <v>138791.41200000001</v>
      </c>
      <c r="AF29" s="1061">
        <v>145404.166</v>
      </c>
      <c r="AG29" s="1061">
        <v>236630.166</v>
      </c>
      <c r="AH29" s="1061">
        <f t="shared" si="8"/>
        <v>91226</v>
      </c>
      <c r="AI29" s="1061">
        <f t="shared" si="9"/>
        <v>62.739605411305746</v>
      </c>
      <c r="AK29" s="10"/>
      <c r="AL29" s="10"/>
    </row>
    <row r="30" spans="1:38" ht="24" customHeight="1">
      <c r="A30" s="1060">
        <v>22</v>
      </c>
      <c r="B30" s="943" t="s">
        <v>17</v>
      </c>
      <c r="C30" s="1061">
        <v>12.068560833084383</v>
      </c>
      <c r="D30" s="1061">
        <v>16.907108263860149</v>
      </c>
      <c r="E30" s="1061">
        <v>18.047225761916511</v>
      </c>
      <c r="F30" s="1061">
        <v>23.136042887387575</v>
      </c>
      <c r="G30" s="1061">
        <v>35.427065671312221</v>
      </c>
      <c r="H30" s="1061">
        <v>112.13750786980665</v>
      </c>
      <c r="I30" s="1061">
        <v>198.53338725300912</v>
      </c>
      <c r="J30" s="1061">
        <v>274.5402935319712</v>
      </c>
      <c r="K30" s="1061">
        <v>392.35058114820464</v>
      </c>
      <c r="L30" s="1061">
        <v>538.41222939828901</v>
      </c>
      <c r="M30" s="1061">
        <v>875.39252300462647</v>
      </c>
      <c r="N30" s="1061">
        <v>1129.531139627433</v>
      </c>
      <c r="O30" s="1061">
        <v>2023.9860674626973</v>
      </c>
      <c r="P30" s="1061">
        <v>1749.2708999280997</v>
      </c>
      <c r="Q30" s="1061">
        <v>1279.5999999999999</v>
      </c>
      <c r="R30" s="1061">
        <v>2626.5219999999999</v>
      </c>
      <c r="S30" s="1061">
        <v>7784.3249999999998</v>
      </c>
      <c r="T30" s="1061">
        <v>18964.841</v>
      </c>
      <c r="U30" s="1061">
        <v>19491.938999999998</v>
      </c>
      <c r="V30" s="1061">
        <v>21292.885999999999</v>
      </c>
      <c r="W30" s="1061">
        <v>30284.485000000001</v>
      </c>
      <c r="X30" s="1061">
        <v>42555.915000000001</v>
      </c>
      <c r="Y30" s="1061">
        <v>64533.716</v>
      </c>
      <c r="Z30" s="1061">
        <v>92160.376000000004</v>
      </c>
      <c r="AA30" s="1061">
        <v>80374.826000000001</v>
      </c>
      <c r="AB30" s="1061">
        <v>63820.982000000004</v>
      </c>
      <c r="AC30" s="1061">
        <v>73847.907999999996</v>
      </c>
      <c r="AD30" s="1061">
        <v>82317.448000000004</v>
      </c>
      <c r="AE30" s="1061">
        <v>99750.126000000004</v>
      </c>
      <c r="AF30" s="1061">
        <v>98643.788</v>
      </c>
      <c r="AG30" s="1061">
        <v>151616.26800000001</v>
      </c>
      <c r="AH30" s="1061">
        <f t="shared" si="8"/>
        <v>52972.48000000001</v>
      </c>
      <c r="AI30" s="1061">
        <f t="shared" si="9"/>
        <v>53.700776373267416</v>
      </c>
      <c r="AK30" s="10"/>
      <c r="AL30" s="10"/>
    </row>
    <row r="31" spans="1:38" ht="24" customHeight="1">
      <c r="A31" s="1060">
        <v>23</v>
      </c>
      <c r="B31" s="943" t="s">
        <v>18</v>
      </c>
      <c r="C31" s="1061">
        <v>30.946158771367333</v>
      </c>
      <c r="D31" s="1061">
        <v>43.353144085233502</v>
      </c>
      <c r="E31" s="1061">
        <v>46.276629130454843</v>
      </c>
      <c r="F31" s="1061">
        <v>59.325355064003745</v>
      </c>
      <c r="G31" s="1061">
        <v>90.841949941755715</v>
      </c>
      <c r="H31" s="1061">
        <v>287.54258032584312</v>
      </c>
      <c r="I31" s="1061">
        <v>509.07857269165225</v>
      </c>
      <c r="J31" s="1061">
        <v>703.97519888929821</v>
      </c>
      <c r="K31" s="1061">
        <v>1006.0638999279498</v>
      </c>
      <c r="L31" s="1061">
        <v>1380.5946347578729</v>
      </c>
      <c r="M31" s="1061">
        <v>2244.6782494483687</v>
      </c>
      <c r="N31" s="1061">
        <v>2896.3395443382465</v>
      </c>
      <c r="O31" s="1061">
        <v>5189.8975413067865</v>
      </c>
      <c r="P31" s="1061">
        <v>4485.4739311508001</v>
      </c>
      <c r="Q31" s="1061">
        <v>1307.5999999999999</v>
      </c>
      <c r="R31" s="1061">
        <v>8201.2999999999993</v>
      </c>
      <c r="S31" s="1061">
        <v>17185.938999999998</v>
      </c>
      <c r="T31" s="1061">
        <v>38438.54</v>
      </c>
      <c r="U31" s="1061">
        <v>60132.26</v>
      </c>
      <c r="V31" s="1061">
        <v>70681.732000000004</v>
      </c>
      <c r="W31" s="1061">
        <v>113095.274</v>
      </c>
      <c r="X31" s="1061">
        <v>155841.49457000007</v>
      </c>
      <c r="Y31" s="1061">
        <v>249683.98800000001</v>
      </c>
      <c r="Z31" s="1061">
        <v>293137.53600000002</v>
      </c>
      <c r="AA31" s="1061">
        <v>268744.56699999998</v>
      </c>
      <c r="AB31" s="1061">
        <v>207282.17300000001</v>
      </c>
      <c r="AC31" s="1061">
        <v>219583.06099999999</v>
      </c>
      <c r="AD31" s="1061">
        <v>276165.97499999998</v>
      </c>
      <c r="AE31" s="1061">
        <v>349718.41100000002</v>
      </c>
      <c r="AF31" s="1061">
        <v>285618.598</v>
      </c>
      <c r="AG31" s="1061">
        <v>434595.29300000001</v>
      </c>
      <c r="AH31" s="1061">
        <f t="shared" si="8"/>
        <v>148976.69500000001</v>
      </c>
      <c r="AI31" s="1061">
        <f t="shared" si="9"/>
        <v>52.15931176862648</v>
      </c>
      <c r="AK31" s="10"/>
      <c r="AL31" s="10"/>
    </row>
    <row r="32" spans="1:38" ht="24" customHeight="1">
      <c r="A32" s="1060">
        <v>24</v>
      </c>
      <c r="B32" s="943" t="s">
        <v>488</v>
      </c>
      <c r="C32" s="1061">
        <v>4.3948474339828349</v>
      </c>
      <c r="D32" s="1061">
        <v>6.1568369582063687</v>
      </c>
      <c r="E32" s="1061">
        <v>6.5720183978222577</v>
      </c>
      <c r="F32" s="1061">
        <v>8.4251453112297678</v>
      </c>
      <c r="G32" s="1061">
        <v>12.901003757820579</v>
      </c>
      <c r="H32" s="1061">
        <v>40.835626180366773</v>
      </c>
      <c r="I32" s="1061">
        <v>72.297265564332832</v>
      </c>
      <c r="J32" s="1061">
        <v>99.975690659506299</v>
      </c>
      <c r="K32" s="1061">
        <v>142.87709766137652</v>
      </c>
      <c r="L32" s="1061">
        <v>196.06642726689594</v>
      </c>
      <c r="M32" s="1061">
        <v>318.7800630633605</v>
      </c>
      <c r="N32" s="1061">
        <v>411.32634613622304</v>
      </c>
      <c r="O32" s="1061">
        <v>737.0481118693674</v>
      </c>
      <c r="P32" s="1061">
        <v>637.00873966801498</v>
      </c>
      <c r="Q32" s="1061">
        <v>527.1</v>
      </c>
      <c r="R32" s="1061">
        <v>2801.5149999999999</v>
      </c>
      <c r="S32" s="1061">
        <v>6368.7619999999997</v>
      </c>
      <c r="T32" s="1061">
        <v>10518.376</v>
      </c>
      <c r="U32" s="1061">
        <v>15519.052</v>
      </c>
      <c r="V32" s="1061">
        <v>21027.942999999999</v>
      </c>
      <c r="W32" s="1061">
        <v>31524.724999999999</v>
      </c>
      <c r="X32" s="1061">
        <v>50546.614430000009</v>
      </c>
      <c r="Y32" s="1061">
        <v>83662.849000000002</v>
      </c>
      <c r="Z32" s="1061">
        <v>113572.789</v>
      </c>
      <c r="AA32" s="1061">
        <v>95256.936000000002</v>
      </c>
      <c r="AB32" s="1061">
        <v>32109.826000000001</v>
      </c>
      <c r="AC32" s="1061">
        <v>41839.775909999997</v>
      </c>
      <c r="AD32" s="1061">
        <v>57774.11</v>
      </c>
      <c r="AE32" s="1061">
        <v>71161.263999999996</v>
      </c>
      <c r="AF32" s="1061">
        <v>79668.737999999998</v>
      </c>
      <c r="AG32" s="1061">
        <v>121671.361</v>
      </c>
      <c r="AH32" s="1061">
        <f t="shared" si="8"/>
        <v>42002.623000000007</v>
      </c>
      <c r="AI32" s="1061">
        <f t="shared" si="9"/>
        <v>52.721586979324314</v>
      </c>
      <c r="AK32" s="10"/>
      <c r="AL32" s="10"/>
    </row>
    <row r="33" spans="1:38" ht="24" customHeight="1">
      <c r="A33" s="1060">
        <v>25</v>
      </c>
      <c r="B33" s="943" t="s">
        <v>20</v>
      </c>
      <c r="C33" s="1061">
        <v>22.191277785698027</v>
      </c>
      <c r="D33" s="1061">
        <v>31.088241690563137</v>
      </c>
      <c r="E33" s="1061">
        <v>33.184652725617561</v>
      </c>
      <c r="F33" s="1061">
        <v>42.54180441866535</v>
      </c>
      <c r="G33" s="1061">
        <v>65.142138016081304</v>
      </c>
      <c r="H33" s="1061">
        <v>206.1948082917186</v>
      </c>
      <c r="I33" s="1061">
        <v>365.05674597002553</v>
      </c>
      <c r="J33" s="1061">
        <v>504.81577724110485</v>
      </c>
      <c r="K33" s="1061">
        <v>721.44150873163085</v>
      </c>
      <c r="L33" s="1061">
        <v>990.01492481525815</v>
      </c>
      <c r="M33" s="1061">
        <v>1609.6433467248773</v>
      </c>
      <c r="N33" s="1061">
        <v>2076.9451829213958</v>
      </c>
      <c r="O33" s="1061">
        <v>3721.6398606799171</v>
      </c>
      <c r="P33" s="1061">
        <v>3216.5025308010581</v>
      </c>
      <c r="Q33" s="1061">
        <v>1062.5999999999999</v>
      </c>
      <c r="R33" s="1061">
        <v>3951.7689999999998</v>
      </c>
      <c r="S33" s="1061">
        <v>10770.054</v>
      </c>
      <c r="T33" s="1061">
        <v>18739.418000000001</v>
      </c>
      <c r="U33" s="1061">
        <v>21674.415000000001</v>
      </c>
      <c r="V33" s="1061">
        <v>20595.974999999999</v>
      </c>
      <c r="W33" s="1061">
        <v>32805.873</v>
      </c>
      <c r="X33" s="1061">
        <v>50461.843999999997</v>
      </c>
      <c r="Y33" s="1061">
        <v>66283.149000000005</v>
      </c>
      <c r="Z33" s="1061">
        <v>93472.111999999994</v>
      </c>
      <c r="AA33" s="1061">
        <v>100986.04</v>
      </c>
      <c r="AB33" s="1061">
        <v>50326.097999999998</v>
      </c>
      <c r="AC33" s="1061">
        <v>43539.192000000003</v>
      </c>
      <c r="AD33" s="1061">
        <v>53718.663999999997</v>
      </c>
      <c r="AE33" s="1061">
        <v>73361.611999999994</v>
      </c>
      <c r="AF33" s="1061">
        <v>72993.614000000001</v>
      </c>
      <c r="AG33" s="1061">
        <v>112173.985</v>
      </c>
      <c r="AH33" s="1061">
        <f t="shared" si="8"/>
        <v>39180.370999999999</v>
      </c>
      <c r="AI33" s="1061">
        <f t="shared" si="9"/>
        <v>53.676436681159544</v>
      </c>
      <c r="AK33" s="10"/>
      <c r="AL33" s="10"/>
    </row>
    <row r="34" spans="1:38" ht="24" customHeight="1">
      <c r="A34" s="1060">
        <v>26</v>
      </c>
      <c r="B34" s="943" t="s">
        <v>486</v>
      </c>
      <c r="C34" s="1061">
        <v>3.0488271074025843</v>
      </c>
      <c r="D34" s="1061">
        <v>4.2711679292644504</v>
      </c>
      <c r="E34" s="1061">
        <v>4.559190766599718</v>
      </c>
      <c r="F34" s="1061">
        <v>5.844756113730301</v>
      </c>
      <c r="G34" s="1061">
        <v>8.9497827991495225</v>
      </c>
      <c r="H34" s="1061">
        <v>28.328802288736547</v>
      </c>
      <c r="I34" s="1061">
        <v>50.154610906222935</v>
      </c>
      <c r="J34" s="1061">
        <v>69.355899230332341</v>
      </c>
      <c r="K34" s="1061">
        <v>99.117790758493143</v>
      </c>
      <c r="L34" s="1061">
        <v>136.01669848210349</v>
      </c>
      <c r="M34" s="1061">
        <v>221.14653856966515</v>
      </c>
      <c r="N34" s="1061">
        <v>285.34845246094915</v>
      </c>
      <c r="O34" s="1061">
        <v>511.31064199212807</v>
      </c>
      <c r="P34" s="1061">
        <v>441.91056511651044</v>
      </c>
      <c r="Q34" s="1061">
        <v>2053.6009555431028</v>
      </c>
      <c r="R34" s="1061">
        <v>3562.08</v>
      </c>
      <c r="S34" s="1061">
        <v>3724.614</v>
      </c>
      <c r="T34" s="1061">
        <v>5994.4539999999997</v>
      </c>
      <c r="U34" s="1061">
        <v>5598.4120000000003</v>
      </c>
      <c r="V34" s="1061">
        <v>9624.7919999999995</v>
      </c>
      <c r="W34" s="1061">
        <v>12803.364</v>
      </c>
      <c r="X34" s="1061">
        <v>15735.356</v>
      </c>
      <c r="Y34" s="1061">
        <v>23174.407999999999</v>
      </c>
      <c r="Z34" s="1061">
        <v>23808.288</v>
      </c>
      <c r="AA34" s="1061">
        <v>25124.855</v>
      </c>
      <c r="AB34" s="1061">
        <v>16510.294000000002</v>
      </c>
      <c r="AC34" s="1061">
        <v>19004.094000000001</v>
      </c>
      <c r="AD34" s="1061">
        <v>29794.627</v>
      </c>
      <c r="AE34" s="1061">
        <v>46715.589</v>
      </c>
      <c r="AF34" s="1061">
        <v>25447.5</v>
      </c>
      <c r="AG34" s="1061">
        <v>42886.089</v>
      </c>
      <c r="AH34" s="1061">
        <f t="shared" si="8"/>
        <v>17438.589</v>
      </c>
      <c r="AI34" s="1061">
        <f t="shared" si="9"/>
        <v>68.527709991158275</v>
      </c>
      <c r="AK34" s="10"/>
      <c r="AL34" s="10"/>
    </row>
    <row r="35" spans="1:38" ht="24" customHeight="1">
      <c r="A35" s="1060">
        <v>27</v>
      </c>
      <c r="B35" s="943" t="s">
        <v>10</v>
      </c>
      <c r="C35" s="1061">
        <v>19.68757571345585</v>
      </c>
      <c r="D35" s="1061">
        <v>27.580751229910504</v>
      </c>
      <c r="E35" s="1061">
        <v>29.440637414822234</v>
      </c>
      <c r="F35" s="1061">
        <v>37.742080630403848</v>
      </c>
      <c r="G35" s="1061">
        <v>57.792560965305881</v>
      </c>
      <c r="H35" s="1061">
        <v>182.93114705548862</v>
      </c>
      <c r="I35" s="1061">
        <v>323.86969310188493</v>
      </c>
      <c r="J35" s="1061">
        <v>447.86059332674404</v>
      </c>
      <c r="K35" s="1061">
        <v>640.04580822911066</v>
      </c>
      <c r="L35" s="1061">
        <v>878.31777773127465</v>
      </c>
      <c r="M35" s="1061">
        <v>1428.0374283237643</v>
      </c>
      <c r="N35" s="1061">
        <v>1842.6165422441534</v>
      </c>
      <c r="O35" s="1061">
        <v>3301.7506807369468</v>
      </c>
      <c r="P35" s="1061">
        <v>2853.6048135308533</v>
      </c>
      <c r="Q35" s="1061">
        <v>3782.9</v>
      </c>
      <c r="R35" s="1061">
        <v>8309.1569999999992</v>
      </c>
      <c r="S35" s="1061">
        <v>12310.3</v>
      </c>
      <c r="T35" s="1061">
        <v>28850.483</v>
      </c>
      <c r="U35" s="1061">
        <v>28478.859</v>
      </c>
      <c r="V35" s="1061">
        <v>33672.031000000003</v>
      </c>
      <c r="W35" s="1061">
        <v>50758.46</v>
      </c>
      <c r="X35" s="1061">
        <v>83200.664999999994</v>
      </c>
      <c r="Y35" s="1061">
        <v>115030.374</v>
      </c>
      <c r="Z35" s="1061">
        <v>146766.29</v>
      </c>
      <c r="AA35" s="1061">
        <v>123392.14200000001</v>
      </c>
      <c r="AB35" s="1061">
        <v>92343.176000000007</v>
      </c>
      <c r="AC35" s="1061">
        <v>101126.68799999999</v>
      </c>
      <c r="AD35" s="1061">
        <v>119071.66899999999</v>
      </c>
      <c r="AE35" s="1061">
        <v>151505.617</v>
      </c>
      <c r="AF35" s="1064">
        <v>122819.43399999999</v>
      </c>
      <c r="AG35" s="1061">
        <v>183303.13099999999</v>
      </c>
      <c r="AH35" s="1061">
        <f t="shared" si="8"/>
        <v>60483.697</v>
      </c>
      <c r="AI35" s="1061">
        <f t="shared" si="9"/>
        <v>49.246031373178283</v>
      </c>
      <c r="AK35" s="10"/>
      <c r="AL35" s="10"/>
    </row>
    <row r="36" spans="1:38" ht="24" customHeight="1">
      <c r="A36" s="1060">
        <v>28</v>
      </c>
      <c r="B36" s="943" t="s">
        <v>11</v>
      </c>
      <c r="C36" s="1061">
        <v>25.426727244025034</v>
      </c>
      <c r="D36" s="1061">
        <v>35.62085291328853</v>
      </c>
      <c r="E36" s="1061">
        <v>38.022917007770161</v>
      </c>
      <c r="F36" s="1061">
        <v>48.744325039236941</v>
      </c>
      <c r="G36" s="1061">
        <v>74.639747716331556</v>
      </c>
      <c r="H36" s="1061">
        <v>236.25765042455149</v>
      </c>
      <c r="I36" s="1061">
        <v>418.28138055003865</v>
      </c>
      <c r="J36" s="1061">
        <v>578.41703395117599</v>
      </c>
      <c r="K36" s="1061">
        <v>826.62641791900182</v>
      </c>
      <c r="L36" s="1061">
        <v>1134.3573679662136</v>
      </c>
      <c r="M36" s="1061">
        <v>1844.3265292145807</v>
      </c>
      <c r="N36" s="1061">
        <v>2379.7601551799453</v>
      </c>
      <c r="O36" s="1061">
        <v>4264.2484381402655</v>
      </c>
      <c r="P36" s="1061">
        <v>3685.4629697395844</v>
      </c>
      <c r="Q36" s="1061">
        <v>5269.6</v>
      </c>
      <c r="R36" s="1061">
        <v>3141.723</v>
      </c>
      <c r="S36" s="1061">
        <v>9893.6440000000002</v>
      </c>
      <c r="T36" s="1061">
        <v>17051.345000000001</v>
      </c>
      <c r="U36" s="1061">
        <v>17222.166000000001</v>
      </c>
      <c r="V36" s="1061">
        <v>18717.805</v>
      </c>
      <c r="W36" s="1061">
        <v>30339.868999999999</v>
      </c>
      <c r="X36" s="1061">
        <v>47186.207999999999</v>
      </c>
      <c r="Y36" s="1061">
        <v>66459.600999999995</v>
      </c>
      <c r="Z36" s="1061">
        <v>91571.161999999997</v>
      </c>
      <c r="AA36" s="1061">
        <v>70230.264999999999</v>
      </c>
      <c r="AB36" s="1061">
        <v>41609.898999999998</v>
      </c>
      <c r="AC36" s="1061">
        <v>41098.61</v>
      </c>
      <c r="AD36" s="1061">
        <v>46935.99</v>
      </c>
      <c r="AE36" s="1061">
        <v>63729.258999999998</v>
      </c>
      <c r="AF36" s="1069">
        <v>70021.857999999993</v>
      </c>
      <c r="AG36" s="1061">
        <v>107547.421</v>
      </c>
      <c r="AH36" s="1061">
        <f t="shared" si="8"/>
        <v>37525.563000000009</v>
      </c>
      <c r="AI36" s="1061">
        <f t="shared" si="9"/>
        <v>53.591212903833565</v>
      </c>
      <c r="AK36" s="10"/>
      <c r="AL36" s="10"/>
    </row>
    <row r="37" spans="1:38" ht="24" customHeight="1">
      <c r="A37" s="1060">
        <v>29</v>
      </c>
      <c r="B37" s="943" t="s">
        <v>13</v>
      </c>
      <c r="C37" s="1061">
        <v>20.90980394463719</v>
      </c>
      <c r="D37" s="1061">
        <v>29.292997231196804</v>
      </c>
      <c r="E37" s="1061">
        <v>31.268347373432118</v>
      </c>
      <c r="F37" s="1061">
        <v>40.085154105848254</v>
      </c>
      <c r="G37" s="1061">
        <v>61.380392224580142</v>
      </c>
      <c r="H37" s="1061">
        <v>194.28773130678326</v>
      </c>
      <c r="I37" s="1061">
        <v>343.97591074363419</v>
      </c>
      <c r="J37" s="1061">
        <v>475.66431425026292</v>
      </c>
      <c r="K37" s="1061">
        <v>679.78061699646094</v>
      </c>
      <c r="L37" s="1061">
        <v>932.84479515160206</v>
      </c>
      <c r="M37" s="1061">
        <v>1516.6916986861627</v>
      </c>
      <c r="N37" s="1061">
        <v>1957.0083795099936</v>
      </c>
      <c r="O37" s="1061">
        <v>3506.7273092997402</v>
      </c>
      <c r="P37" s="1061">
        <v>3030.7600110267335</v>
      </c>
      <c r="Q37" s="1061">
        <v>1740.8</v>
      </c>
      <c r="R37" s="1061">
        <v>7975.4709999999995</v>
      </c>
      <c r="S37" s="1061">
        <v>14415.045</v>
      </c>
      <c r="T37" s="1061">
        <v>23045.885999999999</v>
      </c>
      <c r="U37" s="1061">
        <v>27062.883999999998</v>
      </c>
      <c r="V37" s="1061">
        <v>27967.581999999999</v>
      </c>
      <c r="W37" s="1061">
        <v>38797.148999999998</v>
      </c>
      <c r="X37" s="1061">
        <v>61568.290999999997</v>
      </c>
      <c r="Y37" s="1061">
        <v>84065.123000000007</v>
      </c>
      <c r="Z37" s="1061">
        <v>126233.63400000001</v>
      </c>
      <c r="AA37" s="1061">
        <v>132330.304</v>
      </c>
      <c r="AB37" s="1061">
        <v>78101.73</v>
      </c>
      <c r="AC37" s="1061">
        <v>87050.316000000006</v>
      </c>
      <c r="AD37" s="1061">
        <v>106675.136</v>
      </c>
      <c r="AE37" s="1061">
        <v>131391.95600000001</v>
      </c>
      <c r="AF37" s="1061">
        <v>135677.02499999999</v>
      </c>
      <c r="AG37" s="1061">
        <v>203728.95800000001</v>
      </c>
      <c r="AH37" s="1061">
        <f t="shared" si="8"/>
        <v>68051.933000000019</v>
      </c>
      <c r="AI37" s="1061">
        <f t="shared" si="9"/>
        <v>50.157300397764487</v>
      </c>
      <c r="AK37" s="10"/>
      <c r="AL37" s="10"/>
    </row>
    <row r="38" spans="1:38" ht="24" customHeight="1">
      <c r="A38" s="1060">
        <v>30</v>
      </c>
      <c r="B38" s="943" t="s">
        <v>14</v>
      </c>
      <c r="C38" s="1061">
        <v>27.206031935282354</v>
      </c>
      <c r="D38" s="1061">
        <v>38.113519393206616</v>
      </c>
      <c r="E38" s="1061">
        <v>40.68367448386693</v>
      </c>
      <c r="F38" s="1061">
        <v>52.155342327545895</v>
      </c>
      <c r="G38" s="1061">
        <v>79.862867939054652</v>
      </c>
      <c r="H38" s="1061">
        <v>252.79042484382401</v>
      </c>
      <c r="I38" s="1061">
        <v>447.55176267730036</v>
      </c>
      <c r="J38" s="1061">
        <v>618.89334583100367</v>
      </c>
      <c r="K38" s="1061">
        <v>884.47185941860096</v>
      </c>
      <c r="L38" s="1061">
        <v>1213.7371232533937</v>
      </c>
      <c r="M38" s="1061">
        <v>1973.388315819971</v>
      </c>
      <c r="N38" s="1061">
        <v>2546.290372283443</v>
      </c>
      <c r="O38" s="1061">
        <v>4562.6508702681595</v>
      </c>
      <c r="P38" s="1061">
        <v>3943.3633077806785</v>
      </c>
      <c r="Q38" s="1061">
        <v>3237.5</v>
      </c>
      <c r="R38" s="1061">
        <v>9544.4259999999995</v>
      </c>
      <c r="S38" s="1061">
        <v>17866.521000000001</v>
      </c>
      <c r="T38" s="1061">
        <v>24512.659</v>
      </c>
      <c r="U38" s="1061">
        <v>28984.023000000001</v>
      </c>
      <c r="V38" s="1061">
        <v>29843.152999999998</v>
      </c>
      <c r="W38" s="1061">
        <v>42958.712</v>
      </c>
      <c r="X38" s="1061">
        <v>63110.421999999999</v>
      </c>
      <c r="Y38" s="1061">
        <v>94089.502999999997</v>
      </c>
      <c r="Z38" s="1061">
        <v>129375.00599999999</v>
      </c>
      <c r="AA38" s="1061">
        <v>126679.989</v>
      </c>
      <c r="AB38" s="1061">
        <v>95929.483999999997</v>
      </c>
      <c r="AC38" s="1061">
        <v>106547.886</v>
      </c>
      <c r="AD38" s="1061">
        <v>137916.147</v>
      </c>
      <c r="AE38" s="1061">
        <v>169299.21299999999</v>
      </c>
      <c r="AF38" s="1061">
        <v>155374.18700000001</v>
      </c>
      <c r="AG38" s="1061">
        <v>227074.212</v>
      </c>
      <c r="AH38" s="1061">
        <f t="shared" si="8"/>
        <v>71700.024999999994</v>
      </c>
      <c r="AI38" s="1061">
        <f t="shared" si="9"/>
        <v>46.146677504417113</v>
      </c>
      <c r="AK38" s="10"/>
      <c r="AL38" s="10"/>
    </row>
    <row r="39" spans="1:38" ht="24" customHeight="1">
      <c r="A39" s="1060">
        <v>31</v>
      </c>
      <c r="B39" s="943" t="s">
        <v>487</v>
      </c>
      <c r="C39" s="1064">
        <v>6.8153995013254054</v>
      </c>
      <c r="D39" s="1064">
        <v>9.5478407760503377</v>
      </c>
      <c r="E39" s="1064">
        <v>10.191691881014258</v>
      </c>
      <c r="F39" s="1064">
        <v>13.065466325121516</v>
      </c>
      <c r="G39" s="1064">
        <v>20.00649531034232</v>
      </c>
      <c r="H39" s="1064">
        <v>63.326682094573336</v>
      </c>
      <c r="I39" s="1064">
        <v>112.1164625339003</v>
      </c>
      <c r="J39" s="1064">
        <v>155.03934607531212</v>
      </c>
      <c r="K39" s="1064">
        <v>221.56958000921813</v>
      </c>
      <c r="L39" s="1064">
        <v>304.05402023488659</v>
      </c>
      <c r="M39" s="1064">
        <v>494.35469955906416</v>
      </c>
      <c r="N39" s="1064">
        <v>637.87273994134398</v>
      </c>
      <c r="O39" s="1064">
        <v>1142.9924268235559</v>
      </c>
      <c r="P39" s="1064">
        <v>987.85432529539548</v>
      </c>
      <c r="Q39" s="1064">
        <v>4590.6541877521131</v>
      </c>
      <c r="R39" s="1064">
        <v>8311.44</v>
      </c>
      <c r="S39" s="1064">
        <v>13334.257</v>
      </c>
      <c r="T39" s="1064">
        <v>24176.513999999999</v>
      </c>
      <c r="U39" s="1064">
        <v>12158.554</v>
      </c>
      <c r="V39" s="1064">
        <v>18741.384999999998</v>
      </c>
      <c r="W39" s="1064">
        <v>20325.755000000001</v>
      </c>
      <c r="X39" s="1064">
        <v>22230.278999999999</v>
      </c>
      <c r="Y39" s="1064">
        <v>36678.207000000002</v>
      </c>
      <c r="Z39" s="1064">
        <v>57651.620999999999</v>
      </c>
      <c r="AA39" s="1064">
        <v>43131.841</v>
      </c>
      <c r="AB39" s="1061">
        <v>26670.067999999999</v>
      </c>
      <c r="AC39" s="1064">
        <v>31325.396000000001</v>
      </c>
      <c r="AD39" s="1064">
        <v>49703.313999999998</v>
      </c>
      <c r="AE39" s="1064">
        <v>60711.186000000002</v>
      </c>
      <c r="AF39" s="1064">
        <v>42909.203999999998</v>
      </c>
      <c r="AG39" s="1063">
        <v>70238.827000000005</v>
      </c>
      <c r="AH39" s="1061">
        <f t="shared" si="8"/>
        <v>27329.623000000007</v>
      </c>
      <c r="AI39" s="1061">
        <f t="shared" si="9"/>
        <v>63.691750142929749</v>
      </c>
      <c r="AK39" s="10"/>
      <c r="AL39" s="10"/>
    </row>
    <row r="40" spans="1:38" ht="24" customHeight="1">
      <c r="A40" s="1388" t="s">
        <v>116</v>
      </c>
      <c r="B40" s="1388"/>
      <c r="C40" s="1065">
        <v>375.05331077821211</v>
      </c>
      <c r="D40" s="1065">
        <v>525.4203063436704</v>
      </c>
      <c r="E40" s="1065">
        <v>560.85160989645078</v>
      </c>
      <c r="F40" s="1065">
        <v>718.99620868081217</v>
      </c>
      <c r="G40" s="1065">
        <v>1100.9629445424935</v>
      </c>
      <c r="H40" s="1065">
        <v>3484.8847489498112</v>
      </c>
      <c r="I40" s="1065">
        <v>6169.7997979286765</v>
      </c>
      <c r="J40" s="1065">
        <v>8531.8578955095236</v>
      </c>
      <c r="K40" s="1065">
        <v>12193.034984087803</v>
      </c>
      <c r="L40" s="1065">
        <v>16732.176436956161</v>
      </c>
      <c r="M40" s="1065">
        <v>27204.475208289463</v>
      </c>
      <c r="N40" s="1065">
        <v>35102.312479796048</v>
      </c>
      <c r="O40" s="1065">
        <v>62899.187903985825</v>
      </c>
      <c r="P40" s="1065">
        <v>54361.895468719558</v>
      </c>
      <c r="Q40" s="1065">
        <v>94357.353136165024</v>
      </c>
      <c r="R40" s="1065">
        <v>190508.19199999998</v>
      </c>
      <c r="S40" s="1065">
        <v>364945.446</v>
      </c>
      <c r="T40" s="1065">
        <v>569287.12</v>
      </c>
      <c r="U40" s="1065">
        <v>576199.31000000006</v>
      </c>
      <c r="V40" s="1065">
        <v>631750.45100000012</v>
      </c>
      <c r="W40" s="1065">
        <v>901558.58199999982</v>
      </c>
      <c r="X40" s="1065">
        <v>1204274.3390000004</v>
      </c>
      <c r="Y40" s="1065">
        <v>1716826.4639999999</v>
      </c>
      <c r="Z40" s="1065">
        <v>2240718.1639999999</v>
      </c>
      <c r="AA40" s="1065">
        <v>2022578.0959999999</v>
      </c>
      <c r="AB40" s="1065">
        <v>1426584.68</v>
      </c>
      <c r="AC40" s="1065">
        <v>1546139.3311400004</v>
      </c>
      <c r="AD40" s="1065">
        <v>1963101.4310000001</v>
      </c>
      <c r="AE40" s="1065">
        <v>2405941.7250000006</v>
      </c>
      <c r="AF40" s="1065">
        <v>2144150.6009999998</v>
      </c>
      <c r="AG40" s="1065">
        <f>SUM(AG22:AG39)</f>
        <v>3259660.1130000004</v>
      </c>
      <c r="AH40" s="1065">
        <f>+AG40-AF40</f>
        <v>1115509.5120000006</v>
      </c>
      <c r="AI40" s="1065">
        <f>+AG40/AF40*100-100</f>
        <v>52.0257071252245</v>
      </c>
      <c r="AK40" s="10"/>
      <c r="AL40" s="10"/>
    </row>
    <row r="41" spans="1:38" ht="24" customHeight="1">
      <c r="A41" s="1058">
        <v>32</v>
      </c>
      <c r="B41" s="943" t="s">
        <v>503</v>
      </c>
      <c r="C41" s="1059">
        <v>70.931834250269489</v>
      </c>
      <c r="D41" s="1059">
        <v>99.369942912819937</v>
      </c>
      <c r="E41" s="1059">
        <v>106.07087656319102</v>
      </c>
      <c r="F41" s="1059">
        <v>135.97992188070097</v>
      </c>
      <c r="G41" s="1059">
        <v>208.21925537982332</v>
      </c>
      <c r="H41" s="1059">
        <v>659.07768386552243</v>
      </c>
      <c r="I41" s="1059">
        <v>1166.8613608981545</v>
      </c>
      <c r="J41" s="1059">
        <v>1613.5848230093561</v>
      </c>
      <c r="K41" s="1059">
        <v>2306.0037377206272</v>
      </c>
      <c r="L41" s="1059">
        <v>3164.467374544201</v>
      </c>
      <c r="M41" s="1059">
        <v>5145.0374410401109</v>
      </c>
      <c r="N41" s="1059">
        <v>6638.7133217188048</v>
      </c>
      <c r="O41" s="1059">
        <v>11895.788259073443</v>
      </c>
      <c r="P41" s="1059">
        <v>10281.175630517051</v>
      </c>
      <c r="Q41" s="1059">
        <v>23770.799999999999</v>
      </c>
      <c r="R41" s="1059">
        <v>20769.088</v>
      </c>
      <c r="S41" s="1059">
        <v>47950.89</v>
      </c>
      <c r="T41" s="1059">
        <v>63717.315000000002</v>
      </c>
      <c r="U41" s="1059">
        <v>41118.828000000001</v>
      </c>
      <c r="V41" s="1059">
        <v>40876.085659999968</v>
      </c>
      <c r="W41" s="1059">
        <v>51853.131999999991</v>
      </c>
      <c r="X41" s="1059">
        <v>76685.285000000003</v>
      </c>
      <c r="Y41" s="1059">
        <v>122487.64630712583</v>
      </c>
      <c r="Z41" s="1059">
        <v>199595.99799999999</v>
      </c>
      <c r="AA41" s="1059">
        <v>165679.364</v>
      </c>
      <c r="AB41" s="1061">
        <v>111265.058</v>
      </c>
      <c r="AC41" s="1069">
        <v>111847.19614000016</v>
      </c>
      <c r="AD41" s="1069">
        <v>136516.30428666668</v>
      </c>
      <c r="AE41" s="1069">
        <v>180803.59750999991</v>
      </c>
      <c r="AF41" s="1069">
        <v>197545.87</v>
      </c>
      <c r="AG41" s="1059">
        <v>269188.288</v>
      </c>
      <c r="AH41" s="1061">
        <f t="shared" ref="AH41:AH42" si="10">+AG41-AF41</f>
        <v>71642.418000000005</v>
      </c>
      <c r="AI41" s="1061">
        <f t="shared" ref="AI41:AI42" si="11">+AG41/AF41*100-100</f>
        <v>36.266219081168344</v>
      </c>
      <c r="AK41" s="10"/>
      <c r="AL41" s="10"/>
    </row>
    <row r="42" spans="1:38" ht="24" customHeight="1">
      <c r="A42" s="1060">
        <v>33</v>
      </c>
      <c r="B42" s="943" t="s">
        <v>31</v>
      </c>
      <c r="C42" s="1061">
        <v>10.078010117101734</v>
      </c>
      <c r="D42" s="1061">
        <v>14.118502652529617</v>
      </c>
      <c r="E42" s="1061">
        <v>15.070572732716649</v>
      </c>
      <c r="F42" s="1061">
        <v>19.320056261356317</v>
      </c>
      <c r="G42" s="1061">
        <v>29.583836150201858</v>
      </c>
      <c r="H42" s="1061">
        <v>93.6418976917614</v>
      </c>
      <c r="I42" s="1061">
        <v>165.78791067061712</v>
      </c>
      <c r="J42" s="1061">
        <v>229.25847530903684</v>
      </c>
      <c r="K42" s="1061">
        <v>327.63750218026541</v>
      </c>
      <c r="L42" s="1061">
        <v>449.60819853285625</v>
      </c>
      <c r="M42" s="1061">
        <v>731.00801539574525</v>
      </c>
      <c r="N42" s="1061">
        <v>943.22980264063835</v>
      </c>
      <c r="O42" s="1061">
        <v>1690.1561293741208</v>
      </c>
      <c r="P42" s="1061">
        <v>1460.7516232340624</v>
      </c>
      <c r="Q42" s="1061">
        <v>3842.7</v>
      </c>
      <c r="R42" s="1061">
        <v>3055.6219999999998</v>
      </c>
      <c r="S42" s="1061">
        <v>8690.5769999999993</v>
      </c>
      <c r="T42" s="1061">
        <v>17669.848000000002</v>
      </c>
      <c r="U42" s="1061">
        <v>14000.812</v>
      </c>
      <c r="V42" s="1061">
        <v>12135.677</v>
      </c>
      <c r="W42" s="1061">
        <v>20638.749</v>
      </c>
      <c r="X42" s="1061">
        <v>28044.562000000002</v>
      </c>
      <c r="Y42" s="1061">
        <v>45896.228999999999</v>
      </c>
      <c r="Z42" s="1061">
        <v>63124.061000000002</v>
      </c>
      <c r="AA42" s="1061">
        <v>48621.328999999998</v>
      </c>
      <c r="AB42" s="1061">
        <v>40698.786999999997</v>
      </c>
      <c r="AC42" s="1061">
        <v>47814.964</v>
      </c>
      <c r="AD42" s="1061">
        <v>63339.006000000001</v>
      </c>
      <c r="AE42" s="1061">
        <v>72097.785999999993</v>
      </c>
      <c r="AF42" s="1061">
        <v>95030.955000000002</v>
      </c>
      <c r="AG42" s="1061">
        <v>137499.62599999999</v>
      </c>
      <c r="AH42" s="1061">
        <f t="shared" si="10"/>
        <v>42468.670999999988</v>
      </c>
      <c r="AI42" s="1061">
        <f t="shared" si="11"/>
        <v>44.689302554099328</v>
      </c>
      <c r="AK42" s="10"/>
      <c r="AL42" s="10"/>
    </row>
    <row r="43" spans="1:38" ht="24" customHeight="1">
      <c r="A43" s="1060">
        <v>34</v>
      </c>
      <c r="B43" s="943" t="s">
        <v>440</v>
      </c>
      <c r="C43" s="1061">
        <v>2.2458172805850989</v>
      </c>
      <c r="D43" s="1061">
        <v>3.1462140704970971</v>
      </c>
      <c r="E43" s="1061">
        <v>3.3583765324878554</v>
      </c>
      <c r="F43" s="1061">
        <v>4.3053455701539223</v>
      </c>
      <c r="G43" s="1061">
        <v>6.5925604042981938</v>
      </c>
      <c r="H43" s="1061">
        <v>20.86747181033979</v>
      </c>
      <c r="I43" s="1061">
        <v>36.944729204463862</v>
      </c>
      <c r="J43" s="1061">
        <v>51.088720847374574</v>
      </c>
      <c r="K43" s="1061">
        <v>73.011830273473265</v>
      </c>
      <c r="L43" s="1061">
        <v>100.19218576138998</v>
      </c>
      <c r="M43" s="1061">
        <v>162.90025651354586</v>
      </c>
      <c r="N43" s="1061">
        <v>210.19246515128643</v>
      </c>
      <c r="O43" s="1061">
        <v>376.64001108651672</v>
      </c>
      <c r="P43" s="1061">
        <v>325.51874824325256</v>
      </c>
      <c r="Q43" s="1061">
        <v>671.2</v>
      </c>
      <c r="R43" s="1061">
        <v>2275.8029999999999</v>
      </c>
      <c r="S43" s="1061">
        <v>6127.2489999999998</v>
      </c>
      <c r="T43" s="1061">
        <v>8691.2420000000002</v>
      </c>
      <c r="U43" s="1061">
        <v>8373.3320000000003</v>
      </c>
      <c r="V43" s="1061">
        <v>7504.8320000000003</v>
      </c>
      <c r="W43" s="1061">
        <v>10399.474</v>
      </c>
      <c r="X43" s="1061">
        <v>13187.883</v>
      </c>
      <c r="Y43" s="1061">
        <v>22530.818692874174</v>
      </c>
      <c r="Z43" s="1061">
        <v>27468.552</v>
      </c>
      <c r="AA43" s="1061">
        <v>19218.575000000001</v>
      </c>
      <c r="AB43" s="1061">
        <v>11606.023999999999</v>
      </c>
      <c r="AC43" s="1061">
        <v>12323.912</v>
      </c>
      <c r="AD43" s="1061">
        <v>15075.876</v>
      </c>
      <c r="AE43" s="1061">
        <v>22854.383449999998</v>
      </c>
      <c r="AF43" s="1061">
        <v>30648.302</v>
      </c>
      <c r="AG43" s="1061">
        <v>43866.154999999999</v>
      </c>
      <c r="AH43" s="1061">
        <f t="shared" ref="AH43:AH65" si="12">+AG43-AF43</f>
        <v>13217.852999999999</v>
      </c>
      <c r="AI43" s="1061">
        <f t="shared" ref="AI43:AI65" si="13">+AG43/AF43*100-100</f>
        <v>43.127521387644919</v>
      </c>
      <c r="AK43" s="10"/>
      <c r="AL43" s="10"/>
    </row>
    <row r="44" spans="1:38" ht="24" customHeight="1">
      <c r="A44" s="1060">
        <v>35</v>
      </c>
      <c r="B44" s="943" t="s">
        <v>44</v>
      </c>
      <c r="C44" s="1061">
        <v>2.4035578476225448</v>
      </c>
      <c r="D44" s="1061">
        <v>3.3671962473606158</v>
      </c>
      <c r="E44" s="1061">
        <v>3.5942604679885521</v>
      </c>
      <c r="F44" s="1061">
        <v>4.6077422332303168</v>
      </c>
      <c r="G44" s="1061">
        <v>7.0556052946339198</v>
      </c>
      <c r="H44" s="1061">
        <v>22.333150636688185</v>
      </c>
      <c r="I44" s="1061">
        <v>39.539634223735391</v>
      </c>
      <c r="J44" s="1061">
        <v>54.677064327207042</v>
      </c>
      <c r="K44" s="1061">
        <v>78.139997915312279</v>
      </c>
      <c r="L44" s="1061">
        <v>107.22943332883466</v>
      </c>
      <c r="M44" s="1061">
        <v>174.3419615245152</v>
      </c>
      <c r="N44" s="1061">
        <v>224.95585615668665</v>
      </c>
      <c r="O44" s="1061">
        <v>403.09425980540567</v>
      </c>
      <c r="P44" s="1061">
        <v>348.38236781422347</v>
      </c>
      <c r="Q44" s="1061">
        <v>455.4</v>
      </c>
      <c r="R44" s="1061">
        <v>1752.86</v>
      </c>
      <c r="S44" s="1061">
        <v>5037.6790000000001</v>
      </c>
      <c r="T44" s="1061">
        <v>9174.1139999999996</v>
      </c>
      <c r="U44" s="1061">
        <v>5401.3530000000001</v>
      </c>
      <c r="V44" s="1061">
        <v>6085.7879999999996</v>
      </c>
      <c r="W44" s="1061">
        <v>6297.5519999999997</v>
      </c>
      <c r="X44" s="1061">
        <v>10531.763000000001</v>
      </c>
      <c r="Y44" s="1061">
        <v>14791.59</v>
      </c>
      <c r="Z44" s="1061">
        <v>15669.263999999999</v>
      </c>
      <c r="AA44" s="1061">
        <v>12800.922</v>
      </c>
      <c r="AB44" s="1061">
        <v>6294.7359999999999</v>
      </c>
      <c r="AC44" s="1061">
        <v>5412.0919999999996</v>
      </c>
      <c r="AD44" s="1061">
        <v>7449.5190000000002</v>
      </c>
      <c r="AE44" s="1061">
        <v>12730.951999999999</v>
      </c>
      <c r="AF44" s="1061">
        <v>19640.824000000001</v>
      </c>
      <c r="AG44" s="1061">
        <v>29070.537</v>
      </c>
      <c r="AH44" s="1061">
        <f t="shared" si="12"/>
        <v>9429.7129999999997</v>
      </c>
      <c r="AI44" s="1061">
        <f t="shared" si="13"/>
        <v>48.010781014075576</v>
      </c>
      <c r="AK44" s="10"/>
      <c r="AL44" s="10"/>
    </row>
    <row r="45" spans="1:38" ht="24" customHeight="1">
      <c r="A45" s="1060">
        <v>36</v>
      </c>
      <c r="B45" s="943" t="s">
        <v>28</v>
      </c>
      <c r="C45" s="1061">
        <v>1.2712508891284402</v>
      </c>
      <c r="D45" s="1061">
        <v>1.7809229045854647</v>
      </c>
      <c r="E45" s="1061">
        <v>1.901018034664419</v>
      </c>
      <c r="F45" s="1061">
        <v>2.4370523957485308</v>
      </c>
      <c r="G45" s="1061">
        <v>3.7317364809899374</v>
      </c>
      <c r="H45" s="1061">
        <v>11.812088330643659</v>
      </c>
      <c r="I45" s="1061">
        <v>20.912662956065667</v>
      </c>
      <c r="J45" s="1061">
        <v>28.918907323012135</v>
      </c>
      <c r="K45" s="1061">
        <v>41.328542154536436</v>
      </c>
      <c r="L45" s="1061">
        <v>56.714055205642339</v>
      </c>
      <c r="M45" s="1061">
        <v>92.210126675195994</v>
      </c>
      <c r="N45" s="1061">
        <v>118.98000808955236</v>
      </c>
      <c r="O45" s="1061">
        <v>213.19808744651652</v>
      </c>
      <c r="P45" s="1061">
        <v>184.26075963953792</v>
      </c>
      <c r="Q45" s="1061">
        <v>395.8</v>
      </c>
      <c r="R45" s="1061">
        <v>1036.73</v>
      </c>
      <c r="S45" s="1061">
        <v>2321.1799999999998</v>
      </c>
      <c r="T45" s="1061">
        <v>2437.4720000000002</v>
      </c>
      <c r="U45" s="1061">
        <v>2981.7930000000001</v>
      </c>
      <c r="V45" s="1061">
        <v>1744.2370000000001</v>
      </c>
      <c r="W45" s="1061">
        <v>1970.0920000000001</v>
      </c>
      <c r="X45" s="1061">
        <v>4112.7150000000001</v>
      </c>
      <c r="Y45" s="1061">
        <v>4172.2860000000001</v>
      </c>
      <c r="Z45" s="1061">
        <v>5460</v>
      </c>
      <c r="AA45" s="1061">
        <v>3791.1680000000001</v>
      </c>
      <c r="AB45" s="1061">
        <v>1234.8</v>
      </c>
      <c r="AC45" s="1061">
        <v>420.786</v>
      </c>
      <c r="AD45" s="1061">
        <v>1367.817</v>
      </c>
      <c r="AE45" s="1061">
        <v>5860.8620000000001</v>
      </c>
      <c r="AF45" s="1061">
        <v>12394.554</v>
      </c>
      <c r="AG45" s="1061">
        <v>12611.439</v>
      </c>
      <c r="AH45" s="1061">
        <f t="shared" si="12"/>
        <v>216.88500000000022</v>
      </c>
      <c r="AI45" s="1061">
        <f t="shared" si="13"/>
        <v>1.7498410995667939</v>
      </c>
      <c r="AK45" s="10"/>
      <c r="AL45" s="10"/>
    </row>
    <row r="46" spans="1:38" ht="24" customHeight="1">
      <c r="A46" s="1060">
        <v>37</v>
      </c>
      <c r="B46" s="943" t="s">
        <v>484</v>
      </c>
      <c r="C46" s="1061">
        <v>2.039234943403339</v>
      </c>
      <c r="D46" s="1061">
        <v>2.856808399975185</v>
      </c>
      <c r="E46" s="1061">
        <v>3.0494550190524587</v>
      </c>
      <c r="F46" s="1061">
        <v>3.9093167578607795</v>
      </c>
      <c r="G46" s="1061">
        <v>5.9861412854743179</v>
      </c>
      <c r="H46" s="1061">
        <v>18.947969660756463</v>
      </c>
      <c r="I46" s="1061">
        <v>33.546354558590188</v>
      </c>
      <c r="J46" s="1061">
        <v>46.389305873807572</v>
      </c>
      <c r="K46" s="1061">
        <v>66.29580993192414</v>
      </c>
      <c r="L46" s="1061">
        <v>90.975970319079124</v>
      </c>
      <c r="M46" s="1061">
        <v>147.91581587850493</v>
      </c>
      <c r="N46" s="1061">
        <v>190.85783312920327</v>
      </c>
      <c r="O46" s="1061">
        <v>341.99463969363757</v>
      </c>
      <c r="P46" s="1061">
        <v>295.57578521152612</v>
      </c>
      <c r="Q46" s="1061">
        <v>389.9</v>
      </c>
      <c r="R46" s="1061">
        <v>2049.1210000000001</v>
      </c>
      <c r="S46" s="1061">
        <v>4754.0010000000002</v>
      </c>
      <c r="T46" s="1061">
        <v>4824.9260000000004</v>
      </c>
      <c r="U46" s="1061">
        <v>4927.7610000000004</v>
      </c>
      <c r="V46" s="1061">
        <v>6332.9089999999997</v>
      </c>
      <c r="W46" s="1061">
        <v>11081.281000000001</v>
      </c>
      <c r="X46" s="1061">
        <v>11699.796</v>
      </c>
      <c r="Y46" s="1061">
        <v>13202.043</v>
      </c>
      <c r="Z46" s="1061">
        <v>13896.118</v>
      </c>
      <c r="AA46" s="1061">
        <v>6921.52</v>
      </c>
      <c r="AB46" s="1061">
        <v>1657.8119999999999</v>
      </c>
      <c r="AC46" s="1061">
        <v>1934.25127</v>
      </c>
      <c r="AD46" s="1061">
        <v>3260.4670000000001</v>
      </c>
      <c r="AE46" s="1061">
        <v>5097.6840000000002</v>
      </c>
      <c r="AF46" s="1064">
        <v>8899.2810000000009</v>
      </c>
      <c r="AG46" s="1061">
        <v>10594.162</v>
      </c>
      <c r="AH46" s="1061">
        <f t="shared" si="12"/>
        <v>1694.8809999999994</v>
      </c>
      <c r="AI46" s="1061">
        <f t="shared" si="13"/>
        <v>19.045145332527412</v>
      </c>
      <c r="AK46" s="10"/>
      <c r="AL46" s="10"/>
    </row>
    <row r="47" spans="1:38" ht="24" customHeight="1">
      <c r="A47" s="1060">
        <v>38</v>
      </c>
      <c r="B47" s="943" t="s">
        <v>41</v>
      </c>
      <c r="C47" s="1061">
        <v>0.66035611957553753</v>
      </c>
      <c r="D47" s="1061">
        <v>0.92510719055743518</v>
      </c>
      <c r="E47" s="1061">
        <v>0.9874910636048938</v>
      </c>
      <c r="F47" s="1061">
        <v>1.265936155499648</v>
      </c>
      <c r="G47" s="1061">
        <v>1.9384647381088358</v>
      </c>
      <c r="H47" s="1061">
        <v>6.135834303687357</v>
      </c>
      <c r="I47" s="1061">
        <v>10.863162478593436</v>
      </c>
      <c r="J47" s="1061">
        <v>15.022036629828035</v>
      </c>
      <c r="K47" s="1061">
        <v>21.46826874087348</v>
      </c>
      <c r="L47" s="1061">
        <v>29.460332135277586</v>
      </c>
      <c r="M47" s="1061">
        <v>47.898901749085844</v>
      </c>
      <c r="N47" s="1061">
        <v>61.804618679912409</v>
      </c>
      <c r="O47" s="1061">
        <v>110.74655910260957</v>
      </c>
      <c r="P47" s="1061">
        <v>95.714953882177724</v>
      </c>
      <c r="Q47" s="1061">
        <v>323</v>
      </c>
      <c r="R47" s="1061">
        <v>798.01599999999996</v>
      </c>
      <c r="S47" s="1061">
        <v>1793.0440000000001</v>
      </c>
      <c r="T47" s="1061">
        <v>3521.785586337001</v>
      </c>
      <c r="U47" s="1061">
        <v>3696.0309999999999</v>
      </c>
      <c r="V47" s="1061">
        <v>4241.3620000000001</v>
      </c>
      <c r="W47" s="1061">
        <v>8112.7439999999997</v>
      </c>
      <c r="X47" s="1061">
        <v>9715.3349999999991</v>
      </c>
      <c r="Y47" s="1061">
        <v>18273.806</v>
      </c>
      <c r="Z47" s="1061">
        <v>33697.894</v>
      </c>
      <c r="AA47" s="1061">
        <v>25184.061000000002</v>
      </c>
      <c r="AB47" s="1061">
        <v>12349.171</v>
      </c>
      <c r="AC47" s="1061">
        <v>6066.3829999999998</v>
      </c>
      <c r="AD47" s="1061">
        <v>10570.553</v>
      </c>
      <c r="AE47" s="1061">
        <v>19820.388999999999</v>
      </c>
      <c r="AF47" s="1069">
        <v>25944.694</v>
      </c>
      <c r="AG47" s="1061">
        <v>38506.928</v>
      </c>
      <c r="AH47" s="1061">
        <f t="shared" si="12"/>
        <v>12562.234</v>
      </c>
      <c r="AI47" s="1061">
        <f t="shared" si="13"/>
        <v>48.41927987279405</v>
      </c>
      <c r="AK47" s="10"/>
      <c r="AL47" s="10"/>
    </row>
    <row r="48" spans="1:38" ht="24" customHeight="1">
      <c r="A48" s="1060">
        <v>39</v>
      </c>
      <c r="B48" s="943" t="s">
        <v>37</v>
      </c>
      <c r="C48" s="1061">
        <v>1.973871847729969</v>
      </c>
      <c r="D48" s="1061">
        <v>2.7652398235479758</v>
      </c>
      <c r="E48" s="1061">
        <v>2.9517115879648621</v>
      </c>
      <c r="F48" s="1061">
        <v>3.7840123901182818</v>
      </c>
      <c r="G48" s="1061">
        <v>5.7942689723686192</v>
      </c>
      <c r="H48" s="1061">
        <v>18.340635053354546</v>
      </c>
      <c r="I48" s="1061">
        <v>32.471101513521006</v>
      </c>
      <c r="J48" s="1061">
        <v>44.902400871586266</v>
      </c>
      <c r="K48" s="1061">
        <v>64.170846655210198</v>
      </c>
      <c r="L48" s="1061">
        <v>88.059939936616473</v>
      </c>
      <c r="M48" s="1061">
        <v>143.1747066423442</v>
      </c>
      <c r="N48" s="1061">
        <v>184.740313984491</v>
      </c>
      <c r="O48" s="1061">
        <v>331.03276969117093</v>
      </c>
      <c r="P48" s="1061">
        <v>286.10176732554913</v>
      </c>
      <c r="Q48" s="1061">
        <v>1165</v>
      </c>
      <c r="R48" s="1061">
        <v>2221.8069999999998</v>
      </c>
      <c r="S48" s="1061">
        <v>2777.1750000000002</v>
      </c>
      <c r="T48" s="1061">
        <v>5235.2719999999999</v>
      </c>
      <c r="U48" s="1061">
        <v>4216.5749299999998</v>
      </c>
      <c r="V48" s="1061">
        <v>5258.1475499999997</v>
      </c>
      <c r="W48" s="1061">
        <v>6816.6679999999997</v>
      </c>
      <c r="X48" s="1061">
        <v>10881.74</v>
      </c>
      <c r="Y48" s="1061">
        <v>20613.257000000001</v>
      </c>
      <c r="Z48" s="1061">
        <v>30903.945</v>
      </c>
      <c r="AA48" s="1061">
        <v>31755.413</v>
      </c>
      <c r="AB48" s="1061">
        <v>20526.924999999999</v>
      </c>
      <c r="AC48" s="1061">
        <v>17876.469689999998</v>
      </c>
      <c r="AD48" s="1061">
        <v>19518.29</v>
      </c>
      <c r="AE48" s="1061">
        <v>24442.253000000001</v>
      </c>
      <c r="AF48" s="1061">
        <v>28906.21</v>
      </c>
      <c r="AG48" s="1061">
        <v>42543.574999999997</v>
      </c>
      <c r="AH48" s="1061">
        <f t="shared" si="12"/>
        <v>13637.364999999998</v>
      </c>
      <c r="AI48" s="1061">
        <f t="shared" si="13"/>
        <v>47.177976635470372</v>
      </c>
      <c r="AK48" s="10"/>
      <c r="AL48" s="10"/>
    </row>
    <row r="49" spans="1:38" ht="24" customHeight="1">
      <c r="A49" s="1060">
        <v>40</v>
      </c>
      <c r="B49" s="943" t="s">
        <v>504</v>
      </c>
      <c r="C49" s="1061">
        <v>32.595210265285317</v>
      </c>
      <c r="D49" s="1061">
        <v>45.663336039846712</v>
      </c>
      <c r="E49" s="1061">
        <v>48.742607055691636</v>
      </c>
      <c r="F49" s="1061">
        <v>62.486670370316553</v>
      </c>
      <c r="G49" s="1061">
        <v>95.682714004547208</v>
      </c>
      <c r="H49" s="1061">
        <v>302.86508045112799</v>
      </c>
      <c r="I49" s="1061">
        <v>536.20622969816702</v>
      </c>
      <c r="J49" s="1061">
        <v>741.48846061545817</v>
      </c>
      <c r="K49" s="1061">
        <v>1059.6747919746927</v>
      </c>
      <c r="L49" s="1061">
        <v>1454.1634308647776</v>
      </c>
      <c r="M49" s="1061">
        <v>2364.2921261807178</v>
      </c>
      <c r="N49" s="1061">
        <v>3050.6789920148308</v>
      </c>
      <c r="O49" s="1061">
        <v>5466.4555579900016</v>
      </c>
      <c r="P49" s="1061">
        <v>4724.4947912757152</v>
      </c>
      <c r="Q49" s="1061">
        <v>537.4</v>
      </c>
      <c r="R49" s="1061">
        <v>2439.6460000000002</v>
      </c>
      <c r="S49" s="1061">
        <v>5734.4589999999998</v>
      </c>
      <c r="T49" s="1061">
        <v>11525.782999999999</v>
      </c>
      <c r="U49" s="1061">
        <v>14063.938</v>
      </c>
      <c r="V49" s="1061">
        <v>16258.144</v>
      </c>
      <c r="W49" s="1061">
        <v>22931.513999999999</v>
      </c>
      <c r="X49" s="1061">
        <v>33834.555999999997</v>
      </c>
      <c r="Y49" s="1061">
        <v>52385.415000000001</v>
      </c>
      <c r="Z49" s="1061">
        <v>57683.87</v>
      </c>
      <c r="AA49" s="1061">
        <v>53426.713000000003</v>
      </c>
      <c r="AB49" s="1061">
        <v>38592.294000000002</v>
      </c>
      <c r="AC49" s="1061">
        <v>44589.970999999998</v>
      </c>
      <c r="AD49" s="1061">
        <v>62216.699000000001</v>
      </c>
      <c r="AE49" s="1061">
        <v>72066.794999999998</v>
      </c>
      <c r="AF49" s="1061">
        <v>69699.942999999999</v>
      </c>
      <c r="AG49" s="1061">
        <v>109717.44899999999</v>
      </c>
      <c r="AH49" s="1061">
        <f t="shared" si="12"/>
        <v>40017.505999999994</v>
      </c>
      <c r="AI49" s="1061">
        <f t="shared" si="13"/>
        <v>57.413972347150974</v>
      </c>
      <c r="AK49" s="10"/>
      <c r="AL49" s="10"/>
    </row>
    <row r="50" spans="1:38" ht="24" customHeight="1">
      <c r="A50" s="1060">
        <v>41</v>
      </c>
      <c r="B50" s="943" t="s">
        <v>29</v>
      </c>
      <c r="C50" s="1061">
        <v>25.0959109363164</v>
      </c>
      <c r="D50" s="1061">
        <v>35.157405182673671</v>
      </c>
      <c r="E50" s="1061">
        <v>37.528217045321078</v>
      </c>
      <c r="F50" s="1061">
        <v>48.110133407869235</v>
      </c>
      <c r="G50" s="1061">
        <v>73.66864178079976</v>
      </c>
      <c r="H50" s="1061">
        <v>233.18380286126617</v>
      </c>
      <c r="I50" s="1061">
        <v>412.83929983832019</v>
      </c>
      <c r="J50" s="1061">
        <v>570.8914965254944</v>
      </c>
      <c r="K50" s="1061">
        <v>815.87153402042077</v>
      </c>
      <c r="L50" s="1061">
        <v>1119.5987278749744</v>
      </c>
      <c r="M50" s="1061">
        <v>1820.3307830554982</v>
      </c>
      <c r="N50" s="1061">
        <v>2348.7981103908837</v>
      </c>
      <c r="O50" s="1061">
        <v>4208.7681197367492</v>
      </c>
      <c r="P50" s="1061">
        <v>3637.5129823052935</v>
      </c>
      <c r="Q50" s="1061">
        <v>564.5</v>
      </c>
      <c r="R50" s="1061">
        <v>2893.3530000000001</v>
      </c>
      <c r="S50" s="1061">
        <v>9272.4480000000003</v>
      </c>
      <c r="T50" s="1061">
        <v>18280.857</v>
      </c>
      <c r="U50" s="1061">
        <v>14387.486000000001</v>
      </c>
      <c r="V50" s="1061">
        <v>14040.305</v>
      </c>
      <c r="W50" s="1061">
        <v>17020.402999999998</v>
      </c>
      <c r="X50" s="1061">
        <v>24057.447</v>
      </c>
      <c r="Y50" s="1061">
        <v>44335.150999999998</v>
      </c>
      <c r="Z50" s="1061">
        <v>60455.334999999999</v>
      </c>
      <c r="AA50" s="1061">
        <v>51276.29</v>
      </c>
      <c r="AB50" s="1061">
        <v>33385.468000000001</v>
      </c>
      <c r="AC50" s="1061">
        <v>37400.858289999996</v>
      </c>
      <c r="AD50" s="1061">
        <v>47745.769789999998</v>
      </c>
      <c r="AE50" s="1061">
        <v>60827.805</v>
      </c>
      <c r="AF50" s="1061">
        <v>65289.29</v>
      </c>
      <c r="AG50" s="1061">
        <v>99948.067999999999</v>
      </c>
      <c r="AH50" s="1061">
        <f t="shared" si="12"/>
        <v>34658.777999999998</v>
      </c>
      <c r="AI50" s="1061">
        <f t="shared" si="13"/>
        <v>53.084936288938053</v>
      </c>
      <c r="AK50" s="10"/>
      <c r="AL50" s="10"/>
    </row>
    <row r="51" spans="1:38" ht="24" customHeight="1">
      <c r="A51" s="1060">
        <v>42</v>
      </c>
      <c r="B51" s="943" t="s">
        <v>30</v>
      </c>
      <c r="C51" s="1061">
        <v>10.283067369949011</v>
      </c>
      <c r="D51" s="1061">
        <v>14.405771799375575</v>
      </c>
      <c r="E51" s="1061">
        <v>15.37721364768873</v>
      </c>
      <c r="F51" s="1061">
        <v>19.713161409671837</v>
      </c>
      <c r="G51" s="1061">
        <v>30.185778408560001</v>
      </c>
      <c r="H51" s="1061">
        <v>95.547229207503179</v>
      </c>
      <c r="I51" s="1061">
        <v>169.1611969763847</v>
      </c>
      <c r="J51" s="1061">
        <v>233.92319707380778</v>
      </c>
      <c r="K51" s="1061">
        <v>334.30394181925931</v>
      </c>
      <c r="L51" s="1061">
        <v>458.75637570052078</v>
      </c>
      <c r="M51" s="1061">
        <v>745.8818341064474</v>
      </c>
      <c r="N51" s="1061">
        <v>962.42169765619872</v>
      </c>
      <c r="O51" s="1061">
        <v>1724.5457329511528</v>
      </c>
      <c r="P51" s="1061">
        <v>1490.4735337572802</v>
      </c>
      <c r="Q51" s="1061">
        <v>333.2</v>
      </c>
      <c r="R51" s="1061">
        <v>1425.26</v>
      </c>
      <c r="S51" s="1061">
        <v>8738.3580000000002</v>
      </c>
      <c r="T51" s="1061">
        <v>19966.574000000001</v>
      </c>
      <c r="U51" s="1061">
        <v>26950.089</v>
      </c>
      <c r="V51" s="1061">
        <v>25303.57</v>
      </c>
      <c r="W51" s="1061">
        <v>29284.401000000002</v>
      </c>
      <c r="X51" s="1061">
        <v>42601.188999999998</v>
      </c>
      <c r="Y51" s="1061">
        <v>53458.078000000001</v>
      </c>
      <c r="Z51" s="1061">
        <v>74358.983999999997</v>
      </c>
      <c r="AA51" s="1061">
        <v>68362.054999999993</v>
      </c>
      <c r="AB51" s="1061">
        <v>46329.457000000002</v>
      </c>
      <c r="AC51" s="1061">
        <v>39081.303289999996</v>
      </c>
      <c r="AD51" s="1061">
        <v>50680.053999999996</v>
      </c>
      <c r="AE51" s="1061">
        <v>64934.425000000003</v>
      </c>
      <c r="AF51" s="1061">
        <v>77976.952000000005</v>
      </c>
      <c r="AG51" s="1061">
        <v>93389.301999999996</v>
      </c>
      <c r="AH51" s="1061">
        <f t="shared" si="12"/>
        <v>15412.349999999991</v>
      </c>
      <c r="AI51" s="1061">
        <f t="shared" si="13"/>
        <v>19.765263458874344</v>
      </c>
      <c r="AK51" s="10"/>
      <c r="AL51" s="10"/>
    </row>
    <row r="52" spans="1:38" ht="24" customHeight="1">
      <c r="A52" s="1060">
        <v>43</v>
      </c>
      <c r="B52" s="943" t="s">
        <v>32</v>
      </c>
      <c r="C52" s="1061">
        <v>25.559793558629408</v>
      </c>
      <c r="D52" s="1061">
        <v>35.807268395499271</v>
      </c>
      <c r="E52" s="1061">
        <v>38.221903270853659</v>
      </c>
      <c r="F52" s="1061">
        <v>48.999419909630582</v>
      </c>
      <c r="G52" s="1061">
        <v>75.030361736621813</v>
      </c>
      <c r="H52" s="1061">
        <v>237.49406337449068</v>
      </c>
      <c r="I52" s="1061">
        <v>420.4703827461629</v>
      </c>
      <c r="J52" s="1061">
        <v>581.44407798533746</v>
      </c>
      <c r="K52" s="1061">
        <v>830.95242220305477</v>
      </c>
      <c r="L52" s="1061">
        <v>1140.2938281701138</v>
      </c>
      <c r="M52" s="1061">
        <v>1853.9784884232645</v>
      </c>
      <c r="N52" s="1061">
        <v>2392.2142123007466</v>
      </c>
      <c r="O52" s="1061">
        <v>4286.5646339595332</v>
      </c>
      <c r="P52" s="1061">
        <v>3704.7501933876601</v>
      </c>
      <c r="Q52" s="1061">
        <v>4213.3</v>
      </c>
      <c r="R52" s="1061">
        <v>6990.21</v>
      </c>
      <c r="S52" s="1061">
        <v>15355.147999999999</v>
      </c>
      <c r="T52" s="1061">
        <v>32551.39341366298</v>
      </c>
      <c r="U52" s="1061">
        <v>34504.22606999999</v>
      </c>
      <c r="V52" s="1061">
        <v>25331.401000000002</v>
      </c>
      <c r="W52" s="1061">
        <v>37845.326999999997</v>
      </c>
      <c r="X52" s="1061">
        <v>64237.305</v>
      </c>
      <c r="Y52" s="1061">
        <v>89105.422999999995</v>
      </c>
      <c r="Z52" s="1061">
        <v>111482.326</v>
      </c>
      <c r="AA52" s="1061">
        <v>100827.807</v>
      </c>
      <c r="AB52" s="1061">
        <v>68558.274999999994</v>
      </c>
      <c r="AC52" s="1061">
        <v>70620.2</v>
      </c>
      <c r="AD52" s="1061">
        <v>87497.631999999998</v>
      </c>
      <c r="AE52" s="1061">
        <v>111915.93799999999</v>
      </c>
      <c r="AF52" s="1061">
        <v>125611.774</v>
      </c>
      <c r="AG52" s="1061">
        <v>192651.29500000001</v>
      </c>
      <c r="AH52" s="1061">
        <f t="shared" si="12"/>
        <v>67039.521000000008</v>
      </c>
      <c r="AI52" s="1061">
        <f t="shared" si="13"/>
        <v>53.370411757738566</v>
      </c>
      <c r="AK52" s="10"/>
      <c r="AL52" s="10"/>
    </row>
    <row r="53" spans="1:38" s="1080" customFormat="1" ht="24" customHeight="1">
      <c r="A53" s="1060">
        <v>44</v>
      </c>
      <c r="B53" s="1079" t="s">
        <v>443</v>
      </c>
      <c r="C53" s="1061">
        <v>27.34113244749793</v>
      </c>
      <c r="D53" s="1061">
        <v>38.302784626909542</v>
      </c>
      <c r="E53" s="1061">
        <v>40.885702669184695</v>
      </c>
      <c r="F53" s="1061">
        <v>52.414336857876222</v>
      </c>
      <c r="G53" s="1061">
        <v>80.259453313622956</v>
      </c>
      <c r="H53" s="1061">
        <v>254.04573895801875</v>
      </c>
      <c r="I53" s="1061">
        <v>449.77422836154716</v>
      </c>
      <c r="J53" s="1061">
        <v>621.96666457985611</v>
      </c>
      <c r="K53" s="1061">
        <v>888.86399574821951</v>
      </c>
      <c r="L53" s="1061">
        <v>1219.7643346981447</v>
      </c>
      <c r="M53" s="1061">
        <v>1983.1878254618664</v>
      </c>
      <c r="N53" s="1061">
        <v>2558.93481577904</v>
      </c>
      <c r="O53" s="1061">
        <v>4585.3082159296073</v>
      </c>
      <c r="P53" s="1061">
        <v>3962.9453770806258</v>
      </c>
      <c r="Q53" s="1061">
        <v>1011.4</v>
      </c>
      <c r="R53" s="1061">
        <v>2800.64</v>
      </c>
      <c r="S53" s="1061">
        <v>8226.7579999999998</v>
      </c>
      <c r="T53" s="1061">
        <v>14524.474</v>
      </c>
      <c r="U53" s="1061">
        <v>14161.157999999999</v>
      </c>
      <c r="V53" s="1061">
        <v>11423.141</v>
      </c>
      <c r="W53" s="1061">
        <v>16792.788</v>
      </c>
      <c r="X53" s="1061">
        <v>29171.350999999999</v>
      </c>
      <c r="Y53" s="1061">
        <v>42703.987000000001</v>
      </c>
      <c r="Z53" s="1061">
        <v>57911.336000000003</v>
      </c>
      <c r="AA53" s="1061">
        <v>48072.588000000003</v>
      </c>
      <c r="AB53" s="1061">
        <v>36980.851999999999</v>
      </c>
      <c r="AC53" s="1061">
        <v>36558.966090000002</v>
      </c>
      <c r="AD53" s="1061">
        <v>41939.224000000002</v>
      </c>
      <c r="AE53" s="1061">
        <v>51150.864000000001</v>
      </c>
      <c r="AF53" s="1061">
        <v>55927.718000000001</v>
      </c>
      <c r="AG53" s="1087">
        <v>80174.080000000002</v>
      </c>
      <c r="AH53" s="1061">
        <f t="shared" si="12"/>
        <v>24246.362000000001</v>
      </c>
      <c r="AI53" s="1061">
        <f t="shared" si="13"/>
        <v>43.353032927250865</v>
      </c>
      <c r="AJ53" s="1082"/>
      <c r="AK53" s="10"/>
      <c r="AL53" s="10"/>
    </row>
    <row r="54" spans="1:38" ht="24" customHeight="1">
      <c r="A54" s="1060">
        <v>45</v>
      </c>
      <c r="B54" s="943" t="s">
        <v>485</v>
      </c>
      <c r="C54" s="1061">
        <v>35.238189866469611</v>
      </c>
      <c r="D54" s="1061">
        <v>49.365943407404437</v>
      </c>
      <c r="E54" s="1061">
        <v>52.694896827969544</v>
      </c>
      <c r="F54" s="1061">
        <v>67.55339624171134</v>
      </c>
      <c r="G54" s="1061">
        <v>103.44113799512047</v>
      </c>
      <c r="H54" s="1061">
        <v>327.42286740904461</v>
      </c>
      <c r="I54" s="1061">
        <v>579.68446210059858</v>
      </c>
      <c r="J54" s="1061">
        <v>801.61198367207646</v>
      </c>
      <c r="K54" s="1061">
        <v>1145.5984241980791</v>
      </c>
      <c r="L54" s="1061">
        <v>1572.0741377841009</v>
      </c>
      <c r="M54" s="1061">
        <v>2556.0005339461186</v>
      </c>
      <c r="N54" s="1061">
        <v>3298.0430151346272</v>
      </c>
      <c r="O54" s="1061">
        <v>5909.7025999007965</v>
      </c>
      <c r="P54" s="1061">
        <v>5107.5800132336744</v>
      </c>
      <c r="Q54" s="1061">
        <v>1618.3</v>
      </c>
      <c r="R54" s="1061">
        <v>4469.8140000000003</v>
      </c>
      <c r="S54" s="1061">
        <v>10296.386</v>
      </c>
      <c r="T54" s="1061">
        <v>16560.947</v>
      </c>
      <c r="U54" s="1061">
        <v>11290.058999999999</v>
      </c>
      <c r="V54" s="1061">
        <v>14888.174000000001</v>
      </c>
      <c r="W54" s="1061">
        <v>20751.053</v>
      </c>
      <c r="X54" s="1061">
        <v>32618.415000000001</v>
      </c>
      <c r="Y54" s="1061">
        <v>51435.205000000002</v>
      </c>
      <c r="Z54" s="1061">
        <v>64260.281999999999</v>
      </c>
      <c r="AA54" s="1061">
        <v>62969.167000000001</v>
      </c>
      <c r="AB54" s="1061">
        <v>46784.347999999998</v>
      </c>
      <c r="AC54" s="1061">
        <v>54307.699000000001</v>
      </c>
      <c r="AD54" s="1061">
        <v>59510.114999999998</v>
      </c>
      <c r="AE54" s="1061">
        <v>71064.452999999994</v>
      </c>
      <c r="AF54" s="1061">
        <v>81117.135999999999</v>
      </c>
      <c r="AG54" s="1061">
        <v>119991.673</v>
      </c>
      <c r="AH54" s="1061">
        <f t="shared" si="12"/>
        <v>38874.536999999997</v>
      </c>
      <c r="AI54" s="1061">
        <f t="shared" si="13"/>
        <v>47.923951604997484</v>
      </c>
      <c r="AK54" s="10"/>
      <c r="AL54" s="10"/>
    </row>
    <row r="55" spans="1:38" ht="24" customHeight="1">
      <c r="A55" s="1060">
        <v>46</v>
      </c>
      <c r="B55" s="943" t="s">
        <v>96</v>
      </c>
      <c r="C55" s="1061">
        <v>28.993938509621451</v>
      </c>
      <c r="D55" s="1061">
        <v>40.618236437442036</v>
      </c>
      <c r="E55" s="1061">
        <v>43.35729514457217</v>
      </c>
      <c r="F55" s="1061">
        <v>55.582849861762782</v>
      </c>
      <c r="G55" s="1061">
        <v>85.11123885082425</v>
      </c>
      <c r="H55" s="1061">
        <v>269.40312542373147</v>
      </c>
      <c r="I55" s="1061">
        <v>476.96364974525886</v>
      </c>
      <c r="J55" s="1061">
        <v>659.56533667693702</v>
      </c>
      <c r="K55" s="1061">
        <v>942.59694932638911</v>
      </c>
      <c r="L55" s="1061">
        <v>1293.5006325864074</v>
      </c>
      <c r="M55" s="1061">
        <v>2103.0740396319347</v>
      </c>
      <c r="N55" s="1061">
        <v>2713.6256642367666</v>
      </c>
      <c r="O55" s="1061">
        <v>4862.4959012073168</v>
      </c>
      <c r="P55" s="1061">
        <v>4202.5104410252488</v>
      </c>
      <c r="Q55" s="1061">
        <v>9547.1</v>
      </c>
      <c r="R55" s="1061">
        <v>14604.33</v>
      </c>
      <c r="S55" s="1061">
        <v>31156.66</v>
      </c>
      <c r="T55" s="1061">
        <v>44818.563999999998</v>
      </c>
      <c r="U55" s="1061">
        <v>41423.853999999999</v>
      </c>
      <c r="V55" s="1061">
        <v>43340.078000000001</v>
      </c>
      <c r="W55" s="1061">
        <v>68298.668000000005</v>
      </c>
      <c r="X55" s="1061">
        <v>55431.777999999998</v>
      </c>
      <c r="Y55" s="1061">
        <v>94029.525999999998</v>
      </c>
      <c r="Z55" s="1061">
        <v>138641.29999999999</v>
      </c>
      <c r="AA55" s="1061">
        <v>127032.321</v>
      </c>
      <c r="AB55" s="1061">
        <v>85443.134999999995</v>
      </c>
      <c r="AC55" s="1061">
        <v>87742.732999999993</v>
      </c>
      <c r="AD55" s="1061">
        <v>95231.501999999993</v>
      </c>
      <c r="AE55" s="1061">
        <v>120040.152</v>
      </c>
      <c r="AF55" s="1061">
        <v>141279.24299999999</v>
      </c>
      <c r="AG55" s="1061">
        <v>204255.573604</v>
      </c>
      <c r="AH55" s="1061">
        <f t="shared" si="12"/>
        <v>62976.330604000017</v>
      </c>
      <c r="AI55" s="1061">
        <f t="shared" si="13"/>
        <v>44.575784288425155</v>
      </c>
      <c r="AK55" s="10"/>
      <c r="AL55" s="10"/>
    </row>
    <row r="56" spans="1:38" ht="24" customHeight="1">
      <c r="A56" s="1060">
        <v>47</v>
      </c>
      <c r="B56" s="943" t="s">
        <v>483</v>
      </c>
      <c r="C56" s="1061">
        <v>24.317931080616933</v>
      </c>
      <c r="D56" s="1061">
        <v>34.067516352569349</v>
      </c>
      <c r="E56" s="1061">
        <v>36.364832422397214</v>
      </c>
      <c r="F56" s="1061">
        <v>46.618706587726471</v>
      </c>
      <c r="G56" s="1061">
        <v>71.38489446245616</v>
      </c>
      <c r="H56" s="1061">
        <v>225.95504349238675</v>
      </c>
      <c r="I56" s="1061">
        <v>400.04117269600141</v>
      </c>
      <c r="J56" s="1061">
        <v>553.19370961455036</v>
      </c>
      <c r="K56" s="1061">
        <v>790.57930135681227</v>
      </c>
      <c r="L56" s="1061">
        <v>1084.8908721225453</v>
      </c>
      <c r="M56" s="1061">
        <v>1763.9000488406482</v>
      </c>
      <c r="N56" s="1061">
        <v>2275.9847496953462</v>
      </c>
      <c r="O56" s="1061">
        <v>4078.295198360262</v>
      </c>
      <c r="P56" s="1061">
        <v>3524.7491208037113</v>
      </c>
      <c r="Q56" s="1061">
        <v>471.7</v>
      </c>
      <c r="R56" s="1061">
        <v>3091.18</v>
      </c>
      <c r="S56" s="1061">
        <v>9082.43</v>
      </c>
      <c r="T56" s="1061">
        <v>10598.65</v>
      </c>
      <c r="U56" s="1061">
        <v>12297.255999999999</v>
      </c>
      <c r="V56" s="1061">
        <v>13490.353999999999</v>
      </c>
      <c r="W56" s="1061">
        <v>21236.953000000001</v>
      </c>
      <c r="X56" s="1061">
        <v>31899.089</v>
      </c>
      <c r="Y56" s="1061">
        <v>45972.427000000003</v>
      </c>
      <c r="Z56" s="1061">
        <v>57805.877999999997</v>
      </c>
      <c r="AA56" s="1061">
        <v>54419.192999999999</v>
      </c>
      <c r="AB56" s="1061">
        <v>50871.707000000002</v>
      </c>
      <c r="AC56" s="1061">
        <v>57687.461000000003</v>
      </c>
      <c r="AD56" s="1061">
        <v>60575.758000000002</v>
      </c>
      <c r="AE56" s="1061">
        <v>71638.656000000003</v>
      </c>
      <c r="AF56" s="1061">
        <v>83225.588000000003</v>
      </c>
      <c r="AG56" s="1061">
        <v>112647.746</v>
      </c>
      <c r="AH56" s="1061">
        <f t="shared" si="12"/>
        <v>29422.157999999996</v>
      </c>
      <c r="AI56" s="1061">
        <f t="shared" si="13"/>
        <v>35.352298141768614</v>
      </c>
      <c r="AK56" s="10"/>
      <c r="AL56" s="10"/>
    </row>
    <row r="57" spans="1:38" ht="24" customHeight="1">
      <c r="A57" s="1060">
        <v>48</v>
      </c>
      <c r="B57" s="943" t="s">
        <v>27</v>
      </c>
      <c r="C57" s="1061">
        <v>22.198213950094104</v>
      </c>
      <c r="D57" s="1061">
        <v>31.097958713495888</v>
      </c>
      <c r="E57" s="1061">
        <v>33.195025008320449</v>
      </c>
      <c r="F57" s="1061">
        <v>42.555101397415427</v>
      </c>
      <c r="G57" s="1061">
        <v>65.162499014792374</v>
      </c>
      <c r="H57" s="1061">
        <v>206.25925708559788</v>
      </c>
      <c r="I57" s="1061">
        <v>365.17084907073013</v>
      </c>
      <c r="J57" s="1061">
        <v>504.97356379375373</v>
      </c>
      <c r="K57" s="1061">
        <v>721.66700439506405</v>
      </c>
      <c r="L57" s="1061">
        <v>990.32436649497572</v>
      </c>
      <c r="M57" s="1061">
        <v>1610.1464611007032</v>
      </c>
      <c r="N57" s="1061">
        <v>2077.5943583933763</v>
      </c>
      <c r="O57" s="1061">
        <v>3722.803106264329</v>
      </c>
      <c r="P57" s="1061">
        <v>3217.5078893274786</v>
      </c>
      <c r="Q57" s="1061">
        <v>801.2</v>
      </c>
      <c r="R57" s="1061">
        <v>1948.47</v>
      </c>
      <c r="S57" s="1061">
        <v>6230.8280000000004</v>
      </c>
      <c r="T57" s="1061">
        <v>13564.121999999999</v>
      </c>
      <c r="U57" s="1061">
        <v>9251.027</v>
      </c>
      <c r="V57" s="1061">
        <v>7531.1090000000004</v>
      </c>
      <c r="W57" s="1061">
        <v>15258.01</v>
      </c>
      <c r="X57" s="1061">
        <v>23354.154999999999</v>
      </c>
      <c r="Y57" s="1061">
        <v>33216.892</v>
      </c>
      <c r="Z57" s="1061">
        <v>45065.610999999997</v>
      </c>
      <c r="AA57" s="1061">
        <v>42582.019</v>
      </c>
      <c r="AB57" s="1061">
        <v>32549.46</v>
      </c>
      <c r="AC57" s="1061">
        <v>29039.263999999999</v>
      </c>
      <c r="AD57" s="1061">
        <v>35144.803999999996</v>
      </c>
      <c r="AE57" s="1061">
        <v>43377.345999999998</v>
      </c>
      <c r="AF57" s="1061">
        <v>45348.81</v>
      </c>
      <c r="AG57" s="1061">
        <v>67685.316000000006</v>
      </c>
      <c r="AH57" s="1061">
        <f t="shared" si="12"/>
        <v>22336.506000000008</v>
      </c>
      <c r="AI57" s="1061">
        <f t="shared" si="13"/>
        <v>49.25488893754877</v>
      </c>
      <c r="AK57" s="10"/>
      <c r="AL57" s="10"/>
    </row>
    <row r="58" spans="1:38" ht="24" customHeight="1">
      <c r="A58" s="1060">
        <v>49</v>
      </c>
      <c r="B58" s="943" t="s">
        <v>441</v>
      </c>
      <c r="C58" s="1061">
        <v>13.162388410777444</v>
      </c>
      <c r="D58" s="1061">
        <v>18.439475008646745</v>
      </c>
      <c r="E58" s="1061">
        <v>19.682926448374566</v>
      </c>
      <c r="F58" s="1061">
        <v>25.232965801306069</v>
      </c>
      <c r="G58" s="1061">
        <v>38.637978883249914</v>
      </c>
      <c r="H58" s="1061">
        <v>122.30103111820534</v>
      </c>
      <c r="I58" s="1061">
        <v>216.52735497406815</v>
      </c>
      <c r="J58" s="1061">
        <v>299.42310668645979</v>
      </c>
      <c r="K58" s="1061">
        <v>427.91106691940848</v>
      </c>
      <c r="L58" s="1061">
        <v>587.21093479724402</v>
      </c>
      <c r="M58" s="1061">
        <v>954.73325767978588</v>
      </c>
      <c r="N58" s="1061">
        <v>1231.9055923459846</v>
      </c>
      <c r="O58" s="1061">
        <v>2207.428965756596</v>
      </c>
      <c r="P58" s="1061">
        <v>1907.8151354555021</v>
      </c>
      <c r="Q58" s="1061">
        <v>288.5</v>
      </c>
      <c r="R58" s="1061">
        <v>1115.8009999999999</v>
      </c>
      <c r="S58" s="1061">
        <v>1890.3309999999999</v>
      </c>
      <c r="T58" s="1061">
        <v>4107.4359999999997</v>
      </c>
      <c r="U58" s="1061">
        <v>4476.4549999999999</v>
      </c>
      <c r="V58" s="1061">
        <v>4699.1450000000004</v>
      </c>
      <c r="W58" s="1061">
        <v>7071.9269999999997</v>
      </c>
      <c r="X58" s="1061">
        <v>10297.76</v>
      </c>
      <c r="Y58" s="1061">
        <v>13661.019</v>
      </c>
      <c r="Z58" s="1061">
        <v>17830.532999999999</v>
      </c>
      <c r="AA58" s="1061">
        <v>11755.968000000001</v>
      </c>
      <c r="AB58" s="1061">
        <v>6857.2389999999996</v>
      </c>
      <c r="AC58" s="1061">
        <v>7447.7460000000001</v>
      </c>
      <c r="AD58" s="1061">
        <v>7957.9260899999999</v>
      </c>
      <c r="AE58" s="1061">
        <v>10429.843999999999</v>
      </c>
      <c r="AF58" s="1061">
        <v>14627.963</v>
      </c>
      <c r="AG58" s="1061">
        <v>23886.858</v>
      </c>
      <c r="AH58" s="1061">
        <f t="shared" si="12"/>
        <v>9258.8950000000004</v>
      </c>
      <c r="AI58" s="1061">
        <f t="shared" si="13"/>
        <v>63.29586012761996</v>
      </c>
      <c r="AK58" s="10"/>
      <c r="AL58" s="10"/>
    </row>
    <row r="59" spans="1:38" ht="24" customHeight="1">
      <c r="A59" s="1060">
        <v>50</v>
      </c>
      <c r="B59" s="943" t="s">
        <v>39</v>
      </c>
      <c r="C59" s="1061">
        <v>18.283945691777358</v>
      </c>
      <c r="D59" s="1061">
        <v>25.61437553133787</v>
      </c>
      <c r="E59" s="1061">
        <v>27.341660723418219</v>
      </c>
      <c r="F59" s="1061">
        <v>35.05125072709393</v>
      </c>
      <c r="G59" s="1061">
        <v>53.672227675862565</v>
      </c>
      <c r="H59" s="1061">
        <v>169.88903086788335</v>
      </c>
      <c r="I59" s="1061">
        <v>300.77933241116239</v>
      </c>
      <c r="J59" s="1061">
        <v>415.93027425294815</v>
      </c>
      <c r="K59" s="1061">
        <v>594.41360217410931</v>
      </c>
      <c r="L59" s="1061">
        <v>815.69791943379266</v>
      </c>
      <c r="M59" s="1061">
        <v>1326.2251871596163</v>
      </c>
      <c r="N59" s="1061">
        <v>1711.246792368468</v>
      </c>
      <c r="O59" s="1061">
        <v>3066.3516429360516</v>
      </c>
      <c r="P59" s="1061">
        <v>2650.1564334674508</v>
      </c>
      <c r="Q59" s="1061">
        <v>623.4</v>
      </c>
      <c r="R59" s="1061">
        <v>1650.953</v>
      </c>
      <c r="S59" s="1061">
        <v>4254.2640000000001</v>
      </c>
      <c r="T59" s="1061">
        <v>8717.66</v>
      </c>
      <c r="U59" s="1061">
        <v>9212.6820000000007</v>
      </c>
      <c r="V59" s="1061">
        <v>10681.784</v>
      </c>
      <c r="W59" s="1061">
        <v>13736.453</v>
      </c>
      <c r="X59" s="1061">
        <v>22167.312000000002</v>
      </c>
      <c r="Y59" s="1061">
        <v>32902.921000000002</v>
      </c>
      <c r="Z59" s="1061">
        <v>48761.069000000003</v>
      </c>
      <c r="AA59" s="1061">
        <v>38942.419000000002</v>
      </c>
      <c r="AB59" s="1061">
        <v>28235.819</v>
      </c>
      <c r="AC59" s="1061">
        <v>26170.670590000002</v>
      </c>
      <c r="AD59" s="1061">
        <v>29766.187999999998</v>
      </c>
      <c r="AE59" s="1061">
        <v>40740.114999999998</v>
      </c>
      <c r="AF59" s="1061">
        <v>45345.67</v>
      </c>
      <c r="AG59" s="1061">
        <v>65843.206000000006</v>
      </c>
      <c r="AH59" s="1061">
        <f t="shared" si="12"/>
        <v>20497.536000000007</v>
      </c>
      <c r="AI59" s="1061">
        <f t="shared" si="13"/>
        <v>45.202851782761201</v>
      </c>
      <c r="AK59" s="10"/>
      <c r="AL59" s="10"/>
    </row>
    <row r="60" spans="1:38" ht="24" customHeight="1">
      <c r="A60" s="1060">
        <v>51</v>
      </c>
      <c r="B60" s="943" t="s">
        <v>506</v>
      </c>
      <c r="C60" s="1061">
        <v>5.0764274207230402</v>
      </c>
      <c r="D60" s="1061">
        <v>7.111677123962231</v>
      </c>
      <c r="E60" s="1061">
        <v>7.5912474563346848</v>
      </c>
      <c r="F60" s="1061">
        <v>9.7317686959483165</v>
      </c>
      <c r="G60" s="1061">
        <v>14.90177081567086</v>
      </c>
      <c r="H60" s="1061">
        <v>47.168666398174501</v>
      </c>
      <c r="I60" s="1061">
        <v>83.509570438369011</v>
      </c>
      <c r="J60" s="1061">
        <v>115.48053603528673</v>
      </c>
      <c r="K60" s="1061">
        <v>165.03535725794856</v>
      </c>
      <c r="L60" s="1061">
        <v>226.47361543535155</v>
      </c>
      <c r="M60" s="1061">
        <v>368.21843707282233</v>
      </c>
      <c r="N60" s="1061">
        <v>475.11736727102385</v>
      </c>
      <c r="O60" s="1061">
        <v>851.35406898414146</v>
      </c>
      <c r="P60" s="1061">
        <v>735.79997528159163</v>
      </c>
      <c r="Q60" s="1061">
        <v>607.6</v>
      </c>
      <c r="R60" s="1061">
        <v>1051.433</v>
      </c>
      <c r="S60" s="1061">
        <v>2298.6309999999999</v>
      </c>
      <c r="T60" s="1061">
        <v>2570.413</v>
      </c>
      <c r="U60" s="1061">
        <v>3768.2979999999998</v>
      </c>
      <c r="V60" s="1061">
        <v>6921.643</v>
      </c>
      <c r="W60" s="1061">
        <v>7648.4359999999997</v>
      </c>
      <c r="X60" s="1061">
        <v>7963.1009999999997</v>
      </c>
      <c r="Y60" s="1061">
        <v>12293.933000000001</v>
      </c>
      <c r="Z60" s="1061">
        <v>15238.1</v>
      </c>
      <c r="AA60" s="1061">
        <v>15981.517</v>
      </c>
      <c r="AB60" s="1061">
        <v>13632.954</v>
      </c>
      <c r="AC60" s="1061">
        <v>16930.047999999999</v>
      </c>
      <c r="AD60" s="1061">
        <v>22326.14</v>
      </c>
      <c r="AE60" s="1061">
        <v>28336.155999999999</v>
      </c>
      <c r="AF60" s="1061">
        <v>30015.268</v>
      </c>
      <c r="AG60" s="1061">
        <v>50789.947</v>
      </c>
      <c r="AH60" s="1061">
        <f t="shared" si="12"/>
        <v>20774.679</v>
      </c>
      <c r="AI60" s="1061">
        <f t="shared" si="13"/>
        <v>69.213704838484205</v>
      </c>
      <c r="AK60" s="10"/>
      <c r="AL60" s="10"/>
    </row>
    <row r="61" spans="1:38" ht="24" customHeight="1">
      <c r="A61" s="1060">
        <v>52</v>
      </c>
      <c r="B61" s="943" t="s">
        <v>42</v>
      </c>
      <c r="C61" s="1061">
        <v>23.770142005700134</v>
      </c>
      <c r="D61" s="1061">
        <v>33.300106772962401</v>
      </c>
      <c r="E61" s="1061">
        <v>35.545673183639138</v>
      </c>
      <c r="F61" s="1061">
        <v>45.568567163001177</v>
      </c>
      <c r="G61" s="1061">
        <v>69.776868468345555</v>
      </c>
      <c r="H61" s="1061">
        <v>220.86514896817135</v>
      </c>
      <c r="I61" s="1061">
        <v>391.02978997625831</v>
      </c>
      <c r="J61" s="1061">
        <v>540.73239169095916</v>
      </c>
      <c r="K61" s="1061">
        <v>772.77060280005867</v>
      </c>
      <c r="L61" s="1061">
        <v>1060.4524704651205</v>
      </c>
      <c r="M61" s="1061">
        <v>1724.1661926669099</v>
      </c>
      <c r="N61" s="1061">
        <v>2224.7156028083355</v>
      </c>
      <c r="O61" s="1061">
        <v>3986.4269573268762</v>
      </c>
      <c r="P61" s="1061">
        <v>3445.350135182855</v>
      </c>
      <c r="Q61" s="1061">
        <v>1032.0999999999999</v>
      </c>
      <c r="R61" s="1061">
        <v>2582.4340000000002</v>
      </c>
      <c r="S61" s="1061">
        <v>5742.9780000000001</v>
      </c>
      <c r="T61" s="1061">
        <v>20044.802</v>
      </c>
      <c r="U61" s="1061">
        <v>23858.726999999999</v>
      </c>
      <c r="V61" s="1061">
        <v>23430.746999999999</v>
      </c>
      <c r="W61" s="1061">
        <v>28008.400000000001</v>
      </c>
      <c r="X61" s="1061">
        <v>29299.145</v>
      </c>
      <c r="Y61" s="1061">
        <v>39356.550999999999</v>
      </c>
      <c r="Z61" s="1061">
        <v>54038.444000000003</v>
      </c>
      <c r="AA61" s="1061">
        <v>48729.745000000003</v>
      </c>
      <c r="AB61" s="1061">
        <v>36689.627999999997</v>
      </c>
      <c r="AC61" s="1061">
        <v>32579.235000000001</v>
      </c>
      <c r="AD61" s="1061">
        <v>43076.296999999999</v>
      </c>
      <c r="AE61" s="1061">
        <v>53997.510999999999</v>
      </c>
      <c r="AF61" s="1061">
        <v>76460.877999999997</v>
      </c>
      <c r="AG61" s="1061">
        <v>101768.503</v>
      </c>
      <c r="AH61" s="1061">
        <f t="shared" si="12"/>
        <v>25307.625</v>
      </c>
      <c r="AI61" s="1061">
        <f t="shared" si="13"/>
        <v>33.098789422742442</v>
      </c>
      <c r="AK61" s="10"/>
      <c r="AL61" s="10"/>
    </row>
    <row r="62" spans="1:38" ht="24" customHeight="1">
      <c r="A62" s="1060">
        <v>53</v>
      </c>
      <c r="B62" s="943" t="s">
        <v>43</v>
      </c>
      <c r="C62" s="1061">
        <v>14.897848437483947</v>
      </c>
      <c r="D62" s="1061">
        <v>20.870718548364611</v>
      </c>
      <c r="E62" s="1061">
        <v>22.278118976790513</v>
      </c>
      <c r="F62" s="1061">
        <v>28.559930645130517</v>
      </c>
      <c r="G62" s="1061">
        <v>43.7323938003561</v>
      </c>
      <c r="H62" s="1061">
        <v>138.42641384561699</v>
      </c>
      <c r="I62" s="1061">
        <v>245.07647216455447</v>
      </c>
      <c r="J62" s="1061">
        <v>338.90202316495743</v>
      </c>
      <c r="K62" s="1061">
        <v>484.33111231298625</v>
      </c>
      <c r="L62" s="1061">
        <v>664.63465705658314</v>
      </c>
      <c r="M62" s="1061">
        <v>1080.6147734929696</v>
      </c>
      <c r="N62" s="1061">
        <v>1394.3322618433008</v>
      </c>
      <c r="O62" s="1061">
        <v>2498.4783264279376</v>
      </c>
      <c r="P62" s="1061">
        <v>2159.3604327525836</v>
      </c>
      <c r="Q62" s="1061">
        <v>884.9</v>
      </c>
      <c r="R62" s="1061">
        <v>1429.723</v>
      </c>
      <c r="S62" s="1061">
        <v>2751.145</v>
      </c>
      <c r="T62" s="1061">
        <v>10133.784</v>
      </c>
      <c r="U62" s="1061">
        <v>6932.2449999999999</v>
      </c>
      <c r="V62" s="1061">
        <v>9299.7929999999997</v>
      </c>
      <c r="W62" s="1061">
        <v>17682.238000000001</v>
      </c>
      <c r="X62" s="1061">
        <v>23274.867999999999</v>
      </c>
      <c r="Y62" s="1061">
        <v>44022.713000000003</v>
      </c>
      <c r="Z62" s="1061">
        <v>61296.697999999997</v>
      </c>
      <c r="AA62" s="1061">
        <v>46906.377999999997</v>
      </c>
      <c r="AB62" s="1061">
        <v>19881.022000000001</v>
      </c>
      <c r="AC62" s="1061">
        <v>19670.5</v>
      </c>
      <c r="AD62" s="1061">
        <v>27107.620999999999</v>
      </c>
      <c r="AE62" s="1061">
        <v>38853.025999999998</v>
      </c>
      <c r="AF62" s="1061">
        <v>56440.637999999999</v>
      </c>
      <c r="AG62" s="1061">
        <v>79427.97</v>
      </c>
      <c r="AH62" s="1061">
        <f t="shared" si="12"/>
        <v>22987.332000000002</v>
      </c>
      <c r="AI62" s="1061">
        <f t="shared" si="13"/>
        <v>40.728334786010038</v>
      </c>
      <c r="AK62" s="10"/>
      <c r="AL62" s="10"/>
    </row>
    <row r="63" spans="1:38" ht="24" customHeight="1">
      <c r="A63" s="1060">
        <v>54</v>
      </c>
      <c r="B63" s="943" t="s">
        <v>45</v>
      </c>
      <c r="C63" s="1061">
        <v>9.5985621685414024</v>
      </c>
      <c r="D63" s="1061">
        <v>13.446833637034963</v>
      </c>
      <c r="E63" s="1061">
        <v>14.353610247427124</v>
      </c>
      <c r="F63" s="1061">
        <v>18.400930240153109</v>
      </c>
      <c r="G63" s="1061">
        <v>28.176424430234437</v>
      </c>
      <c r="H63" s="1061">
        <v>89.187008757742078</v>
      </c>
      <c r="I63" s="1061">
        <v>157.90077097304459</v>
      </c>
      <c r="J63" s="1061">
        <v>218.35180778243219</v>
      </c>
      <c r="K63" s="1061">
        <v>312.05058308944251</v>
      </c>
      <c r="L63" s="1061">
        <v>428.21868553001786</v>
      </c>
      <c r="M63" s="1061">
        <v>696.23127978125058</v>
      </c>
      <c r="N63" s="1061">
        <v>898.35689731088326</v>
      </c>
      <c r="O63" s="1061">
        <v>1609.749195906174</v>
      </c>
      <c r="P63" s="1061">
        <v>1391.2583045155895</v>
      </c>
      <c r="Q63" s="1061">
        <v>663.8</v>
      </c>
      <c r="R63" s="1061">
        <v>2608.8789999999999</v>
      </c>
      <c r="S63" s="1061">
        <v>6021.7269999999999</v>
      </c>
      <c r="T63" s="1061">
        <v>10943.84</v>
      </c>
      <c r="U63" s="1061">
        <v>8852.5709999999999</v>
      </c>
      <c r="V63" s="1061">
        <v>8158.3047900000001</v>
      </c>
      <c r="W63" s="1061">
        <v>11499.049000000001</v>
      </c>
      <c r="X63" s="1061">
        <v>16393.553</v>
      </c>
      <c r="Y63" s="1061">
        <v>27114.429</v>
      </c>
      <c r="Z63" s="1061">
        <v>34962.15</v>
      </c>
      <c r="AA63" s="1061">
        <v>32351.868999999999</v>
      </c>
      <c r="AB63" s="1061">
        <v>22154.151000000002</v>
      </c>
      <c r="AC63" s="1061">
        <v>21854.612000000001</v>
      </c>
      <c r="AD63" s="1061">
        <v>25993.376</v>
      </c>
      <c r="AE63" s="1061">
        <v>36016.274039999997</v>
      </c>
      <c r="AF63" s="1061">
        <v>41680.39</v>
      </c>
      <c r="AG63" s="1061">
        <v>66659.56</v>
      </c>
      <c r="AH63" s="1061">
        <f t="shared" si="12"/>
        <v>24979.17</v>
      </c>
      <c r="AI63" s="1061">
        <f t="shared" si="13"/>
        <v>59.93026936648144</v>
      </c>
      <c r="AK63" s="10"/>
      <c r="AL63" s="10"/>
    </row>
    <row r="64" spans="1:38" ht="24" customHeight="1">
      <c r="A64" s="1060">
        <v>55</v>
      </c>
      <c r="B64" s="943" t="s">
        <v>482</v>
      </c>
      <c r="C64" s="1061">
        <v>18.568220160623582</v>
      </c>
      <c r="D64" s="1061">
        <v>26.012621791841333</v>
      </c>
      <c r="E64" s="1061">
        <v>27.76676240609379</v>
      </c>
      <c r="F64" s="1061">
        <v>35.596219294098667</v>
      </c>
      <c r="G64" s="1061">
        <v>54.506710794088583</v>
      </c>
      <c r="H64" s="1061">
        <v>172.53042539108446</v>
      </c>
      <c r="I64" s="1061">
        <v>305.45577842574215</v>
      </c>
      <c r="J64" s="1061">
        <v>422.39705991199196</v>
      </c>
      <c r="K64" s="1061">
        <v>603.65540445691795</v>
      </c>
      <c r="L64" s="1061">
        <v>828.38019801276994</v>
      </c>
      <c r="M64" s="1061">
        <v>1346.8450231078184</v>
      </c>
      <c r="N64" s="1061">
        <v>1737.8528532902155</v>
      </c>
      <c r="O64" s="1061">
        <v>3114.0265539911311</v>
      </c>
      <c r="P64" s="1061">
        <v>2691.3604397133331</v>
      </c>
      <c r="Q64" s="1061">
        <v>791.8</v>
      </c>
      <c r="R64" s="1061">
        <v>3186.1570000000002</v>
      </c>
      <c r="S64" s="1061">
        <v>7527.1540000000005</v>
      </c>
      <c r="T64" s="1061">
        <v>20387.647000000001</v>
      </c>
      <c r="U64" s="1061">
        <v>15468.281000000001</v>
      </c>
      <c r="V64" s="1061">
        <v>9718.125</v>
      </c>
      <c r="W64" s="1061">
        <v>11416.96</v>
      </c>
      <c r="X64" s="1061">
        <v>20321.553</v>
      </c>
      <c r="Y64" s="1061">
        <v>32223.986000000001</v>
      </c>
      <c r="Z64" s="1061">
        <v>35813.124000000003</v>
      </c>
      <c r="AA64" s="1061">
        <v>34980.385000000002</v>
      </c>
      <c r="AB64" s="1061">
        <v>23919.202000000001</v>
      </c>
      <c r="AC64" s="1061">
        <v>28187.269640000002</v>
      </c>
      <c r="AD64" s="1061">
        <v>34046.567000000003</v>
      </c>
      <c r="AE64" s="1061">
        <v>42699.476999999999</v>
      </c>
      <c r="AF64" s="1061">
        <v>48250.315000000002</v>
      </c>
      <c r="AG64" s="1061">
        <v>72958.010999999999</v>
      </c>
      <c r="AH64" s="1061">
        <f t="shared" si="12"/>
        <v>24707.695999999996</v>
      </c>
      <c r="AI64" s="1061">
        <f t="shared" si="13"/>
        <v>51.20732579673313</v>
      </c>
      <c r="AK64" s="10"/>
      <c r="AL64" s="10"/>
    </row>
    <row r="65" spans="1:38" ht="24" customHeight="1">
      <c r="A65" s="1060">
        <v>56</v>
      </c>
      <c r="B65" s="1098" t="s">
        <v>216</v>
      </c>
      <c r="C65" s="1064">
        <v>20.380154056005846</v>
      </c>
      <c r="D65" s="1064">
        <v>28.550999230533542</v>
      </c>
      <c r="E65" s="1064">
        <v>30.476313323382023</v>
      </c>
      <c r="F65" s="1064">
        <v>39.069788420730113</v>
      </c>
      <c r="G65" s="1064">
        <v>59.825613519242964</v>
      </c>
      <c r="H65" s="1064">
        <v>189.36638075172621</v>
      </c>
      <c r="I65" s="1064">
        <v>335.26292599735888</v>
      </c>
      <c r="J65" s="1064">
        <v>463.61563355791367</v>
      </c>
      <c r="K65" s="1064">
        <v>662.56162589356893</v>
      </c>
      <c r="L65" s="1064">
        <v>909.2156332919044</v>
      </c>
      <c r="M65" s="1064">
        <v>1478.2735675824877</v>
      </c>
      <c r="N65" s="1064">
        <v>1907.4369309683193</v>
      </c>
      <c r="O65" s="1064">
        <v>3417.9011426963239</v>
      </c>
      <c r="P65" s="1064">
        <v>2953.9901997669608</v>
      </c>
      <c r="Q65" s="1064">
        <v>1345.9</v>
      </c>
      <c r="R65" s="1064">
        <v>4904.174</v>
      </c>
      <c r="S65" s="1064">
        <v>17922.444</v>
      </c>
      <c r="T65" s="1064">
        <v>24662.695</v>
      </c>
      <c r="U65" s="1064">
        <v>23311.382000000001</v>
      </c>
      <c r="V65" s="1064">
        <v>24479.687999999998</v>
      </c>
      <c r="W65" s="1064">
        <v>26387.999</v>
      </c>
      <c r="X65" s="1064">
        <v>37363.915000000001</v>
      </c>
      <c r="Y65" s="1064">
        <v>60494.817000000003</v>
      </c>
      <c r="Z65" s="1064">
        <v>92638.067999999999</v>
      </c>
      <c r="AA65" s="1064">
        <v>70581.84</v>
      </c>
      <c r="AB65" s="1064">
        <v>46741.232000000004</v>
      </c>
      <c r="AC65" s="1064">
        <v>52655.167000000001</v>
      </c>
      <c r="AD65" s="1064">
        <v>71528.736999999994</v>
      </c>
      <c r="AE65" s="1064">
        <v>86207.774000000005</v>
      </c>
      <c r="AF65" s="1064">
        <v>90321.88</v>
      </c>
      <c r="AG65" s="1064">
        <v>131480.097396</v>
      </c>
      <c r="AH65" s="1061">
        <f t="shared" si="12"/>
        <v>41158.217395999993</v>
      </c>
      <c r="AI65" s="1061">
        <f t="shared" si="13"/>
        <v>45.568379883146804</v>
      </c>
      <c r="AK65" s="10"/>
      <c r="AL65" s="10"/>
    </row>
    <row r="66" spans="1:38" s="1078" customFormat="1" ht="24" customHeight="1">
      <c r="A66" s="1388" t="s">
        <v>50</v>
      </c>
      <c r="B66" s="1388"/>
      <c r="C66" s="1065">
        <v>446.96500963152903</v>
      </c>
      <c r="D66" s="1065">
        <v>626.16296280177357</v>
      </c>
      <c r="E66" s="1065">
        <v>668.38776785913001</v>
      </c>
      <c r="F66" s="1065">
        <v>856.85458067611103</v>
      </c>
      <c r="G66" s="1065">
        <v>1312.0585766602951</v>
      </c>
      <c r="H66" s="1065">
        <v>4153.0670457145261</v>
      </c>
      <c r="I66" s="1065">
        <v>7352.7803830974699</v>
      </c>
      <c r="J66" s="1065">
        <v>10167.733057811429</v>
      </c>
      <c r="K66" s="1065">
        <v>14530.894255518655</v>
      </c>
      <c r="L66" s="1065">
        <v>19940.35831008324</v>
      </c>
      <c r="M66" s="1065">
        <v>32420.58708470991</v>
      </c>
      <c r="N66" s="1065">
        <v>41832.734133358921</v>
      </c>
      <c r="O66" s="1065">
        <v>74959.30663559839</v>
      </c>
      <c r="P66" s="1065">
        <v>64785.097034199927</v>
      </c>
      <c r="Q66" s="1065">
        <v>56349.900000000009</v>
      </c>
      <c r="R66" s="1065">
        <v>93151.504000000001</v>
      </c>
      <c r="S66" s="1065">
        <v>231953.94400000002</v>
      </c>
      <c r="T66" s="1065">
        <v>399231.61599999998</v>
      </c>
      <c r="U66" s="1065">
        <v>358926.21899999998</v>
      </c>
      <c r="V66" s="1065">
        <v>353174.54399999994</v>
      </c>
      <c r="W66" s="1065">
        <v>490040.27100000007</v>
      </c>
      <c r="X66" s="1065">
        <v>669145.571</v>
      </c>
      <c r="Y66" s="1065">
        <v>1030680.1489999999</v>
      </c>
      <c r="Z66" s="1065">
        <v>1418058.9400000002</v>
      </c>
      <c r="AA66" s="1065">
        <v>1223170.6259999999</v>
      </c>
      <c r="AB66" s="1065">
        <v>843239.55599999998</v>
      </c>
      <c r="AC66" s="1065">
        <v>866219.75800000003</v>
      </c>
      <c r="AD66" s="1065">
        <v>1059442.2421666668</v>
      </c>
      <c r="AE66" s="1065">
        <v>1348004.5179999999</v>
      </c>
      <c r="AF66" s="1065">
        <v>1567630.1460000002</v>
      </c>
      <c r="AG66" s="1065">
        <f>SUM(AG41:AG65)</f>
        <v>2257155.3650000002</v>
      </c>
      <c r="AH66" s="1065">
        <f>+AG66-AF66</f>
        <v>689525.21900000004</v>
      </c>
      <c r="AI66" s="1065">
        <f>+AG66/AF66*100-100</f>
        <v>43.985197704918335</v>
      </c>
      <c r="AJ66" s="1083"/>
      <c r="AK66" s="10"/>
      <c r="AL66" s="10"/>
    </row>
    <row r="67" spans="1:38" ht="24" customHeight="1">
      <c r="A67" s="1096">
        <v>57</v>
      </c>
      <c r="B67" s="1097" t="s">
        <v>70</v>
      </c>
      <c r="C67" s="1069">
        <v>8.4905051353590828</v>
      </c>
      <c r="D67" s="1069">
        <v>11.894532539857888</v>
      </c>
      <c r="E67" s="1069">
        <v>12.69663095126278</v>
      </c>
      <c r="F67" s="1069">
        <v>16.276728738752901</v>
      </c>
      <c r="G67" s="1069">
        <v>24.923740881215377</v>
      </c>
      <c r="H67" s="1069">
        <v>78.891269605642961</v>
      </c>
      <c r="I67" s="1069">
        <v>139.67272215183453</v>
      </c>
      <c r="J67" s="1069">
        <v>193.14529746629762</v>
      </c>
      <c r="K67" s="1069">
        <v>276.02749575307712</v>
      </c>
      <c r="L67" s="1069">
        <v>378.78516435153006</v>
      </c>
      <c r="M67" s="1069">
        <v>615.85841218535609</v>
      </c>
      <c r="N67" s="1069">
        <v>794.65066913895748</v>
      </c>
      <c r="O67" s="1069">
        <v>1423.9199136799937</v>
      </c>
      <c r="P67" s="1069">
        <v>1230.6515884030173</v>
      </c>
      <c r="Q67" s="1069">
        <v>5718.956452690275</v>
      </c>
      <c r="R67" s="1069">
        <v>8979.5779999999995</v>
      </c>
      <c r="S67" s="1069">
        <v>20767.737000000001</v>
      </c>
      <c r="T67" s="1069">
        <v>26219.801350000002</v>
      </c>
      <c r="U67" s="1069">
        <v>25983.181</v>
      </c>
      <c r="V67" s="1069">
        <v>29277.888910000009</v>
      </c>
      <c r="W67" s="1069">
        <v>32370.873</v>
      </c>
      <c r="X67" s="1069">
        <v>32530.539860000001</v>
      </c>
      <c r="Y67" s="1069">
        <v>45567.091</v>
      </c>
      <c r="Z67" s="1069">
        <v>64893.722999999998</v>
      </c>
      <c r="AA67" s="1069">
        <v>41748.892</v>
      </c>
      <c r="AB67" s="1069">
        <v>20770.733</v>
      </c>
      <c r="AC67" s="1069">
        <v>12841.471200000004</v>
      </c>
      <c r="AD67" s="1069">
        <v>21433.50210666666</v>
      </c>
      <c r="AE67" s="1069">
        <v>24554.708999999999</v>
      </c>
      <c r="AF67" s="1069">
        <v>32548.556</v>
      </c>
      <c r="AG67" s="1069">
        <v>56958.593999999997</v>
      </c>
      <c r="AH67" s="1061">
        <f t="shared" ref="AH67:AH68" si="14">+AG67-AF67</f>
        <v>24410.037999999997</v>
      </c>
      <c r="AI67" s="1061">
        <f t="shared" ref="AI67:AI68" si="15">+AG67/AF67*100-100</f>
        <v>74.995763252907409</v>
      </c>
      <c r="AK67" s="10"/>
      <c r="AL67" s="10"/>
    </row>
    <row r="68" spans="1:38" ht="24" customHeight="1">
      <c r="A68" s="1060">
        <v>58</v>
      </c>
      <c r="B68" s="943" t="s">
        <v>63</v>
      </c>
      <c r="C68" s="1061">
        <v>1.569557137439811</v>
      </c>
      <c r="D68" s="1061">
        <v>2.1988265888557721</v>
      </c>
      <c r="E68" s="1061">
        <v>2.3471027239595337</v>
      </c>
      <c r="F68" s="1061">
        <v>3.0089205952763196</v>
      </c>
      <c r="G68" s="1061">
        <v>4.607409661516864</v>
      </c>
      <c r="H68" s="1061">
        <v>14.583862010229911</v>
      </c>
      <c r="I68" s="1061">
        <v>25.819938209104908</v>
      </c>
      <c r="J68" s="1061">
        <v>35.704893332985634</v>
      </c>
      <c r="K68" s="1061">
        <v>51.026519527634257</v>
      </c>
      <c r="L68" s="1061">
        <v>70.022330684228706</v>
      </c>
      <c r="M68" s="1061">
        <v>113.84775712252056</v>
      </c>
      <c r="N68" s="1061">
        <v>146.89934339997583</v>
      </c>
      <c r="O68" s="1061">
        <v>263.22623071643585</v>
      </c>
      <c r="P68" s="1061">
        <v>227.49859442819888</v>
      </c>
      <c r="Q68" s="1061">
        <v>1057.2078782033334</v>
      </c>
      <c r="R68" s="1061">
        <v>1973.143</v>
      </c>
      <c r="S68" s="1061">
        <v>4022.36</v>
      </c>
      <c r="T68" s="1061">
        <v>5236.3230000000003</v>
      </c>
      <c r="U68" s="1061">
        <v>2939.694</v>
      </c>
      <c r="V68" s="1061">
        <v>4648.2309999999998</v>
      </c>
      <c r="W68" s="1061">
        <v>5732.4679999999998</v>
      </c>
      <c r="X68" s="1061">
        <v>7505.3261399999992</v>
      </c>
      <c r="Y68" s="1061">
        <v>12996.165999999999</v>
      </c>
      <c r="Z68" s="1061">
        <v>16572.605</v>
      </c>
      <c r="AA68" s="1061">
        <v>9991.5609999999997</v>
      </c>
      <c r="AB68" s="1061">
        <v>3086.68</v>
      </c>
      <c r="AC68" s="1061">
        <v>1849.4792</v>
      </c>
      <c r="AD68" s="1061">
        <v>1903.6980800000001</v>
      </c>
      <c r="AE68" s="1061">
        <v>2477.8649999999998</v>
      </c>
      <c r="AF68" s="1061">
        <v>4774.0439999999999</v>
      </c>
      <c r="AG68" s="1061">
        <v>7146.0029999999997</v>
      </c>
      <c r="AH68" s="1061">
        <f t="shared" si="14"/>
        <v>2371.9589999999998</v>
      </c>
      <c r="AI68" s="1061">
        <f t="shared" si="15"/>
        <v>49.684481332807167</v>
      </c>
      <c r="AK68" s="10"/>
      <c r="AL68" s="10"/>
    </row>
    <row r="69" spans="1:38" ht="24" customHeight="1">
      <c r="A69" s="1060">
        <v>59</v>
      </c>
      <c r="B69" s="943" t="s">
        <v>64</v>
      </c>
      <c r="C69" s="1061">
        <v>1.6575310584178284</v>
      </c>
      <c r="D69" s="1061">
        <v>2.322071160179815</v>
      </c>
      <c r="E69" s="1061">
        <v>2.4786581956524674</v>
      </c>
      <c r="F69" s="1061">
        <v>3.1775710612986945</v>
      </c>
      <c r="G69" s="1061">
        <v>4.865655687613625</v>
      </c>
      <c r="H69" s="1061">
        <v>15.40128973773211</v>
      </c>
      <c r="I69" s="1061">
        <v>27.267149750170709</v>
      </c>
      <c r="J69" s="1061">
        <v>37.706158141814598</v>
      </c>
      <c r="K69" s="1061">
        <v>53.886563860922827</v>
      </c>
      <c r="L69" s="1061">
        <v>73.947093178927759</v>
      </c>
      <c r="M69" s="1061">
        <v>120.22894156602429</v>
      </c>
      <c r="N69" s="1061">
        <v>155.13307438034144</v>
      </c>
      <c r="O69" s="1061">
        <v>277.98010177216679</v>
      </c>
      <c r="P69" s="1061">
        <v>240.24992592893179</v>
      </c>
      <c r="Q69" s="1061">
        <v>1116.4645437402796</v>
      </c>
      <c r="R69" s="1061">
        <v>2092.846</v>
      </c>
      <c r="S69" s="1061">
        <v>4491.4549999999999</v>
      </c>
      <c r="T69" s="1061">
        <v>6181.9070000000002</v>
      </c>
      <c r="U69" s="1061">
        <v>5497.8329999999996</v>
      </c>
      <c r="V69" s="1061">
        <v>6181.3980000000001</v>
      </c>
      <c r="W69" s="1061">
        <v>7032.2060000000001</v>
      </c>
      <c r="X69" s="1061">
        <v>8093.2539999999999</v>
      </c>
      <c r="Y69" s="1061">
        <v>12261.332</v>
      </c>
      <c r="Z69" s="1061">
        <v>16725.505000000001</v>
      </c>
      <c r="AA69" s="1061">
        <v>13532.762000000001</v>
      </c>
      <c r="AB69" s="1061">
        <v>5123.2640000000001</v>
      </c>
      <c r="AC69" s="1061">
        <v>1260.5619999999999</v>
      </c>
      <c r="AD69" s="1061">
        <v>5855.4040000000005</v>
      </c>
      <c r="AE69" s="1061">
        <v>3230.239</v>
      </c>
      <c r="AF69" s="1061">
        <v>5139.4480000000003</v>
      </c>
      <c r="AG69" s="1061">
        <v>7646.6970000000001</v>
      </c>
      <c r="AH69" s="1061">
        <f t="shared" ref="AH69:AH74" si="16">+AG69-AF69</f>
        <v>2507.2489999999998</v>
      </c>
      <c r="AI69" s="1061">
        <f t="shared" ref="AI69:AI74" si="17">+AG69/AF69*100-100</f>
        <v>48.78440252727529</v>
      </c>
      <c r="AK69" s="10"/>
      <c r="AL69" s="10"/>
    </row>
    <row r="70" spans="1:38" ht="24" customHeight="1">
      <c r="A70" s="1060">
        <v>60</v>
      </c>
      <c r="B70" s="943" t="s">
        <v>65</v>
      </c>
      <c r="C70" s="1061">
        <v>1.1498824797392262</v>
      </c>
      <c r="D70" s="1061">
        <v>1.6108952711554139</v>
      </c>
      <c r="E70" s="1061">
        <v>1.7195247220063548</v>
      </c>
      <c r="F70" s="1061">
        <v>2.2043830026337243</v>
      </c>
      <c r="G70" s="1061">
        <v>3.3754614727828902</v>
      </c>
      <c r="H70" s="1061">
        <v>10.684368865890331</v>
      </c>
      <c r="I70" s="1061">
        <v>18.916096691470521</v>
      </c>
      <c r="J70" s="1061">
        <v>26.157971764906527</v>
      </c>
      <c r="K70" s="1061">
        <v>37.38283838625032</v>
      </c>
      <c r="L70" s="1061">
        <v>51.299471248072791</v>
      </c>
      <c r="M70" s="1061">
        <v>83.406674500763927</v>
      </c>
      <c r="N70" s="1061">
        <v>107.62079138855557</v>
      </c>
      <c r="O70" s="1061">
        <v>192.84371603211673</v>
      </c>
      <c r="P70" s="1061">
        <v>166.66908241708876</v>
      </c>
      <c r="Q70" s="1061">
        <v>774.52727752952717</v>
      </c>
      <c r="R70" s="1061">
        <v>1445.7529999999999</v>
      </c>
      <c r="S70" s="1061">
        <v>3525.2240000000002</v>
      </c>
      <c r="T70" s="1061">
        <v>5688.3969999999999</v>
      </c>
      <c r="U70" s="1061">
        <v>4825.4809999999998</v>
      </c>
      <c r="V70" s="1061">
        <v>6366.3720000000003</v>
      </c>
      <c r="W70" s="1061">
        <v>8842.4509999999991</v>
      </c>
      <c r="X70" s="1061">
        <v>9909.6929999999993</v>
      </c>
      <c r="Y70" s="1061">
        <v>11228.896000000001</v>
      </c>
      <c r="Z70" s="1061">
        <v>16414.623</v>
      </c>
      <c r="AA70" s="1061">
        <v>8643.3119999999999</v>
      </c>
      <c r="AB70" s="1061">
        <v>3598.835</v>
      </c>
      <c r="AC70" s="1061">
        <v>2056.6936599999999</v>
      </c>
      <c r="AD70" s="1061">
        <v>2834.21288</v>
      </c>
      <c r="AE70" s="1061">
        <v>4494.741</v>
      </c>
      <c r="AF70" s="1061">
        <v>4524.7049999999999</v>
      </c>
      <c r="AG70" s="1061">
        <v>8000.4759999999997</v>
      </c>
      <c r="AH70" s="1061">
        <f t="shared" si="16"/>
        <v>3475.7709999999997</v>
      </c>
      <c r="AI70" s="1061">
        <f t="shared" si="17"/>
        <v>76.817626784508604</v>
      </c>
      <c r="AK70" s="10"/>
      <c r="AL70" s="10"/>
    </row>
    <row r="71" spans="1:38" ht="24" customHeight="1">
      <c r="A71" s="1060">
        <v>61</v>
      </c>
      <c r="B71" s="943" t="s">
        <v>66</v>
      </c>
      <c r="C71" s="1061">
        <v>1.0877919612875548</v>
      </c>
      <c r="D71" s="1061">
        <v>1.523911319038787</v>
      </c>
      <c r="E71" s="1061">
        <v>1.6266750757502841</v>
      </c>
      <c r="F71" s="1061">
        <v>2.0853523313162348</v>
      </c>
      <c r="G71" s="1061">
        <v>3.1931957573279841</v>
      </c>
      <c r="H71" s="1061">
        <v>10.107442080848374</v>
      </c>
      <c r="I71" s="1061">
        <v>17.894679049798388</v>
      </c>
      <c r="J71" s="1061">
        <v>24.745512616128508</v>
      </c>
      <c r="K71" s="1061">
        <v>35.364267047443846</v>
      </c>
      <c r="L71" s="1061">
        <v>48.529439682054154</v>
      </c>
      <c r="M71" s="1061">
        <v>78.902941507756964</v>
      </c>
      <c r="N71" s="1061">
        <v>101.8095621097079</v>
      </c>
      <c r="O71" s="1061">
        <v>182.4306812050304</v>
      </c>
      <c r="P71" s="1061">
        <v>157.66940643325415</v>
      </c>
      <c r="Q71" s="1061">
        <v>732.70491649340136</v>
      </c>
      <c r="R71" s="1061">
        <v>1373.847</v>
      </c>
      <c r="S71" s="1061">
        <v>4494.6440000000002</v>
      </c>
      <c r="T71" s="1061">
        <v>6959.5690000000004</v>
      </c>
      <c r="U71" s="1061">
        <v>3348.3359999999998</v>
      </c>
      <c r="V71" s="1061">
        <v>3732.1849999999999</v>
      </c>
      <c r="W71" s="1061">
        <v>4678.857</v>
      </c>
      <c r="X71" s="1061">
        <v>5951.473</v>
      </c>
      <c r="Y71" s="1061">
        <v>9940.6579999999994</v>
      </c>
      <c r="Z71" s="1061">
        <v>11776.617</v>
      </c>
      <c r="AA71" s="1061">
        <v>7162.7</v>
      </c>
      <c r="AB71" s="1061">
        <v>3539.55</v>
      </c>
      <c r="AC71" s="1061">
        <v>1346.3</v>
      </c>
      <c r="AD71" s="1061">
        <v>2530.6091099999999</v>
      </c>
      <c r="AE71" s="1061">
        <v>4761.2449999999999</v>
      </c>
      <c r="AF71" s="1061">
        <v>6991.2979999999998</v>
      </c>
      <c r="AG71" s="1061">
        <v>7421.8639999999996</v>
      </c>
      <c r="AH71" s="1061">
        <f t="shared" si="16"/>
        <v>430.5659999999998</v>
      </c>
      <c r="AI71" s="1061">
        <f t="shared" si="17"/>
        <v>6.1585988753447509</v>
      </c>
      <c r="AK71" s="10"/>
      <c r="AL71" s="10"/>
    </row>
    <row r="72" spans="1:38" ht="24" customHeight="1">
      <c r="A72" s="1060">
        <v>62</v>
      </c>
      <c r="B72" s="943" t="s">
        <v>67</v>
      </c>
      <c r="C72" s="1061">
        <v>1.558080010491284</v>
      </c>
      <c r="D72" s="1061">
        <v>2.1827480331306464</v>
      </c>
      <c r="E72" s="1061">
        <v>2.3299399235226805</v>
      </c>
      <c r="F72" s="1061">
        <v>2.9869183611261483</v>
      </c>
      <c r="G72" s="1061">
        <v>4.5737187404744137</v>
      </c>
      <c r="H72" s="1061">
        <v>14.477219931583297</v>
      </c>
      <c r="I72" s="1061">
        <v>25.631134181803045</v>
      </c>
      <c r="J72" s="1061">
        <v>35.443807206401722</v>
      </c>
      <c r="K72" s="1061">
        <v>50.653396543838063</v>
      </c>
      <c r="L72" s="1061">
        <v>69.510303973429558</v>
      </c>
      <c r="M72" s="1061">
        <v>113.01526423001485</v>
      </c>
      <c r="N72" s="1061">
        <v>145.82516624984871</v>
      </c>
      <c r="O72" s="1061">
        <v>261.30143244433049</v>
      </c>
      <c r="P72" s="1061">
        <v>225.8350485867758</v>
      </c>
      <c r="Q72" s="1061">
        <v>1049.4772204657536</v>
      </c>
      <c r="R72" s="1061">
        <v>1967.425</v>
      </c>
      <c r="S72" s="1061">
        <v>5675.86</v>
      </c>
      <c r="T72" s="1061">
        <v>6083.2560000000003</v>
      </c>
      <c r="U72" s="1061">
        <v>3748.7190000000001</v>
      </c>
      <c r="V72" s="1061">
        <v>5166.6100900000001</v>
      </c>
      <c r="W72" s="1061">
        <v>5363.5330000000004</v>
      </c>
      <c r="X72" s="1061">
        <v>7189.6949999999997</v>
      </c>
      <c r="Y72" s="1061">
        <v>9442.8469999999998</v>
      </c>
      <c r="Z72" s="1061">
        <v>15924.722</v>
      </c>
      <c r="AA72" s="1061">
        <v>10457.23</v>
      </c>
      <c r="AB72" s="1061">
        <v>4386.28</v>
      </c>
      <c r="AC72" s="1061">
        <v>1926.4200600000001</v>
      </c>
      <c r="AD72" s="1061">
        <v>2376.3269899999996</v>
      </c>
      <c r="AE72" s="1061">
        <v>4667.4759999999997</v>
      </c>
      <c r="AF72" s="1061">
        <v>8427.384</v>
      </c>
      <c r="AG72" s="1061">
        <v>11002.608</v>
      </c>
      <c r="AH72" s="1061">
        <f t="shared" si="16"/>
        <v>2575.2240000000002</v>
      </c>
      <c r="AI72" s="1061">
        <f t="shared" si="17"/>
        <v>30.557810110468466</v>
      </c>
      <c r="AK72" s="10"/>
      <c r="AL72" s="10"/>
    </row>
    <row r="73" spans="1:38" ht="24" customHeight="1">
      <c r="A73" s="1060">
        <v>63</v>
      </c>
      <c r="B73" s="943" t="s">
        <v>68</v>
      </c>
      <c r="C73" s="1061">
        <v>2.0333293868511131</v>
      </c>
      <c r="D73" s="1061">
        <v>2.8485351778928041</v>
      </c>
      <c r="E73" s="1061">
        <v>3.0406238987704439</v>
      </c>
      <c r="F73" s="1061">
        <v>3.8979955065901528</v>
      </c>
      <c r="G73" s="1061">
        <v>5.9688056194661705</v>
      </c>
      <c r="H73" s="1061">
        <v>18.893096971004148</v>
      </c>
      <c r="I73" s="1061">
        <v>33.449205431851439</v>
      </c>
      <c r="J73" s="1061">
        <v>46.25496398733565</v>
      </c>
      <c r="K73" s="1061">
        <v>66.103819471974873</v>
      </c>
      <c r="L73" s="1061">
        <v>90.712506935739739</v>
      </c>
      <c r="M73" s="1061">
        <v>147.48745659677289</v>
      </c>
      <c r="N73" s="1061">
        <v>190.30511519416305</v>
      </c>
      <c r="O73" s="1061">
        <v>341.00423459499888</v>
      </c>
      <c r="P73" s="1061">
        <v>294.71980757114596</v>
      </c>
      <c r="Q73" s="1061">
        <v>1369.591329607639</v>
      </c>
      <c r="R73" s="1061">
        <v>2567.6990000000001</v>
      </c>
      <c r="S73" s="1061">
        <v>5817.317</v>
      </c>
      <c r="T73" s="1061">
        <v>8999.5130000000008</v>
      </c>
      <c r="U73" s="1061">
        <v>6563.049</v>
      </c>
      <c r="V73" s="1061">
        <v>8567.2330000000002</v>
      </c>
      <c r="W73" s="1061">
        <v>12217.825000000001</v>
      </c>
      <c r="X73" s="1061">
        <v>15212.102000000001</v>
      </c>
      <c r="Y73" s="1061">
        <v>23535.088</v>
      </c>
      <c r="Z73" s="1061">
        <v>30268.741999999998</v>
      </c>
      <c r="AA73" s="1061">
        <v>16827.407999999999</v>
      </c>
      <c r="AB73" s="1061">
        <v>8199.8760000000002</v>
      </c>
      <c r="AC73" s="1061">
        <v>2686.7493599999998</v>
      </c>
      <c r="AD73" s="1061">
        <v>4308.8590000000004</v>
      </c>
      <c r="AE73" s="1061">
        <v>6353.9579999999996</v>
      </c>
      <c r="AF73" s="1061">
        <v>8708.9429999999993</v>
      </c>
      <c r="AG73" s="1061">
        <v>13378.061</v>
      </c>
      <c r="AH73" s="1061">
        <f t="shared" si="16"/>
        <v>4669.1180000000004</v>
      </c>
      <c r="AI73" s="1061">
        <f t="shared" si="17"/>
        <v>53.612912611783088</v>
      </c>
      <c r="AK73" s="10"/>
      <c r="AL73" s="10"/>
    </row>
    <row r="74" spans="1:38" ht="24" customHeight="1">
      <c r="A74" s="1060">
        <v>64</v>
      </c>
      <c r="B74" s="943" t="s">
        <v>69</v>
      </c>
      <c r="C74" s="1063">
        <v>4.438905582489439</v>
      </c>
      <c r="D74" s="1063">
        <v>6.2185589727040993</v>
      </c>
      <c r="E74" s="1063">
        <v>6.6379025876397382</v>
      </c>
      <c r="F74" s="1063">
        <v>8.5096070152792951</v>
      </c>
      <c r="G74" s="1063">
        <v>13.030335742146418</v>
      </c>
      <c r="H74" s="1063">
        <v>41.245001502181822</v>
      </c>
      <c r="I74" s="1063">
        <v>73.022042410560729</v>
      </c>
      <c r="J74" s="1063">
        <v>100.9779424765017</v>
      </c>
      <c r="K74" s="1063">
        <v>144.30943416031448</v>
      </c>
      <c r="L74" s="1063">
        <v>198.03198441067502</v>
      </c>
      <c r="M74" s="1063">
        <v>321.97581890480097</v>
      </c>
      <c r="N74" s="1063">
        <v>415.44987431665987</v>
      </c>
      <c r="O74" s="1063">
        <v>744.43698614931577</v>
      </c>
      <c r="P74" s="1063">
        <v>643.3947237263659</v>
      </c>
      <c r="Q74" s="1063">
        <v>2989.9172451047848</v>
      </c>
      <c r="R74" s="1063">
        <v>5595.0510000000004</v>
      </c>
      <c r="S74" s="1063">
        <v>10298.207</v>
      </c>
      <c r="T74" s="1063">
        <v>12729.557650000001</v>
      </c>
      <c r="U74" s="1063">
        <v>6473.1180000000004</v>
      </c>
      <c r="V74" s="1063">
        <v>10654.144</v>
      </c>
      <c r="W74" s="1088">
        <v>11414.796</v>
      </c>
      <c r="X74" s="1088">
        <v>13846.976000000001</v>
      </c>
      <c r="Y74" s="1088">
        <v>19381.387999999999</v>
      </c>
      <c r="Z74" s="1088">
        <v>30301.746999999999</v>
      </c>
      <c r="AA74" s="1088">
        <v>22877.553</v>
      </c>
      <c r="AB74" s="1063">
        <v>12025.332</v>
      </c>
      <c r="AC74" s="1064">
        <v>8363.1855199999991</v>
      </c>
      <c r="AD74" s="1064">
        <v>9577.9940000000006</v>
      </c>
      <c r="AE74" s="1064">
        <v>16155.737999999999</v>
      </c>
      <c r="AF74" s="1064">
        <v>13098.547</v>
      </c>
      <c r="AG74" s="1063">
        <v>19324.016</v>
      </c>
      <c r="AH74" s="1061">
        <f t="shared" si="16"/>
        <v>6225.4689999999991</v>
      </c>
      <c r="AI74" s="1061">
        <f t="shared" si="17"/>
        <v>47.52793573210829</v>
      </c>
      <c r="AK74" s="10"/>
      <c r="AL74" s="10"/>
    </row>
    <row r="75" spans="1:38" ht="24" customHeight="1">
      <c r="A75" s="1387" t="s">
        <v>71</v>
      </c>
      <c r="B75" s="1387"/>
      <c r="C75" s="1065">
        <v>21.985582752075342</v>
      </c>
      <c r="D75" s="1065">
        <v>30.800079062815229</v>
      </c>
      <c r="E75" s="1065">
        <v>32.877058078564282</v>
      </c>
      <c r="F75" s="1065">
        <v>42.147476612273472</v>
      </c>
      <c r="G75" s="1065">
        <v>64.538323562543752</v>
      </c>
      <c r="H75" s="1065">
        <v>204.28355070511296</v>
      </c>
      <c r="I75" s="1065">
        <v>361.67296787659433</v>
      </c>
      <c r="J75" s="1065">
        <v>500.13654699237196</v>
      </c>
      <c r="K75" s="1065">
        <v>714.75433475145576</v>
      </c>
      <c r="L75" s="1065">
        <v>980.83829446465791</v>
      </c>
      <c r="M75" s="1065">
        <v>1594.7232666140105</v>
      </c>
      <c r="N75" s="1065">
        <v>2057.6935961782101</v>
      </c>
      <c r="O75" s="1065">
        <v>3687.1432965943891</v>
      </c>
      <c r="P75" s="1065">
        <v>3186.6881774947783</v>
      </c>
      <c r="Q75" s="1065">
        <v>14808.846863834995</v>
      </c>
      <c r="R75" s="1065">
        <v>25995.342000000001</v>
      </c>
      <c r="S75" s="1065">
        <v>59092.804000000011</v>
      </c>
      <c r="T75" s="1065">
        <v>78098.324000000008</v>
      </c>
      <c r="U75" s="1065">
        <v>59379.411</v>
      </c>
      <c r="V75" s="1065">
        <v>74594.062000000005</v>
      </c>
      <c r="W75" s="1065">
        <v>87653.009000000005</v>
      </c>
      <c r="X75" s="1065">
        <v>100239.05899999999</v>
      </c>
      <c r="Y75" s="1065">
        <v>144353.46599999999</v>
      </c>
      <c r="Z75" s="1065">
        <v>202878.28400000001</v>
      </c>
      <c r="AA75" s="1065">
        <v>131241.41800000001</v>
      </c>
      <c r="AB75" s="1065">
        <v>60730.549999999996</v>
      </c>
      <c r="AC75" s="1065">
        <v>32330.861000000004</v>
      </c>
      <c r="AD75" s="1065">
        <v>50820.606166666657</v>
      </c>
      <c r="AE75" s="1065">
        <v>66695.971000000005</v>
      </c>
      <c r="AF75" s="1065">
        <v>84212.925000000003</v>
      </c>
      <c r="AG75" s="1065">
        <f>SUM(AG67:AG74)</f>
        <v>130878.319</v>
      </c>
      <c r="AH75" s="1065">
        <f>+AG75-AF75</f>
        <v>46665.394</v>
      </c>
      <c r="AI75" s="1065">
        <f>+AG75/AF75*100-100</f>
        <v>55.413576953893937</v>
      </c>
      <c r="AK75" s="10"/>
      <c r="AL75" s="10"/>
    </row>
    <row r="76" spans="1:38" ht="12.75" customHeight="1"/>
    <row r="77" spans="1:38">
      <c r="B77" s="945" t="s">
        <v>369</v>
      </c>
      <c r="C77" s="945"/>
      <c r="D77" s="945"/>
      <c r="E77" s="945"/>
      <c r="F77" s="945"/>
      <c r="G77" s="945"/>
      <c r="H77" s="945"/>
      <c r="I77" s="945"/>
      <c r="J77" s="945"/>
      <c r="K77" s="945"/>
      <c r="L77" s="945"/>
      <c r="M77" s="945"/>
      <c r="N77" s="945"/>
      <c r="O77" s="945"/>
      <c r="P77" s="945"/>
      <c r="Q77" s="945"/>
      <c r="R77" s="945"/>
      <c r="S77" s="945"/>
      <c r="T77" s="945"/>
      <c r="U77" s="945"/>
      <c r="AC77" s="10"/>
      <c r="AD77" s="10"/>
      <c r="AE77" s="10"/>
      <c r="AF77" s="10"/>
    </row>
    <row r="78" spans="1:38">
      <c r="AC78" s="10"/>
      <c r="AD78" s="10"/>
      <c r="AE78" s="10"/>
      <c r="AF78" s="10"/>
    </row>
    <row r="79" spans="1:38">
      <c r="AC79" s="10"/>
      <c r="AD79" s="10"/>
      <c r="AE79" s="10"/>
      <c r="AF79" s="10"/>
      <c r="AG79" s="123"/>
    </row>
    <row r="80" spans="1:38">
      <c r="AC80" s="10"/>
      <c r="AD80" s="10"/>
      <c r="AE80" s="123"/>
      <c r="AF80" s="123"/>
    </row>
    <row r="82" spans="29:30">
      <c r="AC82" s="10"/>
      <c r="AD82" s="10"/>
    </row>
  </sheetData>
  <mergeCells count="43">
    <mergeCell ref="AG3:AG4"/>
    <mergeCell ref="AH3:AI3"/>
    <mergeCell ref="Y3:Y4"/>
    <mergeCell ref="AH2:AI2"/>
    <mergeCell ref="Z3:Z4"/>
    <mergeCell ref="AA3:AA4"/>
    <mergeCell ref="AB3:AB4"/>
    <mergeCell ref="AC3:AC4"/>
    <mergeCell ref="AD3:AD4"/>
    <mergeCell ref="AF3:AF4"/>
    <mergeCell ref="AE3:AE4"/>
    <mergeCell ref="F3:F4"/>
    <mergeCell ref="J3:J4"/>
    <mergeCell ref="K3:K4"/>
    <mergeCell ref="B1:AI1"/>
    <mergeCell ref="A3:A4"/>
    <mergeCell ref="B3:B4"/>
    <mergeCell ref="L3:L4"/>
    <mergeCell ref="M3:M4"/>
    <mergeCell ref="N3:N4"/>
    <mergeCell ref="O3:O4"/>
    <mergeCell ref="P3:P4"/>
    <mergeCell ref="Q3:Q4"/>
    <mergeCell ref="R3:R4"/>
    <mergeCell ref="G3:G4"/>
    <mergeCell ref="H3:H4"/>
    <mergeCell ref="I3:I4"/>
    <mergeCell ref="A75:B75"/>
    <mergeCell ref="A12:B12"/>
    <mergeCell ref="A21:B21"/>
    <mergeCell ref="E3:E4"/>
    <mergeCell ref="X3:X4"/>
    <mergeCell ref="A66:B66"/>
    <mergeCell ref="A40:B40"/>
    <mergeCell ref="A6:B6"/>
    <mergeCell ref="S3:S4"/>
    <mergeCell ref="T3:T4"/>
    <mergeCell ref="U3:U4"/>
    <mergeCell ref="C3:C4"/>
    <mergeCell ref="D3:D4"/>
    <mergeCell ref="V3:V4"/>
    <mergeCell ref="W3:W4"/>
    <mergeCell ref="A5:B5"/>
  </mergeCells>
  <printOptions horizontalCentered="1" verticalCentered="1"/>
  <pageMargins left="0.11811023622047245" right="0.11811023622047245" top="0.27559055118110237" bottom="0.55118110236220474" header="0.31496062992125984" footer="0.31496062992125984"/>
  <pageSetup paperSize="9" scale="55" orientation="landscape" r:id="rId1"/>
  <rowBreaks count="2" manualBreakCount="2">
    <brk id="21" max="35" man="1"/>
    <brk id="40" max="35" man="1"/>
  </rowBreaks>
  <ignoredErrors>
    <ignoredError sqref="AG12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0000"/>
  </sheetPr>
  <dimension ref="A1:P85"/>
  <sheetViews>
    <sheetView view="pageBreakPreview" zoomScale="55" zoomScaleNormal="85" zoomScaleSheetLayoutView="55" workbookViewId="0">
      <selection activeCell="D26" sqref="D26"/>
    </sheetView>
  </sheetViews>
  <sheetFormatPr defaultRowHeight="22.5"/>
  <cols>
    <col min="1" max="1" width="5.28515625" customWidth="1"/>
    <col min="2" max="2" width="39.7109375" style="946" customWidth="1"/>
    <col min="3" max="7" width="19.7109375" customWidth="1"/>
    <col min="8" max="8" width="24" customWidth="1"/>
    <col min="9" max="11" width="24.42578125" customWidth="1"/>
    <col min="12" max="12" width="24" customWidth="1"/>
    <col min="13" max="13" width="24.42578125" customWidth="1"/>
  </cols>
  <sheetData>
    <row r="1" spans="1:16" ht="69.75" customHeight="1">
      <c r="A1" s="1054"/>
      <c r="B1" s="1393" t="s">
        <v>500</v>
      </c>
      <c r="C1" s="1393"/>
      <c r="D1" s="1393"/>
      <c r="E1" s="1393"/>
      <c r="F1" s="1393"/>
      <c r="G1" s="1393"/>
      <c r="H1" s="1393"/>
      <c r="I1" s="1393"/>
      <c r="J1" s="1076"/>
      <c r="K1" s="1076"/>
      <c r="L1" s="1051"/>
      <c r="M1" s="1054" t="s">
        <v>218</v>
      </c>
    </row>
    <row r="2" spans="1:16" ht="24" customHeight="1">
      <c r="A2" s="1394" t="s">
        <v>105</v>
      </c>
      <c r="B2" s="1394" t="s">
        <v>106</v>
      </c>
      <c r="C2" s="1400" t="s">
        <v>489</v>
      </c>
      <c r="D2" s="1400" t="s">
        <v>490</v>
      </c>
      <c r="E2" s="1400" t="s">
        <v>491</v>
      </c>
      <c r="F2" s="1400" t="s">
        <v>492</v>
      </c>
      <c r="G2" s="1400" t="s">
        <v>493</v>
      </c>
      <c r="H2" s="1400" t="s">
        <v>498</v>
      </c>
      <c r="I2" s="1400" t="s">
        <v>499</v>
      </c>
      <c r="J2" s="1400" t="s">
        <v>501</v>
      </c>
      <c r="K2" s="1400" t="s">
        <v>502</v>
      </c>
      <c r="L2" s="1401" t="s">
        <v>495</v>
      </c>
      <c r="M2" s="1402"/>
    </row>
    <row r="3" spans="1:16" ht="24" customHeight="1">
      <c r="A3" s="1394"/>
      <c r="B3" s="1394"/>
      <c r="C3" s="1400"/>
      <c r="D3" s="1400"/>
      <c r="E3" s="1400"/>
      <c r="F3" s="1400"/>
      <c r="G3" s="1400"/>
      <c r="H3" s="1400"/>
      <c r="I3" s="1400"/>
      <c r="J3" s="1400"/>
      <c r="K3" s="1400"/>
      <c r="L3" s="1397" t="s">
        <v>496</v>
      </c>
      <c r="M3" s="1397" t="s">
        <v>497</v>
      </c>
    </row>
    <row r="4" spans="1:16" ht="12.75" customHeight="1">
      <c r="A4" s="1394"/>
      <c r="B4" s="1394"/>
      <c r="C4" s="1400"/>
      <c r="D4" s="1400"/>
      <c r="E4" s="1400"/>
      <c r="F4" s="1400"/>
      <c r="G4" s="1400"/>
      <c r="H4" s="1400"/>
      <c r="I4" s="1400"/>
      <c r="J4" s="1400"/>
      <c r="K4" s="1400"/>
      <c r="L4" s="1398"/>
      <c r="M4" s="1398"/>
    </row>
    <row r="5" spans="1:16" ht="51" customHeight="1">
      <c r="A5" s="1394"/>
      <c r="B5" s="1394"/>
      <c r="C5" s="1400"/>
      <c r="D5" s="1400"/>
      <c r="E5" s="1400"/>
      <c r="F5" s="1400"/>
      <c r="G5" s="1400"/>
      <c r="H5" s="1400"/>
      <c r="I5" s="1400"/>
      <c r="J5" s="1400"/>
      <c r="K5" s="1400"/>
      <c r="L5" s="1399"/>
      <c r="M5" s="1399"/>
    </row>
    <row r="6" spans="1:16">
      <c r="A6" s="1055"/>
      <c r="B6" s="1050"/>
      <c r="C6" s="1056"/>
      <c r="D6" s="1056"/>
      <c r="E6" s="1056"/>
      <c r="F6" s="1056"/>
      <c r="G6" s="1056"/>
      <c r="H6" s="1057"/>
      <c r="I6" s="1054"/>
      <c r="J6" s="1054"/>
      <c r="K6" s="1054"/>
      <c r="L6" s="1057"/>
      <c r="M6" s="1054"/>
    </row>
    <row r="7" spans="1:16" ht="24" customHeight="1">
      <c r="A7" s="1058">
        <v>1</v>
      </c>
      <c r="B7" s="942" t="s">
        <v>70</v>
      </c>
      <c r="C7" s="1059">
        <v>35997.106530000005</v>
      </c>
      <c r="D7" s="1059">
        <v>32638.843000000001</v>
      </c>
      <c r="E7" s="1059">
        <v>37334.585100000004</v>
      </c>
      <c r="F7" s="1059">
        <v>51845.799340000005</v>
      </c>
      <c r="G7" s="1059">
        <v>71016.044469999993</v>
      </c>
      <c r="H7" s="1059">
        <v>34805.570220000001</v>
      </c>
      <c r="I7" s="1059">
        <v>21628.85397</v>
      </c>
      <c r="J7" s="1059">
        <v>1683.4941899999999</v>
      </c>
      <c r="K7" s="1059">
        <v>472.36200000000002</v>
      </c>
      <c r="L7" s="1059">
        <f t="shared" ref="L7:L70" si="0">SUM(K7-J7)</f>
        <v>-1211.1321899999998</v>
      </c>
      <c r="M7" s="1059">
        <f>K7/J7*100-100</f>
        <v>-71.941572308010166</v>
      </c>
    </row>
    <row r="8" spans="1:16" ht="24" customHeight="1">
      <c r="A8" s="1060">
        <v>2</v>
      </c>
      <c r="B8" s="943" t="s">
        <v>63</v>
      </c>
      <c r="C8" s="1061">
        <v>4643.1490000000003</v>
      </c>
      <c r="D8" s="1061">
        <v>6189.5950000000003</v>
      </c>
      <c r="E8" s="1061">
        <v>7494.7235499999997</v>
      </c>
      <c r="F8" s="1061">
        <v>12995.70213</v>
      </c>
      <c r="G8" s="1061">
        <v>16638.100300000002</v>
      </c>
      <c r="H8" s="1061">
        <v>8719.9102899999998</v>
      </c>
      <c r="I8" s="1061">
        <v>2675.567</v>
      </c>
      <c r="J8" s="1061">
        <v>211.42321000000001</v>
      </c>
      <c r="K8" s="1061">
        <v>20</v>
      </c>
      <c r="L8" s="1061">
        <f t="shared" si="0"/>
        <v>-191.42321000000001</v>
      </c>
      <c r="M8" s="1061">
        <f t="shared" ref="M8:M71" si="1">K8/J8*100-100</f>
        <v>-90.540300660462023</v>
      </c>
    </row>
    <row r="9" spans="1:16" ht="24" customHeight="1">
      <c r="A9" s="1060">
        <v>3</v>
      </c>
      <c r="B9" s="943" t="s">
        <v>64</v>
      </c>
      <c r="C9" s="1061">
        <v>6167.1409999999996</v>
      </c>
      <c r="D9" s="1061">
        <v>6868.55</v>
      </c>
      <c r="E9" s="1061">
        <v>8088.7605400000002</v>
      </c>
      <c r="F9" s="1061">
        <v>12253.05341</v>
      </c>
      <c r="G9" s="1061">
        <v>16102.92765</v>
      </c>
      <c r="H9" s="1061">
        <v>11430.318039999998</v>
      </c>
      <c r="I9" s="1061">
        <v>4380.4961499999999</v>
      </c>
      <c r="J9" s="1061">
        <v>392.14211</v>
      </c>
      <c r="K9" s="1061">
        <v>16</v>
      </c>
      <c r="L9" s="1061">
        <f t="shared" si="0"/>
        <v>-376.14211</v>
      </c>
      <c r="M9" s="1061">
        <f t="shared" si="1"/>
        <v>-95.919846506665664</v>
      </c>
    </row>
    <row r="10" spans="1:16" ht="24" customHeight="1">
      <c r="A10" s="1060">
        <v>4</v>
      </c>
      <c r="B10" s="943" t="s">
        <v>65</v>
      </c>
      <c r="C10" s="1061">
        <v>6368.4028399999997</v>
      </c>
      <c r="D10" s="1061">
        <v>8824.1300299999984</v>
      </c>
      <c r="E10" s="1061">
        <v>10000.556420000001</v>
      </c>
      <c r="F10" s="1061">
        <v>11228.573769999999</v>
      </c>
      <c r="G10" s="1061">
        <v>16128.069960000001</v>
      </c>
      <c r="H10" s="1061">
        <v>7748.5874599999997</v>
      </c>
      <c r="I10" s="1061">
        <v>3375.0394900000001</v>
      </c>
      <c r="J10" s="1061">
        <v>180.51468</v>
      </c>
      <c r="K10" s="1061">
        <v>119.2</v>
      </c>
      <c r="L10" s="1061">
        <f t="shared" si="0"/>
        <v>-61.314679999999996</v>
      </c>
      <c r="M10" s="1061">
        <f t="shared" si="1"/>
        <v>-33.966589310077168</v>
      </c>
    </row>
    <row r="11" spans="1:16" ht="24" customHeight="1">
      <c r="A11" s="1060">
        <v>5</v>
      </c>
      <c r="B11" s="943" t="s">
        <v>66</v>
      </c>
      <c r="C11" s="1061">
        <v>3719.759</v>
      </c>
      <c r="D11" s="1061">
        <v>4643.5506999999998</v>
      </c>
      <c r="E11" s="1061">
        <v>6003.3396299999995</v>
      </c>
      <c r="F11" s="1061">
        <v>9976.4502799999991</v>
      </c>
      <c r="G11" s="1061">
        <v>11626.0762</v>
      </c>
      <c r="H11" s="1061">
        <v>6813.0292499999996</v>
      </c>
      <c r="I11" s="1061">
        <v>3400.85455</v>
      </c>
      <c r="J11" s="1061">
        <v>280.63443999999998</v>
      </c>
      <c r="K11" s="1061">
        <v>80</v>
      </c>
      <c r="L11" s="1061">
        <f t="shared" si="0"/>
        <v>-200.63443999999998</v>
      </c>
      <c r="M11" s="1061">
        <f t="shared" si="1"/>
        <v>-71.493163846889217</v>
      </c>
    </row>
    <row r="12" spans="1:16" ht="24" customHeight="1">
      <c r="A12" s="1060">
        <v>6</v>
      </c>
      <c r="B12" s="943" t="s">
        <v>67</v>
      </c>
      <c r="C12" s="1061">
        <v>5156.7550899999997</v>
      </c>
      <c r="D12" s="1061">
        <v>5420.8180999999995</v>
      </c>
      <c r="E12" s="1061">
        <v>7382.0406099999991</v>
      </c>
      <c r="F12" s="1061">
        <v>9561.7193200000002</v>
      </c>
      <c r="G12" s="1061">
        <v>15547.896710000001</v>
      </c>
      <c r="H12" s="1061">
        <v>8981.7222100000017</v>
      </c>
      <c r="I12" s="1061">
        <v>3803.8144199999997</v>
      </c>
      <c r="J12" s="1061">
        <v>499.13812000000001</v>
      </c>
      <c r="K12" s="1061">
        <v>108.2</v>
      </c>
      <c r="L12" s="1061">
        <f t="shared" si="0"/>
        <v>-390.93812000000003</v>
      </c>
      <c r="M12" s="1061">
        <f t="shared" si="1"/>
        <v>-78.322633422588524</v>
      </c>
    </row>
    <row r="13" spans="1:16" ht="24" customHeight="1">
      <c r="A13" s="1060">
        <v>7</v>
      </c>
      <c r="B13" s="943" t="s">
        <v>68</v>
      </c>
      <c r="C13" s="1061">
        <v>8566.0998500000005</v>
      </c>
      <c r="D13" s="1061">
        <v>12116.519440000002</v>
      </c>
      <c r="E13" s="1061">
        <v>15210.415210000001</v>
      </c>
      <c r="F13" s="1061">
        <v>23983.120770000005</v>
      </c>
      <c r="G13" s="1061">
        <v>29455.891159999999</v>
      </c>
      <c r="H13" s="1061">
        <v>13404.985110000001</v>
      </c>
      <c r="I13" s="1061">
        <v>6916.5276400000002</v>
      </c>
      <c r="J13" s="1061">
        <v>1075.2614300000002</v>
      </c>
      <c r="K13" s="1061">
        <v>130.5</v>
      </c>
      <c r="L13" s="1061">
        <f t="shared" si="0"/>
        <v>-944.76143000000025</v>
      </c>
      <c r="M13" s="1061">
        <f t="shared" si="1"/>
        <v>-87.863416620458523</v>
      </c>
    </row>
    <row r="14" spans="1:16" ht="24" customHeight="1">
      <c r="A14" s="1062">
        <v>8</v>
      </c>
      <c r="B14" s="943" t="s">
        <v>69</v>
      </c>
      <c r="C14" s="1063">
        <v>10627.02118</v>
      </c>
      <c r="D14" s="1063">
        <v>11221.798629999999</v>
      </c>
      <c r="E14" s="1063">
        <v>14038.178739999999</v>
      </c>
      <c r="F14" s="1063">
        <v>22522.303390000001</v>
      </c>
      <c r="G14" s="1063">
        <v>31915.636289999999</v>
      </c>
      <c r="H14" s="1063">
        <v>20156.091219999998</v>
      </c>
      <c r="I14" s="1063">
        <v>13412.958470000001</v>
      </c>
      <c r="J14" s="1064">
        <v>633.17458999999997</v>
      </c>
      <c r="K14" s="1064">
        <v>230</v>
      </c>
      <c r="L14" s="1064">
        <f t="shared" si="0"/>
        <v>-403.17458999999997</v>
      </c>
      <c r="M14" s="1064">
        <f t="shared" si="1"/>
        <v>-63.675105787173166</v>
      </c>
      <c r="P14">
        <v>1000</v>
      </c>
    </row>
    <row r="15" spans="1:16" ht="24" customHeight="1">
      <c r="A15" s="1387" t="s">
        <v>71</v>
      </c>
      <c r="B15" s="1387"/>
      <c r="C15" s="1065">
        <f t="shared" ref="C15:I15" si="2">SUM(C7:C14)</f>
        <v>81245.43449</v>
      </c>
      <c r="D15" s="1065">
        <f t="shared" si="2"/>
        <v>87923.804900000003</v>
      </c>
      <c r="E15" s="1065">
        <f t="shared" si="2"/>
        <v>105552.59980000001</v>
      </c>
      <c r="F15" s="1065">
        <f t="shared" si="2"/>
        <v>154366.72241000005</v>
      </c>
      <c r="G15" s="1065">
        <f t="shared" si="2"/>
        <v>208430.64274000001</v>
      </c>
      <c r="H15" s="1065">
        <f t="shared" si="2"/>
        <v>112060.21380000003</v>
      </c>
      <c r="I15" s="1065">
        <f t="shared" si="2"/>
        <v>59594.111690000005</v>
      </c>
      <c r="J15" s="1065">
        <f t="shared" ref="J15:K15" si="3">SUM(J7:J14)</f>
        <v>4955.7827699999998</v>
      </c>
      <c r="K15" s="1065">
        <f t="shared" si="3"/>
        <v>1176.2620000000002</v>
      </c>
      <c r="L15" s="1065">
        <f t="shared" si="0"/>
        <v>-3779.5207699999996</v>
      </c>
      <c r="M15" s="1065">
        <f t="shared" si="1"/>
        <v>-76.264859567280823</v>
      </c>
    </row>
    <row r="16" spans="1:16" ht="24" customHeight="1">
      <c r="A16" s="1055"/>
      <c r="B16" s="1053"/>
      <c r="C16" s="1066"/>
      <c r="D16" s="1066"/>
      <c r="E16" s="1066"/>
      <c r="F16" s="1066"/>
      <c r="G16" s="1067"/>
      <c r="H16" s="1068"/>
      <c r="I16" s="1066"/>
      <c r="J16" s="1066"/>
      <c r="K16" s="1066"/>
      <c r="L16" s="1066"/>
      <c r="M16" s="1066"/>
    </row>
    <row r="17" spans="1:13" ht="24" customHeight="1">
      <c r="A17" s="1058">
        <v>9</v>
      </c>
      <c r="B17" s="943" t="s">
        <v>51</v>
      </c>
      <c r="C17" s="1059">
        <v>6507.43</v>
      </c>
      <c r="D17" s="1059">
        <v>5768.0429999999997</v>
      </c>
      <c r="E17" s="1059">
        <v>5939.7996399999993</v>
      </c>
      <c r="F17" s="1059">
        <v>8655.7028000000009</v>
      </c>
      <c r="G17" s="1059">
        <v>11697.724400000001</v>
      </c>
      <c r="H17" s="1061">
        <v>5796.9920899999997</v>
      </c>
      <c r="I17" s="1061">
        <v>2637.91579</v>
      </c>
      <c r="J17" s="1069">
        <v>205.67526000000001</v>
      </c>
      <c r="K17" s="1069">
        <v>196.21700000000001</v>
      </c>
      <c r="L17" s="1069">
        <f t="shared" si="0"/>
        <v>-9.4582599999999957</v>
      </c>
      <c r="M17" s="1069">
        <f t="shared" si="1"/>
        <v>-4.5986376776671989</v>
      </c>
    </row>
    <row r="18" spans="1:13" ht="24" customHeight="1">
      <c r="A18" s="1060">
        <v>10</v>
      </c>
      <c r="B18" s="943" t="s">
        <v>52</v>
      </c>
      <c r="C18" s="1061">
        <v>21033.426289999999</v>
      </c>
      <c r="D18" s="1061">
        <v>17333.017</v>
      </c>
      <c r="E18" s="1061">
        <v>27644.614479999997</v>
      </c>
      <c r="F18" s="1061">
        <v>33556.115549999995</v>
      </c>
      <c r="G18" s="1061">
        <v>31305.48775</v>
      </c>
      <c r="H18" s="1061">
        <v>25831.120719999999</v>
      </c>
      <c r="I18" s="1061">
        <v>10298.547430000001</v>
      </c>
      <c r="J18" s="1061">
        <v>1038.19192</v>
      </c>
      <c r="K18" s="1061">
        <v>958.57500000000005</v>
      </c>
      <c r="L18" s="1061">
        <f t="shared" si="0"/>
        <v>-79.616919999999936</v>
      </c>
      <c r="M18" s="1061">
        <f t="shared" si="1"/>
        <v>-7.6688055903960333</v>
      </c>
    </row>
    <row r="19" spans="1:13" ht="24" customHeight="1">
      <c r="A19" s="1060">
        <v>11</v>
      </c>
      <c r="B19" s="943" t="s">
        <v>480</v>
      </c>
      <c r="C19" s="1061">
        <v>4615.9139999999998</v>
      </c>
      <c r="D19" s="1061">
        <v>4933.0290000000005</v>
      </c>
      <c r="E19" s="1061">
        <v>3468.3882399999998</v>
      </c>
      <c r="F19" s="1061">
        <v>4909.76577</v>
      </c>
      <c r="G19" s="1061">
        <v>5564.0691200000001</v>
      </c>
      <c r="H19" s="1061">
        <v>5221.71558</v>
      </c>
      <c r="I19" s="1061">
        <v>2402.7599399999999</v>
      </c>
      <c r="J19" s="1061">
        <v>288.87939</v>
      </c>
      <c r="K19" s="1061">
        <v>137.19999999999999</v>
      </c>
      <c r="L19" s="1061">
        <f t="shared" si="0"/>
        <v>-151.67939000000001</v>
      </c>
      <c r="M19" s="1061">
        <f t="shared" si="1"/>
        <v>-52.506130672735082</v>
      </c>
    </row>
    <row r="20" spans="1:13" ht="24" customHeight="1">
      <c r="A20" s="1060">
        <v>12</v>
      </c>
      <c r="B20" s="943" t="s">
        <v>54</v>
      </c>
      <c r="C20" s="1061">
        <v>7804.2690000000002</v>
      </c>
      <c r="D20" s="1061">
        <v>7534.2730000000001</v>
      </c>
      <c r="E20" s="1061">
        <v>9210.9141299999992</v>
      </c>
      <c r="F20" s="1061">
        <v>14977.394390000001</v>
      </c>
      <c r="G20" s="1061">
        <v>15934.313410000001</v>
      </c>
      <c r="H20" s="1061">
        <v>6909.8211499999998</v>
      </c>
      <c r="I20" s="1061">
        <v>3299.4363399999997</v>
      </c>
      <c r="J20" s="1061">
        <v>232.73598999999999</v>
      </c>
      <c r="K20" s="1061">
        <v>422.32799999999997</v>
      </c>
      <c r="L20" s="1061">
        <f t="shared" si="0"/>
        <v>189.59200999999999</v>
      </c>
      <c r="M20" s="1061">
        <f t="shared" si="1"/>
        <v>81.462265462251878</v>
      </c>
    </row>
    <row r="21" spans="1:13" ht="24" customHeight="1">
      <c r="A21" s="1062">
        <v>13</v>
      </c>
      <c r="B21" s="943" t="s">
        <v>481</v>
      </c>
      <c r="C21" s="1063">
        <v>25887.175800000001</v>
      </c>
      <c r="D21" s="1063">
        <v>15967.73977</v>
      </c>
      <c r="E21" s="1063">
        <v>16428.96948</v>
      </c>
      <c r="F21" s="1063">
        <v>22945.963469999999</v>
      </c>
      <c r="G21" s="1063">
        <v>29181.07978</v>
      </c>
      <c r="H21" s="1061">
        <v>10914.2084</v>
      </c>
      <c r="I21" s="1061">
        <v>5680.8210499999996</v>
      </c>
      <c r="J21" s="1064">
        <v>618.18037000000004</v>
      </c>
      <c r="K21" s="1064">
        <v>491.23200000000003</v>
      </c>
      <c r="L21" s="1064">
        <f t="shared" si="0"/>
        <v>-126.94837000000001</v>
      </c>
      <c r="M21" s="1064">
        <f t="shared" si="1"/>
        <v>-20.535813843458016</v>
      </c>
    </row>
    <row r="22" spans="1:13" ht="24" customHeight="1">
      <c r="A22" s="1388" t="s">
        <v>55</v>
      </c>
      <c r="B22" s="1388"/>
      <c r="C22" s="1065">
        <f>SUM(C17:C21)</f>
        <v>65848.215089999998</v>
      </c>
      <c r="D22" s="1065">
        <f t="shared" ref="D22:J22" si="4">SUM(D17:D21)</f>
        <v>51536.101770000001</v>
      </c>
      <c r="E22" s="1065">
        <f t="shared" si="4"/>
        <v>62692.685969999991</v>
      </c>
      <c r="F22" s="1065">
        <f t="shared" si="4"/>
        <v>85044.941979999989</v>
      </c>
      <c r="G22" s="1065">
        <f t="shared" si="4"/>
        <v>93682.674460000009</v>
      </c>
      <c r="H22" s="1065">
        <f t="shared" si="4"/>
        <v>54673.857940000002</v>
      </c>
      <c r="I22" s="1065">
        <f t="shared" si="4"/>
        <v>24319.48055</v>
      </c>
      <c r="J22" s="1065">
        <f t="shared" si="4"/>
        <v>2383.66293</v>
      </c>
      <c r="K22" s="1065">
        <f t="shared" ref="K22" si="5">SUM(K17:K21)</f>
        <v>2205.5520000000001</v>
      </c>
      <c r="L22" s="1065">
        <f t="shared" si="0"/>
        <v>-178.11092999999983</v>
      </c>
      <c r="M22" s="1065">
        <f t="shared" si="1"/>
        <v>-7.472152532908666</v>
      </c>
    </row>
    <row r="23" spans="1:13" ht="24" customHeight="1">
      <c r="A23" s="1055"/>
      <c r="B23" s="1053"/>
      <c r="C23" s="1066"/>
      <c r="D23" s="1066"/>
      <c r="E23" s="1066"/>
      <c r="F23" s="1066"/>
      <c r="G23" s="1067"/>
      <c r="H23" s="1068"/>
      <c r="I23" s="1066"/>
      <c r="J23" s="1066"/>
      <c r="K23" s="1066"/>
      <c r="L23" s="1066"/>
      <c r="M23" s="1066"/>
    </row>
    <row r="24" spans="1:13" ht="24" customHeight="1">
      <c r="A24" s="1058">
        <v>14</v>
      </c>
      <c r="B24" s="943" t="s">
        <v>59</v>
      </c>
      <c r="C24" s="1059">
        <v>21891.968000000001</v>
      </c>
      <c r="D24" s="1059">
        <v>82617.278139999995</v>
      </c>
      <c r="E24" s="1059">
        <v>22288.72248</v>
      </c>
      <c r="F24" s="1059">
        <v>32590.286620000003</v>
      </c>
      <c r="G24" s="1059">
        <v>46028.458070000001</v>
      </c>
      <c r="H24" s="1061">
        <v>30575.141649999998</v>
      </c>
      <c r="I24" s="1061">
        <v>13952.6476</v>
      </c>
      <c r="J24" s="1069">
        <v>825.66958</v>
      </c>
      <c r="K24" s="1069">
        <v>1272.9000000000001</v>
      </c>
      <c r="L24" s="1069">
        <f t="shared" si="0"/>
        <v>447.23042000000009</v>
      </c>
      <c r="M24" s="1069">
        <f t="shared" si="1"/>
        <v>54.165786270096106</v>
      </c>
    </row>
    <row r="25" spans="1:13" ht="24" customHeight="1">
      <c r="A25" s="1060">
        <v>15</v>
      </c>
      <c r="B25" s="943" t="s">
        <v>56</v>
      </c>
      <c r="C25" s="1061">
        <v>14770.195</v>
      </c>
      <c r="D25" s="1061">
        <v>10754.906780000001</v>
      </c>
      <c r="E25" s="1061">
        <v>20039.292450000001</v>
      </c>
      <c r="F25" s="1061">
        <v>38127.433340000003</v>
      </c>
      <c r="G25" s="1061">
        <v>53050.881220000003</v>
      </c>
      <c r="H25" s="1061">
        <v>31615.015219999997</v>
      </c>
      <c r="I25" s="1061">
        <v>16525.188760000001</v>
      </c>
      <c r="J25" s="1061">
        <v>2112.7470199999998</v>
      </c>
      <c r="K25" s="1061">
        <v>850.952</v>
      </c>
      <c r="L25" s="1061">
        <f t="shared" si="0"/>
        <v>-1261.7950199999998</v>
      </c>
      <c r="M25" s="1061">
        <f t="shared" si="1"/>
        <v>-59.722958217685708</v>
      </c>
    </row>
    <row r="26" spans="1:13" ht="24" customHeight="1">
      <c r="A26" s="1060">
        <v>16</v>
      </c>
      <c r="B26" s="943" t="s">
        <v>79</v>
      </c>
      <c r="C26" s="1061">
        <v>8149.4949999999999</v>
      </c>
      <c r="D26" s="1061">
        <v>4386.6940000000004</v>
      </c>
      <c r="E26" s="1061">
        <v>4730.8310000000001</v>
      </c>
      <c r="F26" s="1061">
        <v>5444.0919999999996</v>
      </c>
      <c r="G26" s="1061">
        <v>8790.1020000000008</v>
      </c>
      <c r="H26" s="1061">
        <v>7225.3374100000001</v>
      </c>
      <c r="I26" s="1061">
        <v>5653.8036600000005</v>
      </c>
      <c r="J26" s="1061">
        <v>532.39066999999989</v>
      </c>
      <c r="K26" s="1061">
        <v>488.36200000000002</v>
      </c>
      <c r="L26" s="1061">
        <f t="shared" si="0"/>
        <v>-44.028669999999863</v>
      </c>
      <c r="M26" s="1061">
        <f t="shared" si="1"/>
        <v>-8.2699927855610014</v>
      </c>
    </row>
    <row r="27" spans="1:13" ht="24" customHeight="1">
      <c r="A27" s="1060">
        <v>17</v>
      </c>
      <c r="B27" s="943" t="s">
        <v>58</v>
      </c>
      <c r="C27" s="1061">
        <v>77654.535550000001</v>
      </c>
      <c r="D27" s="1061">
        <v>91284.762579999995</v>
      </c>
      <c r="E27" s="1061">
        <v>143486.36831999998</v>
      </c>
      <c r="F27" s="1061">
        <v>212723.54553999999</v>
      </c>
      <c r="G27" s="1061">
        <v>235247.25954000003</v>
      </c>
      <c r="H27" s="1061">
        <v>193853.88342000003</v>
      </c>
      <c r="I27" s="1061">
        <v>193628.46254000001</v>
      </c>
      <c r="J27" s="1061">
        <v>13157.638969999998</v>
      </c>
      <c r="K27" s="1061">
        <v>20609.243259999999</v>
      </c>
      <c r="L27" s="1061">
        <f t="shared" si="0"/>
        <v>7451.6042900000011</v>
      </c>
      <c r="M27" s="1061">
        <f t="shared" si="1"/>
        <v>56.633293457815569</v>
      </c>
    </row>
    <row r="28" spans="1:13" ht="24" customHeight="1">
      <c r="A28" s="1060">
        <v>18</v>
      </c>
      <c r="B28" s="943" t="s">
        <v>57</v>
      </c>
      <c r="C28" s="1061">
        <v>93523.244099999996</v>
      </c>
      <c r="D28" s="1061">
        <v>95376.925819999989</v>
      </c>
      <c r="E28" s="1061">
        <v>116584.93617</v>
      </c>
      <c r="F28" s="1061">
        <v>141727.61622000003</v>
      </c>
      <c r="G28" s="1061">
        <v>176185.27018000002</v>
      </c>
      <c r="H28" s="1061">
        <v>133464.65805</v>
      </c>
      <c r="I28" s="1061">
        <v>116466.22543999999</v>
      </c>
      <c r="J28" s="1061">
        <v>9120.8994000000002</v>
      </c>
      <c r="K28" s="1061">
        <v>9680.8166299999993</v>
      </c>
      <c r="L28" s="1061">
        <f t="shared" si="0"/>
        <v>559.91722999999911</v>
      </c>
      <c r="M28" s="1061">
        <f t="shared" si="1"/>
        <v>6.1388379089018201</v>
      </c>
    </row>
    <row r="29" spans="1:13" ht="24" customHeight="1">
      <c r="A29" s="1060">
        <v>19</v>
      </c>
      <c r="B29" s="943" t="s">
        <v>479</v>
      </c>
      <c r="C29" s="1069">
        <v>451659.66179000004</v>
      </c>
      <c r="D29" s="1069">
        <v>358363.45172000001</v>
      </c>
      <c r="E29" s="1069">
        <v>475837.63481999998</v>
      </c>
      <c r="F29" s="1069">
        <v>462575.82013000001</v>
      </c>
      <c r="G29" s="1069">
        <v>340557.40092000004</v>
      </c>
      <c r="H29" s="1061">
        <v>355146.20968000003</v>
      </c>
      <c r="I29" s="1061">
        <v>189574.65070999999</v>
      </c>
      <c r="J29" s="1061">
        <v>24225.065690000003</v>
      </c>
      <c r="K29" s="1061">
        <v>16037.788410000001</v>
      </c>
      <c r="L29" s="1061">
        <f t="shared" si="0"/>
        <v>-8187.2772800000021</v>
      </c>
      <c r="M29" s="1061">
        <f t="shared" si="1"/>
        <v>-33.796718592097236</v>
      </c>
    </row>
    <row r="30" spans="1:13" ht="24" customHeight="1">
      <c r="A30" s="1060">
        <v>20</v>
      </c>
      <c r="B30" s="943" t="s">
        <v>61</v>
      </c>
      <c r="C30" s="1061">
        <v>48270.310819999999</v>
      </c>
      <c r="D30" s="1061">
        <v>37699.316519999993</v>
      </c>
      <c r="E30" s="1061">
        <v>57746.970500000003</v>
      </c>
      <c r="F30" s="1061">
        <v>69787.000039999984</v>
      </c>
      <c r="G30" s="1061">
        <v>72370.070099999997</v>
      </c>
      <c r="H30" s="1061">
        <v>63594.768280000004</v>
      </c>
      <c r="I30" s="1061">
        <v>47648.797370000008</v>
      </c>
      <c r="J30" s="1061">
        <v>4419.7420000000002</v>
      </c>
      <c r="K30" s="1061">
        <v>3058.9630000000002</v>
      </c>
      <c r="L30" s="1061">
        <f t="shared" si="0"/>
        <v>-1360.779</v>
      </c>
      <c r="M30" s="1061">
        <f t="shared" si="1"/>
        <v>-30.78865236930119</v>
      </c>
    </row>
    <row r="31" spans="1:13" ht="24" customHeight="1">
      <c r="A31" s="1062">
        <v>21</v>
      </c>
      <c r="B31" s="943" t="s">
        <v>78</v>
      </c>
      <c r="C31" s="1063">
        <v>72467.270390000005</v>
      </c>
      <c r="D31" s="1063">
        <v>86075.661200000002</v>
      </c>
      <c r="E31" s="1063">
        <v>103428.74287</v>
      </c>
      <c r="F31" s="1063">
        <v>138153.7476</v>
      </c>
      <c r="G31" s="1063">
        <v>198286.86267</v>
      </c>
      <c r="H31" s="1061">
        <v>145682.41514999999</v>
      </c>
      <c r="I31" s="1061">
        <v>133124.75579</v>
      </c>
      <c r="J31" s="1064">
        <v>10203.11874</v>
      </c>
      <c r="K31" s="1064">
        <v>9663.5116699999999</v>
      </c>
      <c r="L31" s="1064">
        <f t="shared" si="0"/>
        <v>-539.60707000000002</v>
      </c>
      <c r="M31" s="1064">
        <f t="shared" si="1"/>
        <v>-5.2886483412619754</v>
      </c>
    </row>
    <row r="32" spans="1:13" ht="24" customHeight="1">
      <c r="A32" s="1388" t="s">
        <v>494</v>
      </c>
      <c r="B32" s="1388"/>
      <c r="C32" s="1065">
        <f t="shared" ref="C32:J32" si="6">SUM(C24:C31)</f>
        <v>788386.68064999999</v>
      </c>
      <c r="D32" s="1065">
        <f t="shared" si="6"/>
        <v>766558.99675999989</v>
      </c>
      <c r="E32" s="1065">
        <f t="shared" si="6"/>
        <v>944143.49860999989</v>
      </c>
      <c r="F32" s="1065">
        <f t="shared" si="6"/>
        <v>1101129.54149</v>
      </c>
      <c r="G32" s="1065">
        <f t="shared" si="6"/>
        <v>1130516.3047000002</v>
      </c>
      <c r="H32" s="1065">
        <f t="shared" si="6"/>
        <v>961157.4288600001</v>
      </c>
      <c r="I32" s="1065">
        <f t="shared" si="6"/>
        <v>716574.53186999995</v>
      </c>
      <c r="J32" s="1065">
        <f t="shared" si="6"/>
        <v>64597.272069999999</v>
      </c>
      <c r="K32" s="1065">
        <f t="shared" ref="K32" si="7">SUM(K24:K31)</f>
        <v>61662.536970000001</v>
      </c>
      <c r="L32" s="1065">
        <f t="shared" si="0"/>
        <v>-2934.7350999999981</v>
      </c>
      <c r="M32" s="1065">
        <f t="shared" si="1"/>
        <v>-4.5431254385166824</v>
      </c>
    </row>
    <row r="33" spans="1:13" ht="24" customHeight="1">
      <c r="A33" s="1055"/>
      <c r="B33" s="1053"/>
      <c r="C33" s="1066"/>
      <c r="D33" s="1066"/>
      <c r="E33" s="1066"/>
      <c r="F33" s="1066"/>
      <c r="G33" s="1067"/>
      <c r="H33" s="1068"/>
      <c r="I33" s="1066"/>
      <c r="J33" s="1066"/>
      <c r="K33" s="1066"/>
      <c r="L33" s="1066"/>
      <c r="M33" s="1066"/>
    </row>
    <row r="34" spans="1:13" ht="24" customHeight="1">
      <c r="A34" s="1058">
        <v>22</v>
      </c>
      <c r="B34" s="943" t="s">
        <v>439</v>
      </c>
      <c r="C34" s="1059">
        <v>87844.440289999999</v>
      </c>
      <c r="D34" s="1059">
        <v>98640.037799999991</v>
      </c>
      <c r="E34" s="1059">
        <v>213316.05564999997</v>
      </c>
      <c r="F34" s="1059">
        <v>254177.31764000002</v>
      </c>
      <c r="G34" s="1059">
        <v>400948.13519000006</v>
      </c>
      <c r="H34" s="1061">
        <v>211931.20428000003</v>
      </c>
      <c r="I34" s="1061">
        <v>244043.63516000001</v>
      </c>
      <c r="J34" s="1069">
        <v>9163.6338599999999</v>
      </c>
      <c r="K34" s="1069">
        <v>10063.035699999999</v>
      </c>
      <c r="L34" s="1069">
        <f t="shared" si="0"/>
        <v>899.40183999999863</v>
      </c>
      <c r="M34" s="1069">
        <f t="shared" si="1"/>
        <v>9.8149037133179178</v>
      </c>
    </row>
    <row r="35" spans="1:13" ht="24" customHeight="1">
      <c r="A35" s="1060">
        <v>23</v>
      </c>
      <c r="B35" s="943" t="s">
        <v>31</v>
      </c>
      <c r="C35" s="1061">
        <v>16253.231890000001</v>
      </c>
      <c r="D35" s="1061">
        <v>27535.462950000005</v>
      </c>
      <c r="E35" s="1061">
        <v>32237.313689999999</v>
      </c>
      <c r="F35" s="1061">
        <v>57666.860609999996</v>
      </c>
      <c r="G35" s="1061">
        <v>70287.029349999997</v>
      </c>
      <c r="H35" s="1061">
        <v>54227.599390000003</v>
      </c>
      <c r="I35" s="1061">
        <v>52647.491099999992</v>
      </c>
      <c r="J35" s="1061">
        <v>7915.4524299999994</v>
      </c>
      <c r="K35" s="1061">
        <v>4234.6777499999998</v>
      </c>
      <c r="L35" s="1061">
        <f t="shared" si="0"/>
        <v>-3680.7746799999995</v>
      </c>
      <c r="M35" s="1061">
        <f t="shared" si="1"/>
        <v>-46.501128173667773</v>
      </c>
    </row>
    <row r="36" spans="1:13" ht="24" customHeight="1">
      <c r="A36" s="1060">
        <v>24</v>
      </c>
      <c r="B36" s="943" t="s">
        <v>440</v>
      </c>
      <c r="C36" s="1061">
        <v>8940.8046999999988</v>
      </c>
      <c r="D36" s="1061">
        <v>11425.1165</v>
      </c>
      <c r="E36" s="1061">
        <v>14475.673879999998</v>
      </c>
      <c r="F36" s="1061">
        <v>22479.550859999999</v>
      </c>
      <c r="G36" s="1061">
        <v>27487.572769999999</v>
      </c>
      <c r="H36" s="1061">
        <v>18096.228079999997</v>
      </c>
      <c r="I36" s="1061">
        <v>11395.101269999999</v>
      </c>
      <c r="J36" s="1061">
        <v>747.36648000000002</v>
      </c>
      <c r="K36" s="1061">
        <v>748.053</v>
      </c>
      <c r="L36" s="1061">
        <f t="shared" si="0"/>
        <v>0.68651999999997315</v>
      </c>
      <c r="M36" s="1061">
        <f t="shared" si="1"/>
        <v>9.1858548432611542E-2</v>
      </c>
    </row>
    <row r="37" spans="1:13" ht="24" customHeight="1">
      <c r="A37" s="1060">
        <v>25</v>
      </c>
      <c r="B37" s="943" t="s">
        <v>44</v>
      </c>
      <c r="C37" s="1061">
        <v>20172.548999999999</v>
      </c>
      <c r="D37" s="1061">
        <v>20868.3</v>
      </c>
      <c r="E37" s="1061">
        <v>29886.991979999999</v>
      </c>
      <c r="F37" s="1061">
        <v>44468.512320000002</v>
      </c>
      <c r="G37" s="1061">
        <v>22596.92741</v>
      </c>
      <c r="H37" s="1061">
        <v>23447.591909999999</v>
      </c>
      <c r="I37" s="1061">
        <v>9558.5001699999993</v>
      </c>
      <c r="J37" s="1061">
        <v>442.80757</v>
      </c>
      <c r="K37" s="1061">
        <v>414.488</v>
      </c>
      <c r="L37" s="1061">
        <f t="shared" si="0"/>
        <v>-28.319569999999999</v>
      </c>
      <c r="M37" s="1061">
        <f t="shared" si="1"/>
        <v>-6.3954575121649384</v>
      </c>
    </row>
    <row r="38" spans="1:13" ht="24" customHeight="1">
      <c r="A38" s="1060">
        <v>26</v>
      </c>
      <c r="B38" s="943" t="s">
        <v>28</v>
      </c>
      <c r="C38" s="1061">
        <v>2744.319</v>
      </c>
      <c r="D38" s="1061">
        <v>5429.0265999999992</v>
      </c>
      <c r="E38" s="1061">
        <v>4887.5503900000003</v>
      </c>
      <c r="F38" s="1061">
        <v>4333.2550000000001</v>
      </c>
      <c r="G38" s="1061">
        <v>5399.7956799999993</v>
      </c>
      <c r="H38" s="1061">
        <v>3493.56277</v>
      </c>
      <c r="I38" s="1061">
        <v>1149.5758199999998</v>
      </c>
      <c r="J38" s="1061">
        <v>284.58929999999998</v>
      </c>
      <c r="K38" s="1061">
        <v>30.678000000000001</v>
      </c>
      <c r="L38" s="1061">
        <f t="shared" si="0"/>
        <v>-253.91129999999998</v>
      </c>
      <c r="M38" s="1061">
        <f t="shared" si="1"/>
        <v>-89.220255294208172</v>
      </c>
    </row>
    <row r="39" spans="1:13" ht="24" customHeight="1">
      <c r="A39" s="1060">
        <v>27</v>
      </c>
      <c r="B39" s="943" t="s">
        <v>484</v>
      </c>
      <c r="C39" s="1069">
        <v>6348.8647199999996</v>
      </c>
      <c r="D39" s="1069">
        <v>11072.84175</v>
      </c>
      <c r="E39" s="1069">
        <v>12590.844690000002</v>
      </c>
      <c r="F39" s="1069">
        <v>15651.280199999999</v>
      </c>
      <c r="G39" s="1069">
        <v>16147.388080000002</v>
      </c>
      <c r="H39" s="1061">
        <v>7220.3913100000009</v>
      </c>
      <c r="I39" s="1061">
        <v>1241.1506899999999</v>
      </c>
      <c r="J39" s="1061">
        <v>147.42572999999999</v>
      </c>
      <c r="K39" s="1061">
        <v>89.025999999999996</v>
      </c>
      <c r="L39" s="1061">
        <f t="shared" si="0"/>
        <v>-58.399729999999991</v>
      </c>
      <c r="M39" s="1061">
        <f t="shared" si="1"/>
        <v>-39.61298343240356</v>
      </c>
    </row>
    <row r="40" spans="1:13" ht="24" customHeight="1">
      <c r="A40" s="1060">
        <v>28</v>
      </c>
      <c r="B40" s="943" t="s">
        <v>41</v>
      </c>
      <c r="C40" s="1061">
        <v>4238.1238800000001</v>
      </c>
      <c r="D40" s="1061">
        <v>8046.4170999999997</v>
      </c>
      <c r="E40" s="1061">
        <v>9741.2101600000005</v>
      </c>
      <c r="F40" s="1061">
        <v>18265.356949999998</v>
      </c>
      <c r="G40" s="1061">
        <v>33126.728759999998</v>
      </c>
      <c r="H40" s="1061">
        <v>23292.420409999999</v>
      </c>
      <c r="I40" s="1061">
        <v>11834.30925</v>
      </c>
      <c r="J40" s="1061">
        <v>2055.1019499999998</v>
      </c>
      <c r="K40" s="1061">
        <v>375.13900000000001</v>
      </c>
      <c r="L40" s="1061">
        <f t="shared" si="0"/>
        <v>-1679.9629499999996</v>
      </c>
      <c r="M40" s="1061">
        <f t="shared" si="1"/>
        <v>-81.745966422736345</v>
      </c>
    </row>
    <row r="41" spans="1:13" ht="24" customHeight="1">
      <c r="A41" s="1060">
        <v>29</v>
      </c>
      <c r="B41" s="943" t="s">
        <v>37</v>
      </c>
      <c r="C41" s="1061">
        <v>5255.4679999999998</v>
      </c>
      <c r="D41" s="1061">
        <v>6754.2539500000003</v>
      </c>
      <c r="E41" s="1061">
        <v>11956.730009999999</v>
      </c>
      <c r="F41" s="1061">
        <v>22151.079020000001</v>
      </c>
      <c r="G41" s="1061">
        <v>30428.27032</v>
      </c>
      <c r="H41" s="1061">
        <v>29381.743569999999</v>
      </c>
      <c r="I41" s="1061">
        <v>19329.576560000001</v>
      </c>
      <c r="J41" s="1061">
        <v>1941.3402599999999</v>
      </c>
      <c r="K41" s="1061">
        <v>1450.8630000000001</v>
      </c>
      <c r="L41" s="1061">
        <f t="shared" si="0"/>
        <v>-490.47725999999989</v>
      </c>
      <c r="M41" s="1061">
        <f t="shared" si="1"/>
        <v>-25.264878605051962</v>
      </c>
    </row>
    <row r="42" spans="1:13" ht="24" customHeight="1">
      <c r="A42" s="1060">
        <v>30</v>
      </c>
      <c r="B42" s="943" t="s">
        <v>4</v>
      </c>
      <c r="C42" s="1069">
        <v>23956.130240000002</v>
      </c>
      <c r="D42" s="1069">
        <v>32556.614859999998</v>
      </c>
      <c r="E42" s="1069">
        <v>58850.729740000002</v>
      </c>
      <c r="F42" s="1069">
        <v>72033.713470000002</v>
      </c>
      <c r="G42" s="1069">
        <v>106698.90242</v>
      </c>
      <c r="H42" s="1061">
        <v>54956.500590000003</v>
      </c>
      <c r="I42" s="1061">
        <v>57114.852250000004</v>
      </c>
      <c r="J42" s="1061">
        <v>3111.95073</v>
      </c>
      <c r="K42" s="1061">
        <v>3612.83</v>
      </c>
      <c r="L42" s="1061">
        <f t="shared" si="0"/>
        <v>500.87926999999991</v>
      </c>
      <c r="M42" s="1061">
        <f t="shared" si="1"/>
        <v>16.095347049405248</v>
      </c>
    </row>
    <row r="43" spans="1:13" ht="24" customHeight="1">
      <c r="A43" s="1060">
        <v>31</v>
      </c>
      <c r="B43" s="943" t="s">
        <v>29</v>
      </c>
      <c r="C43" s="1061">
        <v>42432.441319999998</v>
      </c>
      <c r="D43" s="1061">
        <v>70208.650020000016</v>
      </c>
      <c r="E43" s="1061">
        <v>49994.400059999993</v>
      </c>
      <c r="F43" s="1061">
        <v>50761.494070000001</v>
      </c>
      <c r="G43" s="1061">
        <v>73641.940990000003</v>
      </c>
      <c r="H43" s="1061">
        <v>51233.764940000001</v>
      </c>
      <c r="I43" s="1061">
        <v>32076.09491</v>
      </c>
      <c r="J43" s="1061">
        <v>2516.3865700000001</v>
      </c>
      <c r="K43" s="1061">
        <v>3244.6289999999999</v>
      </c>
      <c r="L43" s="1061">
        <f t="shared" si="0"/>
        <v>728.24242999999979</v>
      </c>
      <c r="M43" s="1061">
        <f t="shared" si="1"/>
        <v>28.940006224878232</v>
      </c>
    </row>
    <row r="44" spans="1:13" ht="24" customHeight="1">
      <c r="A44" s="1060">
        <v>32</v>
      </c>
      <c r="B44" s="943" t="s">
        <v>30</v>
      </c>
      <c r="C44" s="1061">
        <v>44182.496629999994</v>
      </c>
      <c r="D44" s="1061">
        <v>49595.892570000004</v>
      </c>
      <c r="E44" s="1061">
        <v>88969.328800000003</v>
      </c>
      <c r="F44" s="1061">
        <v>96437.480580000003</v>
      </c>
      <c r="G44" s="1061">
        <v>177543.74865999998</v>
      </c>
      <c r="H44" s="1061">
        <v>101018.46287</v>
      </c>
      <c r="I44" s="1061">
        <v>74761.077480000007</v>
      </c>
      <c r="J44" s="1061">
        <v>4650.56513</v>
      </c>
      <c r="K44" s="1061">
        <v>3220.9639999999999</v>
      </c>
      <c r="L44" s="1061">
        <f t="shared" si="0"/>
        <v>-1429.60113</v>
      </c>
      <c r="M44" s="1061">
        <f t="shared" si="1"/>
        <v>-30.740374342418903</v>
      </c>
    </row>
    <row r="45" spans="1:13" ht="24" customHeight="1">
      <c r="A45" s="1060">
        <v>33</v>
      </c>
      <c r="B45" s="943" t="s">
        <v>32</v>
      </c>
      <c r="C45" s="1061">
        <v>57317.455019999994</v>
      </c>
      <c r="D45" s="1061">
        <v>108029.06641</v>
      </c>
      <c r="E45" s="1061">
        <v>92735.146049999996</v>
      </c>
      <c r="F45" s="1061">
        <v>118098.68566999999</v>
      </c>
      <c r="G45" s="1061">
        <v>129801.34287000001</v>
      </c>
      <c r="H45" s="1061">
        <v>104840.77198</v>
      </c>
      <c r="I45" s="1061">
        <v>70651.180240000002</v>
      </c>
      <c r="J45" s="1061">
        <v>8859.4638700000014</v>
      </c>
      <c r="K45" s="1061">
        <v>7023.8410000000003</v>
      </c>
      <c r="L45" s="1061">
        <f t="shared" si="0"/>
        <v>-1835.6228700000011</v>
      </c>
      <c r="M45" s="1061">
        <f t="shared" si="1"/>
        <v>-20.719344837736784</v>
      </c>
    </row>
    <row r="46" spans="1:13" ht="24" customHeight="1">
      <c r="A46" s="1060">
        <v>34</v>
      </c>
      <c r="B46" s="943" t="s">
        <v>443</v>
      </c>
      <c r="C46" s="1061">
        <v>12116.878909999999</v>
      </c>
      <c r="D46" s="1061">
        <v>17611.64805</v>
      </c>
      <c r="E46" s="1061">
        <v>36746.13521</v>
      </c>
      <c r="F46" s="1061">
        <v>63908.815260000003</v>
      </c>
      <c r="G46" s="1061">
        <v>66935.248330000002</v>
      </c>
      <c r="H46" s="1061">
        <v>71167.682249999998</v>
      </c>
      <c r="I46" s="1061">
        <v>35980.816100000004</v>
      </c>
      <c r="J46" s="1061">
        <v>4031.6248100000003</v>
      </c>
      <c r="K46" s="1061">
        <v>4301.8119999999999</v>
      </c>
      <c r="L46" s="1061">
        <f t="shared" si="0"/>
        <v>270.18718999999965</v>
      </c>
      <c r="M46" s="1061">
        <f t="shared" si="1"/>
        <v>6.7016947938664799</v>
      </c>
    </row>
    <row r="47" spans="1:13" ht="24" customHeight="1">
      <c r="A47" s="1060">
        <v>35</v>
      </c>
      <c r="B47" s="943" t="s">
        <v>485</v>
      </c>
      <c r="C47" s="1069">
        <v>14972.934929999999</v>
      </c>
      <c r="D47" s="1069">
        <v>29659.996689999996</v>
      </c>
      <c r="E47" s="1069">
        <v>44866.396649999995</v>
      </c>
      <c r="F47" s="1069">
        <v>56396.2719</v>
      </c>
      <c r="G47" s="1069">
        <v>96543.686680000013</v>
      </c>
      <c r="H47" s="1061">
        <v>82437.660550000001</v>
      </c>
      <c r="I47" s="1061">
        <v>65351.660170000003</v>
      </c>
      <c r="J47" s="1061">
        <v>4067.9270499999998</v>
      </c>
      <c r="K47" s="1061">
        <v>6106.5280000000002</v>
      </c>
      <c r="L47" s="1061">
        <f t="shared" si="0"/>
        <v>2038.6009500000005</v>
      </c>
      <c r="M47" s="1061">
        <f t="shared" si="1"/>
        <v>50.113999709016412</v>
      </c>
    </row>
    <row r="48" spans="1:13" ht="24" customHeight="1">
      <c r="A48" s="1060">
        <v>36</v>
      </c>
      <c r="B48" s="943" t="s">
        <v>96</v>
      </c>
      <c r="C48" s="1061">
        <v>48923.1446</v>
      </c>
      <c r="D48" s="1061">
        <v>79613.313769999993</v>
      </c>
      <c r="E48" s="1061">
        <v>74544.494500000001</v>
      </c>
      <c r="F48" s="1061">
        <v>111419.35288999999</v>
      </c>
      <c r="G48" s="1061">
        <v>149622.55160000001</v>
      </c>
      <c r="H48" s="1061">
        <v>122887.001</v>
      </c>
      <c r="I48" s="1061">
        <v>84816.779089999996</v>
      </c>
      <c r="J48" s="1061">
        <v>6554.13472</v>
      </c>
      <c r="K48" s="1061">
        <v>6605.1689999999999</v>
      </c>
      <c r="L48" s="1061">
        <f t="shared" si="0"/>
        <v>51.034279999999853</v>
      </c>
      <c r="M48" s="1061">
        <f t="shared" si="1"/>
        <v>0.77865778138902897</v>
      </c>
    </row>
    <row r="49" spans="1:13" ht="24" customHeight="1">
      <c r="A49" s="1060">
        <v>37</v>
      </c>
      <c r="B49" s="943" t="s">
        <v>483</v>
      </c>
      <c r="C49" s="1061">
        <v>17268.988519999999</v>
      </c>
      <c r="D49" s="1061">
        <v>32115.672859999999</v>
      </c>
      <c r="E49" s="1061">
        <v>51247.394200000002</v>
      </c>
      <c r="F49" s="1061">
        <v>56909.175739999999</v>
      </c>
      <c r="G49" s="1061">
        <v>63142.374170000003</v>
      </c>
      <c r="H49" s="1061">
        <v>50225.493840000003</v>
      </c>
      <c r="I49" s="1061">
        <v>49372.255700000002</v>
      </c>
      <c r="J49" s="1061">
        <v>4728.7288600000002</v>
      </c>
      <c r="K49" s="1061">
        <v>5113.6279999999997</v>
      </c>
      <c r="L49" s="1061">
        <f t="shared" si="0"/>
        <v>384.89913999999953</v>
      </c>
      <c r="M49" s="1061">
        <f t="shared" si="1"/>
        <v>8.1395899700622607</v>
      </c>
    </row>
    <row r="50" spans="1:13" ht="24" customHeight="1">
      <c r="A50" s="1060">
        <v>38</v>
      </c>
      <c r="B50" s="943" t="s">
        <v>27</v>
      </c>
      <c r="C50" s="1069">
        <v>11335.84635</v>
      </c>
      <c r="D50" s="1069">
        <v>43899.722350000004</v>
      </c>
      <c r="E50" s="1069">
        <v>39502.714379999998</v>
      </c>
      <c r="F50" s="1069">
        <v>38161.915019999993</v>
      </c>
      <c r="G50" s="1069">
        <v>48071.667299999994</v>
      </c>
      <c r="H50" s="1061">
        <v>44142.551399999997</v>
      </c>
      <c r="I50" s="1061">
        <v>31867.516189999998</v>
      </c>
      <c r="J50" s="1061">
        <v>3318.8829699999997</v>
      </c>
      <c r="K50" s="1061">
        <v>3234.6149999999998</v>
      </c>
      <c r="L50" s="1061">
        <f t="shared" si="0"/>
        <v>-84.267969999999877</v>
      </c>
      <c r="M50" s="1061">
        <f t="shared" si="1"/>
        <v>-2.5390461417806449</v>
      </c>
    </row>
    <row r="51" spans="1:13" ht="24" customHeight="1">
      <c r="A51" s="1060">
        <v>39</v>
      </c>
      <c r="B51" s="943" t="s">
        <v>441</v>
      </c>
      <c r="C51" s="1061">
        <v>4644.0360999999994</v>
      </c>
      <c r="D51" s="1061">
        <v>6976.9780000000001</v>
      </c>
      <c r="E51" s="1061">
        <v>10308.45904</v>
      </c>
      <c r="F51" s="1061">
        <v>13697.550800000001</v>
      </c>
      <c r="G51" s="1061">
        <v>17907.827920000003</v>
      </c>
      <c r="H51" s="1061">
        <v>11043.86174</v>
      </c>
      <c r="I51" s="1061">
        <v>6833.9470600000004</v>
      </c>
      <c r="J51" s="1061">
        <v>611.59900000000005</v>
      </c>
      <c r="K51" s="1061">
        <v>615.16200000000003</v>
      </c>
      <c r="L51" s="1061">
        <f t="shared" si="0"/>
        <v>3.5629999999999882</v>
      </c>
      <c r="M51" s="1061">
        <f t="shared" si="1"/>
        <v>0.58257125992685133</v>
      </c>
    </row>
    <row r="52" spans="1:13" ht="24" customHeight="1">
      <c r="A52" s="1060">
        <v>40</v>
      </c>
      <c r="B52" s="943" t="s">
        <v>39</v>
      </c>
      <c r="C52" s="1061">
        <v>11755.816999999999</v>
      </c>
      <c r="D52" s="1061">
        <v>13659.33592</v>
      </c>
      <c r="E52" s="1061">
        <v>22442.699089999998</v>
      </c>
      <c r="F52" s="1061">
        <v>33344.595079999999</v>
      </c>
      <c r="G52" s="1061">
        <v>47700.608409999993</v>
      </c>
      <c r="H52" s="1061">
        <v>35288.364860000001</v>
      </c>
      <c r="I52" s="1061">
        <v>27510.735390000002</v>
      </c>
      <c r="J52" s="1061">
        <v>2811.9830499999998</v>
      </c>
      <c r="K52" s="1061">
        <v>2373.6759999999999</v>
      </c>
      <c r="L52" s="1061">
        <f t="shared" si="0"/>
        <v>-438.30704999999989</v>
      </c>
      <c r="M52" s="1061">
        <f t="shared" si="1"/>
        <v>-15.587115647798797</v>
      </c>
    </row>
    <row r="53" spans="1:13" ht="24" customHeight="1">
      <c r="A53" s="1060">
        <v>41</v>
      </c>
      <c r="B53" s="943" t="s">
        <v>40</v>
      </c>
      <c r="C53" s="1061">
        <v>17896.51253</v>
      </c>
      <c r="D53" s="1061">
        <v>50346.811240000003</v>
      </c>
      <c r="E53" s="1061">
        <v>13420.607010000002</v>
      </c>
      <c r="F53" s="1061">
        <v>17427.119350000001</v>
      </c>
      <c r="G53" s="1061">
        <v>21342.117460000001</v>
      </c>
      <c r="H53" s="1061">
        <v>17986.516060000002</v>
      </c>
      <c r="I53" s="1061">
        <v>13788.868849999999</v>
      </c>
      <c r="J53" s="1061">
        <v>3819.8509700000004</v>
      </c>
      <c r="K53" s="1061">
        <v>1155.8330000000001</v>
      </c>
      <c r="L53" s="1061">
        <f t="shared" si="0"/>
        <v>-2664.0179700000003</v>
      </c>
      <c r="M53" s="1061">
        <f t="shared" si="1"/>
        <v>-69.741411142016361</v>
      </c>
    </row>
    <row r="54" spans="1:13" ht="24" customHeight="1">
      <c r="A54" s="1060">
        <v>42</v>
      </c>
      <c r="B54" s="943" t="s">
        <v>42</v>
      </c>
      <c r="C54" s="1061">
        <v>30951.462789999998</v>
      </c>
      <c r="D54" s="1061">
        <v>43382.19786</v>
      </c>
      <c r="E54" s="1061">
        <v>50655.916069999999</v>
      </c>
      <c r="F54" s="1061">
        <v>55123.170779999993</v>
      </c>
      <c r="G54" s="1061">
        <v>144258.07581000001</v>
      </c>
      <c r="H54" s="1061">
        <v>70343.805590000004</v>
      </c>
      <c r="I54" s="1061">
        <v>50801.561119999998</v>
      </c>
      <c r="J54" s="1061">
        <v>2915.3568300000002</v>
      </c>
      <c r="K54" s="1061">
        <v>3622.471</v>
      </c>
      <c r="L54" s="1061">
        <f t="shared" si="0"/>
        <v>707.11416999999983</v>
      </c>
      <c r="M54" s="1061">
        <f t="shared" si="1"/>
        <v>24.254806915008061</v>
      </c>
    </row>
    <row r="55" spans="1:13" ht="24" customHeight="1">
      <c r="A55" s="1060">
        <v>43</v>
      </c>
      <c r="B55" s="943" t="s">
        <v>43</v>
      </c>
      <c r="C55" s="1069">
        <v>11055.626</v>
      </c>
      <c r="D55" s="1069">
        <v>17961.713250000001</v>
      </c>
      <c r="E55" s="1069">
        <v>23597.703750000001</v>
      </c>
      <c r="F55" s="1069">
        <v>46382.217109999998</v>
      </c>
      <c r="G55" s="1069">
        <v>69458.21828999999</v>
      </c>
      <c r="H55" s="1061">
        <v>42308.46961</v>
      </c>
      <c r="I55" s="1061">
        <v>19619.796589999998</v>
      </c>
      <c r="J55" s="1061">
        <v>1846.6550899999997</v>
      </c>
      <c r="K55" s="1061">
        <v>1569.838</v>
      </c>
      <c r="L55" s="1061">
        <f t="shared" si="0"/>
        <v>-276.81708999999978</v>
      </c>
      <c r="M55" s="1061">
        <f t="shared" si="1"/>
        <v>-14.990189099145738</v>
      </c>
    </row>
    <row r="56" spans="1:13" ht="24" customHeight="1">
      <c r="A56" s="1060">
        <v>44</v>
      </c>
      <c r="B56" s="943" t="s">
        <v>45</v>
      </c>
      <c r="C56" s="1061">
        <v>8127.4796200000001</v>
      </c>
      <c r="D56" s="1061">
        <v>13169.758159999999</v>
      </c>
      <c r="E56" s="1061">
        <v>23272.067800000001</v>
      </c>
      <c r="F56" s="1061">
        <v>29501.375410000001</v>
      </c>
      <c r="G56" s="1061">
        <v>39134.292379999992</v>
      </c>
      <c r="H56" s="1061">
        <v>70712.944909999991</v>
      </c>
      <c r="I56" s="1061">
        <v>21756.045560000002</v>
      </c>
      <c r="J56" s="1061">
        <v>1975.1278399999999</v>
      </c>
      <c r="K56" s="1061">
        <v>1800.5239999999999</v>
      </c>
      <c r="L56" s="1061">
        <f t="shared" si="0"/>
        <v>-174.60383999999999</v>
      </c>
      <c r="M56" s="1061">
        <f t="shared" si="1"/>
        <v>-8.8401285458059249</v>
      </c>
    </row>
    <row r="57" spans="1:13" ht="24" customHeight="1">
      <c r="A57" s="1060">
        <v>45</v>
      </c>
      <c r="B57" s="943" t="s">
        <v>482</v>
      </c>
      <c r="C57" s="1061">
        <v>9957.7088999999996</v>
      </c>
      <c r="D57" s="1061">
        <v>11361.401800000001</v>
      </c>
      <c r="E57" s="1061">
        <v>35515.199359999999</v>
      </c>
      <c r="F57" s="1061">
        <v>34636.248319999999</v>
      </c>
      <c r="G57" s="1061">
        <v>38135.856970000001</v>
      </c>
      <c r="H57" s="1061">
        <v>32629.51035</v>
      </c>
      <c r="I57" s="1061">
        <v>23569.08454</v>
      </c>
      <c r="J57" s="1061">
        <v>2194.0210200000001</v>
      </c>
      <c r="K57" s="1061">
        <v>2499.5239999999999</v>
      </c>
      <c r="L57" s="1061">
        <f t="shared" si="0"/>
        <v>305.50297999999975</v>
      </c>
      <c r="M57" s="1061">
        <f t="shared" si="1"/>
        <v>13.924341527046977</v>
      </c>
    </row>
    <row r="58" spans="1:13" ht="24" customHeight="1">
      <c r="A58" s="1062">
        <v>46</v>
      </c>
      <c r="B58" s="943" t="s">
        <v>216</v>
      </c>
      <c r="C58" s="1070">
        <v>26037.406329999998</v>
      </c>
      <c r="D58" s="1070">
        <v>26559.081999999999</v>
      </c>
      <c r="E58" s="1070">
        <v>37601.136319999998</v>
      </c>
      <c r="F58" s="1070">
        <v>61322.568189999998</v>
      </c>
      <c r="G58" s="1070">
        <v>85982.970440000005</v>
      </c>
      <c r="H58" s="1061">
        <v>64832.467450000004</v>
      </c>
      <c r="I58" s="1061">
        <v>45267.792870000005</v>
      </c>
      <c r="J58" s="1061">
        <v>4701.3935799999999</v>
      </c>
      <c r="K58" s="1061">
        <v>5067.232</v>
      </c>
      <c r="L58" s="1061">
        <f t="shared" si="0"/>
        <v>365.83842000000004</v>
      </c>
      <c r="M58" s="1061">
        <f t="shared" si="1"/>
        <v>7.7814889090821424</v>
      </c>
    </row>
    <row r="59" spans="1:13" ht="24" customHeight="1">
      <c r="A59" s="1388" t="s">
        <v>50</v>
      </c>
      <c r="B59" s="1388"/>
      <c r="C59" s="1065">
        <f>SUM(C34:C58)</f>
        <v>544730.16727000009</v>
      </c>
      <c r="D59" s="1065">
        <f t="shared" ref="D59:K59" si="8">SUM(D34:D58)</f>
        <v>836479.31246000004</v>
      </c>
      <c r="E59" s="1065">
        <f t="shared" si="8"/>
        <v>1083362.89848</v>
      </c>
      <c r="F59" s="1065">
        <f t="shared" si="8"/>
        <v>1394754.9622400003</v>
      </c>
      <c r="G59" s="1065">
        <f t="shared" si="8"/>
        <v>1982343.2782600007</v>
      </c>
      <c r="H59" s="1065">
        <f t="shared" si="8"/>
        <v>1399146.5717100007</v>
      </c>
      <c r="I59" s="1065">
        <f t="shared" si="8"/>
        <v>1062339.4041300002</v>
      </c>
      <c r="J59" s="1065">
        <f t="shared" si="8"/>
        <v>85413.369670000015</v>
      </c>
      <c r="K59" s="1065">
        <f t="shared" si="8"/>
        <v>78574.236450000011</v>
      </c>
      <c r="L59" s="1065">
        <f t="shared" si="0"/>
        <v>-6839.1332200000033</v>
      </c>
      <c r="M59" s="1065">
        <f t="shared" si="1"/>
        <v>-8.0070991771234787</v>
      </c>
    </row>
    <row r="60" spans="1:13" ht="24" customHeight="1">
      <c r="A60" s="1055"/>
      <c r="B60" s="1050"/>
      <c r="C60" s="1066"/>
      <c r="D60" s="1066"/>
      <c r="E60" s="1066"/>
      <c r="F60" s="1066"/>
      <c r="G60" s="1067"/>
      <c r="H60" s="1068"/>
      <c r="I60" s="1066"/>
      <c r="J60" s="1066"/>
      <c r="K60" s="1066"/>
      <c r="L60" s="1066"/>
      <c r="M60" s="1066"/>
    </row>
    <row r="61" spans="1:13" ht="24" customHeight="1">
      <c r="A61" s="1058">
        <v>47</v>
      </c>
      <c r="B61" s="943" t="s">
        <v>5</v>
      </c>
      <c r="C61" s="1059">
        <v>294407.66878999997</v>
      </c>
      <c r="D61" s="1059">
        <v>371976.43452000001</v>
      </c>
      <c r="E61" s="1059">
        <v>458114.59342999995</v>
      </c>
      <c r="F61" s="1059">
        <v>578119.76624999999</v>
      </c>
      <c r="G61" s="1059">
        <v>669564.76330999995</v>
      </c>
      <c r="H61" s="1061">
        <v>591316.93347000005</v>
      </c>
      <c r="I61" s="1061">
        <v>612459.31795000006</v>
      </c>
      <c r="J61" s="1069">
        <v>49417.998319999999</v>
      </c>
      <c r="K61" s="1069">
        <v>39093.908120000007</v>
      </c>
      <c r="L61" s="1069">
        <f t="shared" si="0"/>
        <v>-10324.090199999991</v>
      </c>
      <c r="M61" s="1069">
        <f t="shared" si="1"/>
        <v>-20.891356491510749</v>
      </c>
    </row>
    <row r="62" spans="1:13" ht="24" customHeight="1">
      <c r="A62" s="1060">
        <v>48</v>
      </c>
      <c r="B62" s="943" t="s">
        <v>16</v>
      </c>
      <c r="C62" s="1061">
        <v>9108.0095500000007</v>
      </c>
      <c r="D62" s="1061">
        <v>24835.758700000002</v>
      </c>
      <c r="E62" s="1061">
        <v>24914.324789999999</v>
      </c>
      <c r="F62" s="1061">
        <v>32176.78385</v>
      </c>
      <c r="G62" s="1061">
        <v>43260.528469999997</v>
      </c>
      <c r="H62" s="1061">
        <v>41136.848180000001</v>
      </c>
      <c r="I62" s="1061">
        <v>29368.88953</v>
      </c>
      <c r="J62" s="1061">
        <v>2553.1682999999998</v>
      </c>
      <c r="K62" s="1061">
        <v>3091.6489999999999</v>
      </c>
      <c r="L62" s="1061">
        <f t="shared" si="0"/>
        <v>538.48070000000007</v>
      </c>
      <c r="M62" s="1061">
        <f t="shared" si="1"/>
        <v>21.090685639485656</v>
      </c>
    </row>
    <row r="63" spans="1:13" ht="24" customHeight="1">
      <c r="A63" s="1060">
        <v>49</v>
      </c>
      <c r="B63" s="943" t="s">
        <v>6</v>
      </c>
      <c r="C63" s="1061">
        <v>7568.2376099999992</v>
      </c>
      <c r="D63" s="1061">
        <v>13675.506820000001</v>
      </c>
      <c r="E63" s="1061">
        <v>15997.934060000001</v>
      </c>
      <c r="F63" s="1061">
        <v>23741.17944</v>
      </c>
      <c r="G63" s="1061">
        <v>27039.107199999999</v>
      </c>
      <c r="H63" s="1061">
        <v>25005.998449999999</v>
      </c>
      <c r="I63" s="1061">
        <v>15717.883119999999</v>
      </c>
      <c r="J63" s="1061">
        <v>1613.3745899999999</v>
      </c>
      <c r="K63" s="1061">
        <v>1094.819</v>
      </c>
      <c r="L63" s="1061">
        <f t="shared" si="0"/>
        <v>-518.55558999999994</v>
      </c>
      <c r="M63" s="1061">
        <f t="shared" si="1"/>
        <v>-32.14105349210935</v>
      </c>
    </row>
    <row r="64" spans="1:13" ht="24" customHeight="1">
      <c r="A64" s="1060">
        <v>50</v>
      </c>
      <c r="B64" s="943" t="s">
        <v>150</v>
      </c>
      <c r="C64" s="1061">
        <v>210.00695000000002</v>
      </c>
      <c r="D64" s="1061">
        <v>3063.6260000000002</v>
      </c>
      <c r="E64" s="1061">
        <v>2612.7060000000001</v>
      </c>
      <c r="F64" s="1061">
        <v>2298.3780000000002</v>
      </c>
      <c r="G64" s="1061">
        <v>5154.2500799999998</v>
      </c>
      <c r="H64" s="1061">
        <v>5783.8784100000003</v>
      </c>
      <c r="I64" s="1061">
        <v>8533.5668099999984</v>
      </c>
      <c r="J64" s="1061">
        <v>553.62685999999997</v>
      </c>
      <c r="K64" s="1061">
        <v>699.98199999999997</v>
      </c>
      <c r="L64" s="1061">
        <f t="shared" si="0"/>
        <v>146.35514000000001</v>
      </c>
      <c r="M64" s="1061">
        <f t="shared" si="1"/>
        <v>26.435700753391927</v>
      </c>
    </row>
    <row r="65" spans="1:13" ht="24" customHeight="1">
      <c r="A65" s="1060">
        <v>51</v>
      </c>
      <c r="B65" s="943" t="s">
        <v>81</v>
      </c>
      <c r="C65" s="1061">
        <v>2299.3494999999998</v>
      </c>
      <c r="D65" s="1061">
        <v>6793.8583200000003</v>
      </c>
      <c r="E65" s="1061">
        <v>5550.7817999999997</v>
      </c>
      <c r="F65" s="1061">
        <v>7375.96911</v>
      </c>
      <c r="G65" s="1061">
        <v>4568.92292</v>
      </c>
      <c r="H65" s="1061">
        <v>3406.7926000000002</v>
      </c>
      <c r="I65" s="1061">
        <v>2741.8738200000003</v>
      </c>
      <c r="J65" s="1061">
        <v>380.54070999999999</v>
      </c>
      <c r="K65" s="1061">
        <v>130.5</v>
      </c>
      <c r="L65" s="1061">
        <f t="shared" si="0"/>
        <v>-250.04070999999999</v>
      </c>
      <c r="M65" s="1061">
        <f t="shared" si="1"/>
        <v>-65.706691407602619</v>
      </c>
    </row>
    <row r="66" spans="1:13" ht="24" customHeight="1">
      <c r="A66" s="1060">
        <v>52</v>
      </c>
      <c r="B66" s="943" t="s">
        <v>8</v>
      </c>
      <c r="C66" s="1069">
        <v>48295.394999999997</v>
      </c>
      <c r="D66" s="1069">
        <v>65071.067109999996</v>
      </c>
      <c r="E66" s="1069">
        <v>92330.153579999998</v>
      </c>
      <c r="F66" s="1069">
        <v>134697.55813999998</v>
      </c>
      <c r="G66" s="1069">
        <v>139476.70288999999</v>
      </c>
      <c r="H66" s="1061">
        <v>123144.86442</v>
      </c>
      <c r="I66" s="1061">
        <v>95829.760370000004</v>
      </c>
      <c r="J66" s="1061">
        <v>7860.5686400000004</v>
      </c>
      <c r="K66" s="1061">
        <v>7442.7520000000004</v>
      </c>
      <c r="L66" s="1061">
        <f t="shared" si="0"/>
        <v>-417.81664000000001</v>
      </c>
      <c r="M66" s="1061">
        <f t="shared" si="1"/>
        <v>-5.315348788812301</v>
      </c>
    </row>
    <row r="67" spans="1:13" ht="24" customHeight="1">
      <c r="A67" s="1060">
        <v>53</v>
      </c>
      <c r="B67" s="943" t="s">
        <v>21</v>
      </c>
      <c r="C67" s="1061">
        <v>110555.31414</v>
      </c>
      <c r="D67" s="1061">
        <v>154128.59909</v>
      </c>
      <c r="E67" s="1061">
        <v>181265.70569</v>
      </c>
      <c r="F67" s="1061">
        <v>222707.47299000001</v>
      </c>
      <c r="G67" s="1061">
        <v>421379.7525</v>
      </c>
      <c r="H67" s="1061">
        <v>475891.43797999999</v>
      </c>
      <c r="I67" s="1061">
        <v>234853.8412</v>
      </c>
      <c r="J67" s="1061">
        <v>15850.92525</v>
      </c>
      <c r="K67" s="1061">
        <v>15196.42842</v>
      </c>
      <c r="L67" s="1061">
        <f t="shared" si="0"/>
        <v>-654.49683000000005</v>
      </c>
      <c r="M67" s="1061">
        <f t="shared" si="1"/>
        <v>-4.1290765029631302</v>
      </c>
    </row>
    <row r="68" spans="1:13" ht="24" customHeight="1">
      <c r="A68" s="1060">
        <v>54</v>
      </c>
      <c r="B68" s="943" t="s">
        <v>12</v>
      </c>
      <c r="C68" s="1061">
        <v>72773.125390000001</v>
      </c>
      <c r="D68" s="1061">
        <v>82359.244839999999</v>
      </c>
      <c r="E68" s="1061">
        <v>86044.950660000002</v>
      </c>
      <c r="F68" s="1061">
        <v>152919.78829000003</v>
      </c>
      <c r="G68" s="1061">
        <v>136071.20121</v>
      </c>
      <c r="H68" s="1061">
        <v>109533.23286</v>
      </c>
      <c r="I68" s="1061">
        <v>90370.115540000013</v>
      </c>
      <c r="J68" s="1061">
        <v>8648.8959900000009</v>
      </c>
      <c r="K68" s="1061">
        <v>8789.1759999999995</v>
      </c>
      <c r="L68" s="1061">
        <f t="shared" si="0"/>
        <v>140.28000999999858</v>
      </c>
      <c r="M68" s="1061">
        <f t="shared" si="1"/>
        <v>1.6219412299811893</v>
      </c>
    </row>
    <row r="69" spans="1:13" ht="24" customHeight="1">
      <c r="A69" s="1060">
        <v>55</v>
      </c>
      <c r="B69" s="943" t="s">
        <v>17</v>
      </c>
      <c r="C69" s="1069">
        <v>23948.708280000003</v>
      </c>
      <c r="D69" s="1069">
        <v>33696.986929999999</v>
      </c>
      <c r="E69" s="1069">
        <v>46591.715320000003</v>
      </c>
      <c r="F69" s="1069">
        <v>68580.061809999999</v>
      </c>
      <c r="G69" s="1069">
        <v>96240.676720000003</v>
      </c>
      <c r="H69" s="1061">
        <v>80217.856980000011</v>
      </c>
      <c r="I69" s="1061">
        <v>70281.825799999991</v>
      </c>
      <c r="J69" s="1061">
        <v>7555.2832400000007</v>
      </c>
      <c r="K69" s="1061">
        <v>9539.8209999999999</v>
      </c>
      <c r="L69" s="1061">
        <f t="shared" si="0"/>
        <v>1984.5377599999993</v>
      </c>
      <c r="M69" s="1061">
        <f t="shared" si="1"/>
        <v>26.266887646160569</v>
      </c>
    </row>
    <row r="70" spans="1:13" ht="24" customHeight="1">
      <c r="A70" s="1060">
        <v>56</v>
      </c>
      <c r="B70" s="943" t="s">
        <v>18</v>
      </c>
      <c r="C70" s="1061">
        <v>106102.55329000001</v>
      </c>
      <c r="D70" s="1061">
        <v>159341.83471999998</v>
      </c>
      <c r="E70" s="1061">
        <v>203319.17863000001</v>
      </c>
      <c r="F70" s="1061">
        <v>338614.71698000003</v>
      </c>
      <c r="G70" s="1061">
        <v>407409.72447000002</v>
      </c>
      <c r="H70" s="1061">
        <v>338580.78093820001</v>
      </c>
      <c r="I70" s="1061">
        <v>258863.62628</v>
      </c>
      <c r="J70" s="1061">
        <v>23053.88652</v>
      </c>
      <c r="K70" s="1061">
        <v>18336.944</v>
      </c>
      <c r="L70" s="1061">
        <f t="shared" si="0"/>
        <v>-4716.9425200000005</v>
      </c>
      <c r="M70" s="1061">
        <f t="shared" si="1"/>
        <v>-20.460508972783813</v>
      </c>
    </row>
    <row r="71" spans="1:13" ht="24" customHeight="1">
      <c r="A71" s="1060">
        <v>57</v>
      </c>
      <c r="B71" s="943" t="s">
        <v>488</v>
      </c>
      <c r="C71" s="1061">
        <v>20626.655079999997</v>
      </c>
      <c r="D71" s="1061">
        <v>32156.934000000001</v>
      </c>
      <c r="E71" s="1061">
        <v>50255.585120000003</v>
      </c>
      <c r="F71" s="1061">
        <v>86072.691290000002</v>
      </c>
      <c r="G71" s="1061">
        <v>114755.03361</v>
      </c>
      <c r="H71" s="1061">
        <v>87721.885609999998</v>
      </c>
      <c r="I71" s="1061">
        <v>35005.724070000004</v>
      </c>
      <c r="J71" s="1061">
        <v>5085.7703200000005</v>
      </c>
      <c r="K71" s="1061">
        <v>3447.152</v>
      </c>
      <c r="L71" s="1061">
        <f t="shared" ref="L71:L82" si="9">SUM(K71-J71)</f>
        <v>-1638.6183200000005</v>
      </c>
      <c r="M71" s="1061">
        <f t="shared" si="1"/>
        <v>-32.219668150487777</v>
      </c>
    </row>
    <row r="72" spans="1:13" ht="24" customHeight="1">
      <c r="A72" s="1060">
        <v>58</v>
      </c>
      <c r="B72" s="943" t="s">
        <v>20</v>
      </c>
      <c r="C72" s="1061">
        <v>29602.933120000002</v>
      </c>
      <c r="D72" s="1061">
        <v>44312.390120000004</v>
      </c>
      <c r="E72" s="1061">
        <v>52361.178870000003</v>
      </c>
      <c r="F72" s="1061">
        <v>76222.361289999986</v>
      </c>
      <c r="G72" s="1061">
        <v>99697.034710000007</v>
      </c>
      <c r="H72" s="1061">
        <v>93990.645690000005</v>
      </c>
      <c r="I72" s="1061">
        <v>58502.07187</v>
      </c>
      <c r="J72" s="1061">
        <v>7377.7543599999999</v>
      </c>
      <c r="K72" s="1061">
        <v>4302.223</v>
      </c>
      <c r="L72" s="1061">
        <f t="shared" si="9"/>
        <v>-3075.5313599999999</v>
      </c>
      <c r="M72" s="1061">
        <f t="shared" ref="M72:M82" si="10">K72/J72*100-100</f>
        <v>-41.686551353276556</v>
      </c>
    </row>
    <row r="73" spans="1:13" ht="24" customHeight="1">
      <c r="A73" s="1060">
        <v>59</v>
      </c>
      <c r="B73" s="943" t="s">
        <v>486</v>
      </c>
      <c r="C73" s="1061">
        <v>20963.32303</v>
      </c>
      <c r="D73" s="1061">
        <v>45198.239804999997</v>
      </c>
      <c r="E73" s="1061">
        <v>45333.014519999997</v>
      </c>
      <c r="F73" s="1061">
        <v>80933.289529999995</v>
      </c>
      <c r="G73" s="1061">
        <v>65333.339</v>
      </c>
      <c r="H73" s="1061">
        <v>53347.64817</v>
      </c>
      <c r="I73" s="1061">
        <v>73589.844939999995</v>
      </c>
      <c r="J73" s="1061">
        <v>1936.35483</v>
      </c>
      <c r="K73" s="1061">
        <v>3095.3910000000001</v>
      </c>
      <c r="L73" s="1061">
        <f t="shared" si="9"/>
        <v>1159.0361700000001</v>
      </c>
      <c r="M73" s="1061">
        <f t="shared" si="10"/>
        <v>59.856600249242547</v>
      </c>
    </row>
    <row r="74" spans="1:13" ht="24" customHeight="1">
      <c r="A74" s="1060">
        <v>60</v>
      </c>
      <c r="B74" s="943" t="s">
        <v>10</v>
      </c>
      <c r="C74" s="1069">
        <v>63186.04</v>
      </c>
      <c r="D74" s="1069">
        <v>83228.06915000001</v>
      </c>
      <c r="E74" s="1069">
        <v>109637.00758</v>
      </c>
      <c r="F74" s="1069">
        <v>143490.98991</v>
      </c>
      <c r="G74" s="1069">
        <v>167363.39269000001</v>
      </c>
      <c r="H74" s="1061">
        <v>145407.47936000003</v>
      </c>
      <c r="I74" s="1061">
        <v>133071.48688000001</v>
      </c>
      <c r="J74" s="1061">
        <v>9447.9631399999998</v>
      </c>
      <c r="K74" s="1061">
        <v>7563.1130000000003</v>
      </c>
      <c r="L74" s="1061">
        <f t="shared" si="9"/>
        <v>-1884.8501399999996</v>
      </c>
      <c r="M74" s="1061">
        <f t="shared" si="10"/>
        <v>-19.949804122542332</v>
      </c>
    </row>
    <row r="75" spans="1:13" ht="24" customHeight="1">
      <c r="A75" s="1060">
        <v>61</v>
      </c>
      <c r="B75" s="943" t="s">
        <v>11</v>
      </c>
      <c r="C75" s="1061">
        <v>32439.554620000003</v>
      </c>
      <c r="D75" s="1061">
        <v>52908.497870000007</v>
      </c>
      <c r="E75" s="1061">
        <v>69556.940829999992</v>
      </c>
      <c r="F75" s="1061">
        <v>110875.52915</v>
      </c>
      <c r="G75" s="1061">
        <v>207035.38561000003</v>
      </c>
      <c r="H75" s="1061">
        <v>112903.87121000001</v>
      </c>
      <c r="I75" s="1061">
        <v>40294.631879999994</v>
      </c>
      <c r="J75" s="1061">
        <v>4124.2997400000004</v>
      </c>
      <c r="K75" s="1061">
        <v>4128.59</v>
      </c>
      <c r="L75" s="1061">
        <f t="shared" si="9"/>
        <v>4.2902599999997619</v>
      </c>
      <c r="M75" s="1061">
        <f t="shared" si="10"/>
        <v>0.10402396213811471</v>
      </c>
    </row>
    <row r="76" spans="1:13" ht="24" customHeight="1">
      <c r="A76" s="1060">
        <v>62</v>
      </c>
      <c r="B76" s="943" t="s">
        <v>13</v>
      </c>
      <c r="C76" s="1061">
        <v>47465.648000000001</v>
      </c>
      <c r="D76" s="1061">
        <v>97173.389210000008</v>
      </c>
      <c r="E76" s="1061">
        <v>86919.589129999993</v>
      </c>
      <c r="F76" s="1061">
        <v>103623.01125999998</v>
      </c>
      <c r="G76" s="1061">
        <v>171070.69281000001</v>
      </c>
      <c r="H76" s="1061">
        <v>144756.08531999998</v>
      </c>
      <c r="I76" s="1061">
        <v>91264.19412</v>
      </c>
      <c r="J76" s="1061">
        <v>9408.7830799999992</v>
      </c>
      <c r="K76" s="1061">
        <v>8012.4769999999999</v>
      </c>
      <c r="L76" s="1061">
        <f t="shared" si="9"/>
        <v>-1396.3060799999994</v>
      </c>
      <c r="M76" s="1061">
        <f t="shared" si="10"/>
        <v>-14.840453522284832</v>
      </c>
    </row>
    <row r="77" spans="1:13" ht="24" customHeight="1">
      <c r="A77" s="1060">
        <v>63</v>
      </c>
      <c r="B77" s="943" t="s">
        <v>14</v>
      </c>
      <c r="C77" s="1069">
        <v>32097.663</v>
      </c>
      <c r="D77" s="1069">
        <v>79465.126599999989</v>
      </c>
      <c r="E77" s="1069">
        <v>66824.837</v>
      </c>
      <c r="F77" s="1069">
        <v>109363.60700999999</v>
      </c>
      <c r="G77" s="1069">
        <v>138038.52426999999</v>
      </c>
      <c r="H77" s="1061">
        <v>119317.07928999999</v>
      </c>
      <c r="I77" s="1061">
        <v>94504.436359999992</v>
      </c>
      <c r="J77" s="1061">
        <v>9097.4630799999995</v>
      </c>
      <c r="K77" s="1061">
        <v>10108.094999999999</v>
      </c>
      <c r="L77" s="1061">
        <f t="shared" si="9"/>
        <v>1010.6319199999998</v>
      </c>
      <c r="M77" s="1061">
        <f t="shared" si="10"/>
        <v>11.108942252503212</v>
      </c>
    </row>
    <row r="78" spans="1:13" ht="24" customHeight="1">
      <c r="A78" s="1062">
        <v>64</v>
      </c>
      <c r="B78" s="943" t="s">
        <v>487</v>
      </c>
      <c r="C78" s="1063">
        <v>28330.304199999999</v>
      </c>
      <c r="D78" s="1063">
        <v>31464.78311</v>
      </c>
      <c r="E78" s="1063">
        <v>28895.72927</v>
      </c>
      <c r="F78" s="1063">
        <v>44193.986429999997</v>
      </c>
      <c r="G78" s="1063">
        <v>71795.669949999981</v>
      </c>
      <c r="H78" s="1061">
        <v>52735.357759999999</v>
      </c>
      <c r="I78" s="1061">
        <v>44357.27837</v>
      </c>
      <c r="J78" s="1064">
        <v>5829.8636100000003</v>
      </c>
      <c r="K78" s="1064">
        <v>3427.241</v>
      </c>
      <c r="L78" s="1064">
        <f t="shared" si="9"/>
        <v>-2402.6226100000003</v>
      </c>
      <c r="M78" s="1064">
        <f t="shared" si="10"/>
        <v>-41.212329665461937</v>
      </c>
    </row>
    <row r="79" spans="1:13" ht="24" customHeight="1">
      <c r="A79" s="1388" t="s">
        <v>116</v>
      </c>
      <c r="B79" s="1388"/>
      <c r="C79" s="1065">
        <f>SUM(C61:C78)</f>
        <v>949980.48954999994</v>
      </c>
      <c r="D79" s="1065">
        <f t="shared" ref="D79:K79" si="11">SUM(D61:D78)</f>
        <v>1380850.3469150001</v>
      </c>
      <c r="E79" s="1065">
        <f t="shared" si="11"/>
        <v>1626525.9262799998</v>
      </c>
      <c r="F79" s="1065">
        <f t="shared" si="11"/>
        <v>2316007.1407300001</v>
      </c>
      <c r="G79" s="1065">
        <f t="shared" si="11"/>
        <v>2985254.7024200005</v>
      </c>
      <c r="H79" s="1065">
        <f t="shared" si="11"/>
        <v>2604198.6766981999</v>
      </c>
      <c r="I79" s="1065">
        <f t="shared" si="11"/>
        <v>1989610.36891</v>
      </c>
      <c r="J79" s="1065">
        <f t="shared" si="11"/>
        <v>169796.52057999998</v>
      </c>
      <c r="K79" s="1065">
        <f t="shared" si="11"/>
        <v>147500.26154000004</v>
      </c>
      <c r="L79" s="1065">
        <f t="shared" si="9"/>
        <v>-22296.259039999946</v>
      </c>
      <c r="M79" s="1065">
        <f t="shared" si="10"/>
        <v>-13.131163679820517</v>
      </c>
    </row>
    <row r="80" spans="1:13" ht="24" customHeight="1">
      <c r="A80" s="1071"/>
      <c r="B80" s="944"/>
      <c r="C80" s="1066"/>
      <c r="D80" s="1066"/>
      <c r="E80" s="1066"/>
      <c r="F80" s="1066"/>
      <c r="G80" s="1072"/>
      <c r="H80" s="1073"/>
      <c r="I80" s="1066"/>
      <c r="J80" s="1077"/>
      <c r="K80" s="1077"/>
      <c r="L80" s="1077"/>
      <c r="M80" s="1077"/>
    </row>
    <row r="81" spans="1:13" ht="24" customHeight="1">
      <c r="A81" s="1074">
        <v>65</v>
      </c>
      <c r="B81" s="960" t="s">
        <v>26</v>
      </c>
      <c r="C81" s="1065">
        <v>3083389.15381</v>
      </c>
      <c r="D81" s="1065">
        <v>3179358.7025195397</v>
      </c>
      <c r="E81" s="1065">
        <v>3170592.3161899997</v>
      </c>
      <c r="F81" s="1065">
        <v>3735032.0250800005</v>
      </c>
      <c r="G81" s="1065">
        <v>5157360.9018799998</v>
      </c>
      <c r="H81" s="1065">
        <v>5555065.483310001</v>
      </c>
      <c r="I81" s="1065">
        <v>3018512.0407695402</v>
      </c>
      <c r="J81" s="1065">
        <v>251476.14869</v>
      </c>
      <c r="K81" s="1065">
        <v>218631.12773000001</v>
      </c>
      <c r="L81" s="1065">
        <f t="shared" si="9"/>
        <v>-32845.020959999994</v>
      </c>
      <c r="M81" s="1065">
        <f t="shared" si="10"/>
        <v>-13.060889126502701</v>
      </c>
    </row>
    <row r="82" spans="1:13" ht="24" customHeight="1">
      <c r="A82" s="1392" t="s">
        <v>474</v>
      </c>
      <c r="B82" s="1392"/>
      <c r="C82" s="1075">
        <f>C81+C79+C59+C32+C22+C15</f>
        <v>5513580.1408600006</v>
      </c>
      <c r="D82" s="1075">
        <f t="shared" ref="D82:J82" si="12">D81+D79+D59+D32+D22+D15</f>
        <v>6302707.2653245386</v>
      </c>
      <c r="E82" s="1075">
        <f t="shared" si="12"/>
        <v>6992869.92533</v>
      </c>
      <c r="F82" s="1075">
        <f t="shared" si="12"/>
        <v>8786335.3339300025</v>
      </c>
      <c r="G82" s="1075">
        <f t="shared" si="12"/>
        <v>11557588.50446</v>
      </c>
      <c r="H82" s="1075">
        <f t="shared" si="12"/>
        <v>10686302.2323182</v>
      </c>
      <c r="I82" s="1075">
        <f t="shared" si="12"/>
        <v>6870949.9379195403</v>
      </c>
      <c r="J82" s="1075">
        <f t="shared" si="12"/>
        <v>578622.75670999999</v>
      </c>
      <c r="K82" s="1075">
        <f t="shared" ref="K82" si="13">K81+K79+K59+K32+K22+K15</f>
        <v>509749.9766900001</v>
      </c>
      <c r="L82" s="1075">
        <f t="shared" si="9"/>
        <v>-68872.780019999889</v>
      </c>
      <c r="M82" s="1075">
        <f t="shared" si="10"/>
        <v>-11.902881319705543</v>
      </c>
    </row>
    <row r="84" spans="1:13">
      <c r="B84" s="1052"/>
    </row>
    <row r="85" spans="1:13">
      <c r="B85" s="945" t="s">
        <v>369</v>
      </c>
    </row>
  </sheetData>
  <mergeCells count="21">
    <mergeCell ref="G2:G5"/>
    <mergeCell ref="H2:H5"/>
    <mergeCell ref="I2:I5"/>
    <mergeCell ref="J2:J5"/>
    <mergeCell ref="K2:K5"/>
    <mergeCell ref="B1:I1"/>
    <mergeCell ref="A82:B82"/>
    <mergeCell ref="L3:L5"/>
    <mergeCell ref="A2:A5"/>
    <mergeCell ref="B2:B5"/>
    <mergeCell ref="A15:B15"/>
    <mergeCell ref="A22:B22"/>
    <mergeCell ref="C2:C5"/>
    <mergeCell ref="D2:D5"/>
    <mergeCell ref="E2:E5"/>
    <mergeCell ref="F2:F5"/>
    <mergeCell ref="L2:M2"/>
    <mergeCell ref="M3:M5"/>
    <mergeCell ref="A32:B32"/>
    <mergeCell ref="A59:B59"/>
    <mergeCell ref="A79:B79"/>
  </mergeCells>
  <printOptions horizontalCentered="1"/>
  <pageMargins left="0.19685039370078741" right="0.70866141732283472" top="1.0629921259842521" bottom="0.74803149606299213" header="0.31496062992125984" footer="0.31496062992125984"/>
  <pageSetup paperSize="9" scale="47" orientation="landscape" r:id="rId1"/>
  <rowBreaks count="1" manualBreakCount="1">
    <brk id="60" max="10" man="1"/>
  </rowBreaks>
</worksheet>
</file>

<file path=xl/worksheets/sheet19.xml><?xml version="1.0" encoding="utf-8"?>
<worksheet xmlns="http://schemas.openxmlformats.org/spreadsheetml/2006/main" xmlns:r="http://schemas.openxmlformats.org/officeDocument/2006/relationships">
  <sheetPr codeName="Лист30">
    <tabColor indexed="31"/>
  </sheetPr>
  <dimension ref="B1:H14"/>
  <sheetViews>
    <sheetView zoomScale="70" zoomScaleNormal="70" workbookViewId="0">
      <selection activeCell="B7" sqref="B7:G7"/>
    </sheetView>
  </sheetViews>
  <sheetFormatPr defaultRowHeight="12.75"/>
  <cols>
    <col min="1" max="1" width="1.7109375" customWidth="1"/>
    <col min="2" max="2" width="7.5703125" customWidth="1"/>
    <col min="3" max="3" width="54.42578125" style="797" customWidth="1"/>
    <col min="4" max="4" width="27.42578125" style="940" customWidth="1"/>
    <col min="5" max="5" width="29.7109375" style="940" customWidth="1"/>
    <col min="6" max="6" width="28.140625" style="940" customWidth="1"/>
    <col min="7" max="7" width="26.140625" style="940" customWidth="1"/>
    <col min="8" max="8" width="23.85546875" customWidth="1"/>
  </cols>
  <sheetData>
    <row r="1" spans="2:8" ht="12.75" customHeight="1">
      <c r="B1" s="408" t="s">
        <v>392</v>
      </c>
      <c r="C1" s="845"/>
      <c r="D1" s="931"/>
      <c r="E1" s="931"/>
      <c r="F1" s="931"/>
      <c r="G1" s="931"/>
    </row>
    <row r="2" spans="2:8" ht="76.5" customHeight="1">
      <c r="B2" s="1360" t="e">
        <f>CLEAN(#REF!)</f>
        <v>#REF!</v>
      </c>
      <c r="C2" s="1360"/>
      <c r="D2" s="1360"/>
      <c r="E2" s="1360"/>
      <c r="F2" s="1360"/>
      <c r="G2" s="1360"/>
    </row>
    <row r="3" spans="2:8" ht="24.75" customHeight="1">
      <c r="B3" s="1360"/>
      <c r="C3" s="1360"/>
      <c r="D3" s="1360"/>
      <c r="E3" s="1360"/>
      <c r="F3" s="1360"/>
      <c r="G3" s="1360"/>
    </row>
    <row r="4" spans="2:8" ht="15.75" customHeight="1">
      <c r="B4" s="413"/>
      <c r="C4" s="846"/>
      <c r="D4" s="929"/>
      <c r="E4" s="929"/>
      <c r="F4" s="1405" t="s">
        <v>398</v>
      </c>
      <c r="G4" s="1405"/>
    </row>
    <row r="5" spans="2:8" ht="25.5">
      <c r="B5" s="414" t="s">
        <v>80</v>
      </c>
      <c r="C5" s="823" t="s">
        <v>393</v>
      </c>
      <c r="D5" s="930" t="e">
        <f>CLEAN(#REF!)</f>
        <v>#REF!</v>
      </c>
      <c r="E5" s="930" t="e">
        <f>CLEAN(#REF!)</f>
        <v>#REF!</v>
      </c>
      <c r="F5" s="930" t="e">
        <f>CLEAN(#REF!)</f>
        <v>#REF!</v>
      </c>
      <c r="G5" s="930" t="e">
        <f>CLEAN(#REF!)</f>
        <v>#REF!</v>
      </c>
    </row>
    <row r="6" spans="2:8" ht="41.25" customHeight="1">
      <c r="B6" s="1403" t="s">
        <v>394</v>
      </c>
      <c r="C6" s="1404"/>
      <c r="D6" s="932" t="e">
        <f>SUM(D8+D9+D10+D11+D12)</f>
        <v>#REF!</v>
      </c>
      <c r="E6" s="932" t="e">
        <f>SUM(E8+E9+E10+E11+E12)</f>
        <v>#REF!</v>
      </c>
      <c r="F6" s="932" t="e">
        <f>SUM(F8+F9+F10+F11+F12)</f>
        <v>#REF!</v>
      </c>
      <c r="G6" s="933" t="e">
        <f>SUM(G8+G9+G10+G11+G12)</f>
        <v>#REF!</v>
      </c>
    </row>
    <row r="7" spans="2:8" ht="30" customHeight="1">
      <c r="B7" s="1406" t="s">
        <v>413</v>
      </c>
      <c r="C7" s="1407"/>
      <c r="D7" s="1407"/>
      <c r="E7" s="1407"/>
      <c r="F7" s="1407"/>
      <c r="G7" s="1408"/>
      <c r="H7" s="10" t="e">
        <f>SUM(D6+E6-F6)</f>
        <v>#REF!</v>
      </c>
    </row>
    <row r="8" spans="2:8" ht="58.5" customHeight="1">
      <c r="B8" s="411">
        <v>1</v>
      </c>
      <c r="C8" s="847" t="s">
        <v>395</v>
      </c>
      <c r="D8" s="934" t="e">
        <f>SUM(#REF!)</f>
        <v>#REF!</v>
      </c>
      <c r="E8" s="934" t="e">
        <f>SUM(#REF!)</f>
        <v>#REF!</v>
      </c>
      <c r="F8" s="934" t="e">
        <f>SUM(#REF!)</f>
        <v>#REF!</v>
      </c>
      <c r="G8" s="935" t="e">
        <f>SUM(D8+E8-F8)</f>
        <v>#REF!</v>
      </c>
      <c r="H8" s="409">
        <f>SUM('[4]Район (пог+выд)'!G17)</f>
        <v>18832.775205000005</v>
      </c>
    </row>
    <row r="9" spans="2:8" ht="30" customHeight="1">
      <c r="B9" s="411">
        <v>2</v>
      </c>
      <c r="C9" s="847" t="s">
        <v>264</v>
      </c>
      <c r="D9" s="936" t="e">
        <f>SUM(#REF!+#REF!)</f>
        <v>#REF!</v>
      </c>
      <c r="E9" s="936" t="e">
        <f>SUM(#REF!+#REF!)</f>
        <v>#REF!</v>
      </c>
      <c r="F9" s="936" t="e">
        <f>SUM(#REF!+#REF!)</f>
        <v>#REF!</v>
      </c>
      <c r="G9" s="937" t="e">
        <f>SUM(D9+E9-F9)</f>
        <v>#REF!</v>
      </c>
      <c r="H9" s="410">
        <f>SUM('[4]Район (пог+выд)'!G24+'[4]Район (пог+выд)'!G34)</f>
        <v>175789.50126669</v>
      </c>
    </row>
    <row r="10" spans="2:8" ht="31.5" customHeight="1">
      <c r="B10" s="411">
        <v>3</v>
      </c>
      <c r="C10" s="847" t="s">
        <v>72</v>
      </c>
      <c r="D10" s="936" t="e">
        <f>SUM(#REF!)</f>
        <v>#REF!</v>
      </c>
      <c r="E10" s="936" t="e">
        <f>SUM(#REF!)</f>
        <v>#REF!</v>
      </c>
      <c r="F10" s="936" t="e">
        <f>SUM(#REF!)</f>
        <v>#REF!</v>
      </c>
      <c r="G10" s="937" t="e">
        <f>SUM(D10+E10-F10)</f>
        <v>#REF!</v>
      </c>
      <c r="H10" s="10">
        <f>SUM('[4]Район (пог+выд)'!G61)</f>
        <v>1242924.8350998599</v>
      </c>
    </row>
    <row r="11" spans="2:8" ht="34.5" customHeight="1">
      <c r="B11" s="411">
        <v>4</v>
      </c>
      <c r="C11" s="847" t="s">
        <v>74</v>
      </c>
      <c r="D11" s="936" t="e">
        <f>SUM(#REF!)</f>
        <v>#REF!</v>
      </c>
      <c r="E11" s="936" t="e">
        <f>SUM(#REF!)</f>
        <v>#REF!</v>
      </c>
      <c r="F11" s="936" t="e">
        <f>SUM(#REF!)</f>
        <v>#REF!</v>
      </c>
      <c r="G11" s="937" t="e">
        <f>SUM(D11+E11-F11)</f>
        <v>#REF!</v>
      </c>
      <c r="H11" s="10">
        <f>SUM('[4]Район (пог+выд)'!G81)</f>
        <v>533461.76381615503</v>
      </c>
    </row>
    <row r="12" spans="2:8" ht="36" customHeight="1">
      <c r="B12" s="412">
        <v>5</v>
      </c>
      <c r="C12" s="848" t="s">
        <v>396</v>
      </c>
      <c r="D12" s="938" t="e">
        <f>SUM(#REF!)</f>
        <v>#REF!</v>
      </c>
      <c r="E12" s="938" t="e">
        <f>SUM(#REF!)</f>
        <v>#REF!</v>
      </c>
      <c r="F12" s="938" t="e">
        <f>SUM(#REF!)</f>
        <v>#REF!</v>
      </c>
      <c r="G12" s="939" t="e">
        <f>SUM(D12+E12-F12)</f>
        <v>#REF!</v>
      </c>
      <c r="H12" s="10">
        <f>SUM('[4]Район (пог+выд)'!G87)</f>
        <v>522401.50529170496</v>
      </c>
    </row>
    <row r="13" spans="2:8" ht="25.5" customHeight="1"/>
    <row r="14" spans="2:8" ht="24.75" customHeight="1">
      <c r="C14" s="849" t="s">
        <v>397</v>
      </c>
    </row>
  </sheetData>
  <mergeCells count="4">
    <mergeCell ref="B6:C6"/>
    <mergeCell ref="B2:G3"/>
    <mergeCell ref="F4:G4"/>
    <mergeCell ref="B7:G7"/>
  </mergeCells>
  <phoneticPr fontId="10" type="noConversion"/>
  <printOptions horizontalCentered="1"/>
  <pageMargins left="0.15748031496062992" right="0.15748031496062992" top="0.55118110236220474" bottom="0.78740157480314965" header="0.51181102362204722" footer="0.51181102362204722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9">
    <tabColor indexed="29"/>
  </sheetPr>
  <dimension ref="A1:L54"/>
  <sheetViews>
    <sheetView topLeftCell="B7" zoomScale="65" workbookViewId="0">
      <selection activeCell="C25" sqref="C25"/>
    </sheetView>
  </sheetViews>
  <sheetFormatPr defaultRowHeight="20.25"/>
  <cols>
    <col min="1" max="1" width="1.85546875" customWidth="1"/>
    <col min="2" max="2" width="6" style="959" customWidth="1"/>
    <col min="3" max="3" width="79.7109375" customWidth="1"/>
    <col min="4" max="4" width="24.85546875" style="123" customWidth="1"/>
    <col min="5" max="5" width="27" style="123" customWidth="1"/>
    <col min="6" max="6" width="28.5703125" style="123" customWidth="1"/>
    <col min="7" max="7" width="28.28515625" style="123" customWidth="1"/>
    <col min="8" max="8" width="23.140625" style="123" customWidth="1"/>
    <col min="9" max="9" width="21.42578125" style="947" customWidth="1"/>
    <col min="10" max="10" width="26.140625" customWidth="1"/>
    <col min="11" max="11" width="22.140625" customWidth="1"/>
    <col min="12" max="12" width="18.5703125" bestFit="1" customWidth="1"/>
  </cols>
  <sheetData>
    <row r="1" spans="1:12" ht="23.25" customHeight="1"/>
    <row r="2" spans="1:12" ht="10.5" customHeight="1">
      <c r="B2" s="1132" t="s">
        <v>467</v>
      </c>
      <c r="C2" s="1132"/>
      <c r="D2" s="1132"/>
      <c r="E2" s="1132"/>
      <c r="F2" s="1132"/>
      <c r="G2" s="1132"/>
    </row>
    <row r="3" spans="1:12" ht="43.5" customHeight="1">
      <c r="B3" s="1132"/>
      <c r="C3" s="1132"/>
      <c r="D3" s="1132"/>
      <c r="E3" s="1132"/>
      <c r="F3" s="1132"/>
      <c r="G3" s="1132"/>
    </row>
    <row r="4" spans="1:12" ht="19.5" customHeight="1">
      <c r="B4" s="368"/>
      <c r="C4" s="1133" t="e">
        <f>CLEAN(#REF!)</f>
        <v>#REF!</v>
      </c>
      <c r="D4" s="1133"/>
      <c r="E4" s="1133"/>
      <c r="F4" s="1133"/>
      <c r="J4" s="147" t="s">
        <v>160</v>
      </c>
    </row>
    <row r="5" spans="1:12" ht="54.75" customHeight="1">
      <c r="B5" s="369" t="s">
        <v>80</v>
      </c>
      <c r="C5" s="165" t="s">
        <v>151</v>
      </c>
      <c r="D5" s="948" t="e">
        <f>CLEAN(#REF!)</f>
        <v>#REF!</v>
      </c>
      <c r="E5" s="948" t="e">
        <f>CLEAN(#REF!)</f>
        <v>#REF!</v>
      </c>
      <c r="F5" s="948" t="e">
        <f>CLEAN(#REF!)</f>
        <v>#REF!</v>
      </c>
      <c r="G5" s="948" t="e">
        <f>CLEAN(#REF!)</f>
        <v>#REF!</v>
      </c>
      <c r="H5" s="950" t="s">
        <v>378</v>
      </c>
      <c r="I5" s="951" t="s">
        <v>422</v>
      </c>
      <c r="J5" s="949" t="e">
        <f>G5</f>
        <v>#REF!</v>
      </c>
    </row>
    <row r="6" spans="1:12" ht="22.5" customHeight="1">
      <c r="A6" s="15"/>
      <c r="B6" s="1134" t="s">
        <v>152</v>
      </c>
      <c r="C6" s="1134"/>
      <c r="D6" s="1134"/>
      <c r="E6" s="1134"/>
      <c r="F6" s="1134"/>
      <c r="G6" s="1134"/>
      <c r="H6" s="952"/>
      <c r="I6" s="953"/>
      <c r="J6" s="166"/>
    </row>
    <row r="7" spans="1:12" s="77" customFormat="1" ht="18.95" customHeight="1">
      <c r="A7" s="76"/>
      <c r="B7" s="877">
        <v>1</v>
      </c>
      <c r="C7" s="1010" t="s">
        <v>122</v>
      </c>
      <c r="D7" s="1006" t="e">
        <f>((((SUM(#REF!))/1000)/1000)*1000)*1000</f>
        <v>#REF!</v>
      </c>
      <c r="E7" s="1006" t="e">
        <f>(SUM(#REF!))</f>
        <v>#REF!</v>
      </c>
      <c r="F7" s="1006" t="e">
        <f>(SUM(#REF!))</f>
        <v>#REF!</v>
      </c>
      <c r="G7" s="1022" t="e">
        <f t="shared" ref="G7:G22" si="0">SUM(D7+E7-F7)</f>
        <v>#REF!</v>
      </c>
      <c r="H7" s="1023" t="e">
        <f>SUM(#REF!)</f>
        <v>#REF!</v>
      </c>
      <c r="I7" s="1024" t="e">
        <f>SUM(#REF!)</f>
        <v>#REF!</v>
      </c>
      <c r="J7" s="1025" t="e">
        <f t="shared" ref="J7:J19" si="1">SUM(G7+H7)</f>
        <v>#REF!</v>
      </c>
      <c r="K7" s="963"/>
      <c r="L7" s="85"/>
    </row>
    <row r="8" spans="1:12" s="77" customFormat="1" ht="18.95" customHeight="1">
      <c r="A8" s="76"/>
      <c r="B8" s="878">
        <v>2</v>
      </c>
      <c r="C8" s="962" t="s">
        <v>86</v>
      </c>
      <c r="D8" s="1005" t="e">
        <f>((((SUM(#REF!))/1000)/1000)*1000)*1000</f>
        <v>#REF!</v>
      </c>
      <c r="E8" s="1005" t="e">
        <f>(SUM(#REF!))</f>
        <v>#REF!</v>
      </c>
      <c r="F8" s="1005" t="e">
        <f>(SUM(#REF!))</f>
        <v>#REF!</v>
      </c>
      <c r="G8" s="1026" t="e">
        <f t="shared" si="0"/>
        <v>#REF!</v>
      </c>
      <c r="H8" s="1027" t="e">
        <f>SUM(#REF!)</f>
        <v>#REF!</v>
      </c>
      <c r="I8" s="1028" t="e">
        <f>SUM(#REF!)</f>
        <v>#REF!</v>
      </c>
      <c r="J8" s="1029" t="e">
        <f t="shared" si="1"/>
        <v>#REF!</v>
      </c>
      <c r="K8" s="963"/>
      <c r="L8" s="85"/>
    </row>
    <row r="9" spans="1:12" s="77" customFormat="1" ht="18.95" customHeight="1">
      <c r="A9" s="76"/>
      <c r="B9" s="878">
        <v>3</v>
      </c>
      <c r="C9" s="962" t="s">
        <v>84</v>
      </c>
      <c r="D9" s="1005" t="e">
        <f>((((SUM(#REF!))/1000)/1000)*1000)*1000</f>
        <v>#REF!</v>
      </c>
      <c r="E9" s="1005" t="e">
        <f>(SUM(#REF!))</f>
        <v>#REF!</v>
      </c>
      <c r="F9" s="1005" t="e">
        <f>(SUM(#REF!))</f>
        <v>#REF!</v>
      </c>
      <c r="G9" s="1026" t="e">
        <f t="shared" si="0"/>
        <v>#REF!</v>
      </c>
      <c r="H9" s="1027" t="e">
        <f>SUM(#REF!)</f>
        <v>#REF!</v>
      </c>
      <c r="I9" s="1028" t="e">
        <f>SUM(#REF!)</f>
        <v>#REF!</v>
      </c>
      <c r="J9" s="1029" t="e">
        <f t="shared" si="1"/>
        <v>#REF!</v>
      </c>
      <c r="K9" s="963"/>
      <c r="L9" s="85"/>
    </row>
    <row r="10" spans="1:12" s="77" customFormat="1" ht="18.95" customHeight="1">
      <c r="A10" s="76"/>
      <c r="B10" s="878">
        <v>4</v>
      </c>
      <c r="C10" s="1011" t="s">
        <v>123</v>
      </c>
      <c r="D10" s="1005" t="e">
        <f>((((SUM(#REF!))/1000)/1000)*1000)*1000</f>
        <v>#REF!</v>
      </c>
      <c r="E10" s="1005" t="e">
        <f>(SUM(#REF!))</f>
        <v>#REF!</v>
      </c>
      <c r="F10" s="1005" t="e">
        <f>(SUM(#REF!))</f>
        <v>#REF!</v>
      </c>
      <c r="G10" s="1026" t="e">
        <f t="shared" si="0"/>
        <v>#REF!</v>
      </c>
      <c r="H10" s="1027" t="e">
        <f>SUM(#REF!)</f>
        <v>#REF!</v>
      </c>
      <c r="I10" s="1028" t="e">
        <f>SUM(#REF!)</f>
        <v>#REF!</v>
      </c>
      <c r="J10" s="1029" t="e">
        <f t="shared" si="1"/>
        <v>#REF!</v>
      </c>
      <c r="K10" s="963"/>
      <c r="L10" s="85"/>
    </row>
    <row r="11" spans="1:12" s="77" customFormat="1" ht="18.95" customHeight="1">
      <c r="A11" s="76"/>
      <c r="B11" s="878">
        <v>5</v>
      </c>
      <c r="C11" s="962" t="s">
        <v>121</v>
      </c>
      <c r="D11" s="1005" t="e">
        <f>((((SUM(#REF!))/1000)/1000)*1000)*1000</f>
        <v>#REF!</v>
      </c>
      <c r="E11" s="1005" t="e">
        <f>(SUM(#REF!))</f>
        <v>#REF!</v>
      </c>
      <c r="F11" s="1005" t="e">
        <f>(SUM(#REF!))</f>
        <v>#REF!</v>
      </c>
      <c r="G11" s="1026" t="e">
        <f t="shared" si="0"/>
        <v>#REF!</v>
      </c>
      <c r="H11" s="1027" t="e">
        <f>SUM(#REF!)</f>
        <v>#REF!</v>
      </c>
      <c r="I11" s="1028" t="e">
        <f>SUM(#REF!)</f>
        <v>#REF!</v>
      </c>
      <c r="J11" s="1029" t="e">
        <f t="shared" si="1"/>
        <v>#REF!</v>
      </c>
      <c r="K11" s="963"/>
      <c r="L11" s="85"/>
    </row>
    <row r="12" spans="1:12" s="77" customFormat="1" ht="18.95" customHeight="1">
      <c r="A12" s="76"/>
      <c r="B12" s="878">
        <v>6</v>
      </c>
      <c r="C12" s="962" t="s">
        <v>124</v>
      </c>
      <c r="D12" s="1005" t="e">
        <f>((((SUM(#REF!))/1000)/1000)*1000)*1000</f>
        <v>#REF!</v>
      </c>
      <c r="E12" s="1005" t="e">
        <f>(SUM(#REF!))</f>
        <v>#REF!</v>
      </c>
      <c r="F12" s="1005" t="e">
        <f>(SUM(#REF!))</f>
        <v>#REF!</v>
      </c>
      <c r="G12" s="1026" t="e">
        <f t="shared" si="0"/>
        <v>#REF!</v>
      </c>
      <c r="H12" s="1027" t="e">
        <f>SUM(#REF!)</f>
        <v>#REF!</v>
      </c>
      <c r="I12" s="1028" t="e">
        <f>SUM(#REF!)</f>
        <v>#REF!</v>
      </c>
      <c r="J12" s="1029" t="e">
        <f t="shared" si="1"/>
        <v>#REF!</v>
      </c>
      <c r="K12" s="963"/>
      <c r="L12" s="85"/>
    </row>
    <row r="13" spans="1:12" s="77" customFormat="1" ht="18.75" customHeight="1">
      <c r="A13" s="76"/>
      <c r="B13" s="878">
        <v>7</v>
      </c>
      <c r="C13" s="1011" t="s">
        <v>153</v>
      </c>
      <c r="D13" s="1005" t="e">
        <f>((((SUM(#REF!))/1000)/1000)*1000)*1000</f>
        <v>#REF!</v>
      </c>
      <c r="E13" s="1005" t="e">
        <f>(SUM(#REF!))</f>
        <v>#REF!</v>
      </c>
      <c r="F13" s="1005" t="e">
        <f>(SUM(#REF!))</f>
        <v>#REF!</v>
      </c>
      <c r="G13" s="1026" t="e">
        <f t="shared" si="0"/>
        <v>#REF!</v>
      </c>
      <c r="H13" s="1027" t="e">
        <f>SUM(#REF!)</f>
        <v>#REF!</v>
      </c>
      <c r="I13" s="1028" t="e">
        <f>SUM(#REF!)</f>
        <v>#REF!</v>
      </c>
      <c r="J13" s="1029" t="e">
        <f t="shared" si="1"/>
        <v>#REF!</v>
      </c>
      <c r="K13" s="963"/>
      <c r="L13" s="85"/>
    </row>
    <row r="14" spans="1:12" s="77" customFormat="1" ht="18.95" customHeight="1">
      <c r="A14" s="76"/>
      <c r="B14" s="878">
        <v>8</v>
      </c>
      <c r="C14" s="962" t="s">
        <v>125</v>
      </c>
      <c r="D14" s="1005" t="e">
        <f>((((SUM(#REF!))/1000)/1000)*1000)*1000</f>
        <v>#REF!</v>
      </c>
      <c r="E14" s="1005" t="e">
        <f>(SUM(#REF!))</f>
        <v>#REF!</v>
      </c>
      <c r="F14" s="1005" t="e">
        <f>(SUM(#REF!))</f>
        <v>#REF!</v>
      </c>
      <c r="G14" s="1026" t="e">
        <f t="shared" si="0"/>
        <v>#REF!</v>
      </c>
      <c r="H14" s="1027" t="e">
        <f>SUM(#REF!)</f>
        <v>#REF!</v>
      </c>
      <c r="I14" s="1028" t="e">
        <f>SUM(#REF!)</f>
        <v>#REF!</v>
      </c>
      <c r="J14" s="1029" t="e">
        <f t="shared" si="1"/>
        <v>#REF!</v>
      </c>
      <c r="K14" s="963"/>
      <c r="L14" s="85"/>
    </row>
    <row r="15" spans="1:12" s="77" customFormat="1" ht="18.95" customHeight="1">
      <c r="A15" s="76"/>
      <c r="B15" s="878">
        <v>9</v>
      </c>
      <c r="C15" s="962" t="s">
        <v>101</v>
      </c>
      <c r="D15" s="1005" t="e">
        <f>((((SUM(#REF!))/1000)/1000)*1000)*1000</f>
        <v>#REF!</v>
      </c>
      <c r="E15" s="1005" t="e">
        <f>(SUM(#REF!))</f>
        <v>#REF!</v>
      </c>
      <c r="F15" s="1005" t="e">
        <f>(SUM(#REF!))</f>
        <v>#REF!</v>
      </c>
      <c r="G15" s="1026" t="e">
        <f t="shared" si="0"/>
        <v>#REF!</v>
      </c>
      <c r="H15" s="1027" t="e">
        <f>SUM(#REF!)</f>
        <v>#REF!</v>
      </c>
      <c r="I15" s="1028" t="e">
        <f>SUM(#REF!)</f>
        <v>#REF!</v>
      </c>
      <c r="J15" s="1029" t="e">
        <f t="shared" si="1"/>
        <v>#REF!</v>
      </c>
      <c r="K15" s="963"/>
      <c r="L15" s="85"/>
    </row>
    <row r="16" spans="1:12" s="77" customFormat="1" ht="18.95" customHeight="1">
      <c r="A16"/>
      <c r="B16" s="878">
        <v>10</v>
      </c>
      <c r="C16" s="962" t="s">
        <v>437</v>
      </c>
      <c r="D16" s="1005" t="e">
        <f>((((SUM(#REF!))/1000)/1000)*1000)*1000</f>
        <v>#REF!</v>
      </c>
      <c r="E16" s="1005" t="e">
        <f>(SUM(#REF!))</f>
        <v>#REF!</v>
      </c>
      <c r="F16" s="1005" t="e">
        <f>(SUM(#REF!))</f>
        <v>#REF!</v>
      </c>
      <c r="G16" s="1026" t="e">
        <f t="shared" ref="G16:G21" si="2">SUM(D16+E16-F16)</f>
        <v>#REF!</v>
      </c>
      <c r="H16" s="1027" t="e">
        <f>SUM(#REF!)</f>
        <v>#REF!</v>
      </c>
      <c r="I16" s="1028" t="e">
        <f>SUM(#REF!)</f>
        <v>#REF!</v>
      </c>
      <c r="J16" s="1029" t="e">
        <f t="shared" si="1"/>
        <v>#REF!</v>
      </c>
      <c r="K16" s="963"/>
      <c r="L16" s="85"/>
    </row>
    <row r="17" spans="1:12" s="77" customFormat="1" ht="18.95" customHeight="1">
      <c r="A17"/>
      <c r="B17" s="878">
        <v>11</v>
      </c>
      <c r="C17" s="962" t="s">
        <v>453</v>
      </c>
      <c r="D17" s="1005" t="e">
        <f>((((SUM(#REF!))/1000)/1000)*1000)*1000</f>
        <v>#REF!</v>
      </c>
      <c r="E17" s="1005" t="e">
        <f>(SUM(#REF!))</f>
        <v>#REF!</v>
      </c>
      <c r="F17" s="1005" t="e">
        <f>(SUM(#REF!))</f>
        <v>#REF!</v>
      </c>
      <c r="G17" s="1026" t="e">
        <f t="shared" si="2"/>
        <v>#REF!</v>
      </c>
      <c r="H17" s="1027" t="e">
        <f>SUM(#REF!)</f>
        <v>#REF!</v>
      </c>
      <c r="I17" s="1028" t="e">
        <f>SUM(#REF!)</f>
        <v>#REF!</v>
      </c>
      <c r="J17" s="1029" t="e">
        <f t="shared" si="1"/>
        <v>#REF!</v>
      </c>
      <c r="K17" s="963"/>
      <c r="L17" s="85"/>
    </row>
    <row r="18" spans="1:12" s="77" customFormat="1" ht="18.95" customHeight="1">
      <c r="A18"/>
      <c r="B18" s="878">
        <v>12</v>
      </c>
      <c r="C18" s="1011" t="s">
        <v>475</v>
      </c>
      <c r="D18" s="1005" t="e">
        <f>((((SUM(#REF!))/1000)/1000)*1000)*1000</f>
        <v>#REF!</v>
      </c>
      <c r="E18" s="1005" t="e">
        <f>(SUM(#REF!))</f>
        <v>#REF!</v>
      </c>
      <c r="F18" s="1005" t="e">
        <f>(SUM(#REF!))</f>
        <v>#REF!</v>
      </c>
      <c r="G18" s="1026" t="e">
        <f t="shared" si="2"/>
        <v>#REF!</v>
      </c>
      <c r="H18" s="1027" t="e">
        <f>SUM(#REF!)</f>
        <v>#REF!</v>
      </c>
      <c r="I18" s="1028" t="e">
        <f>SUM(#REF!)</f>
        <v>#REF!</v>
      </c>
      <c r="J18" s="1029" t="e">
        <f t="shared" si="1"/>
        <v>#REF!</v>
      </c>
      <c r="K18" s="963"/>
      <c r="L18" s="85"/>
    </row>
    <row r="19" spans="1:12" s="77" customFormat="1" ht="18.95" customHeight="1">
      <c r="A19"/>
      <c r="B19" s="878">
        <v>13</v>
      </c>
      <c r="C19" s="1012" t="s">
        <v>476</v>
      </c>
      <c r="D19" s="1005" t="e">
        <f>((((SUM(#REF!))/1000)/1000)*1000)*1000</f>
        <v>#REF!</v>
      </c>
      <c r="E19" s="1005" t="e">
        <f>(SUM(#REF!))</f>
        <v>#REF!</v>
      </c>
      <c r="F19" s="1005" t="e">
        <f>(SUM(#REF!))</f>
        <v>#REF!</v>
      </c>
      <c r="G19" s="1026" t="e">
        <f t="shared" si="2"/>
        <v>#REF!</v>
      </c>
      <c r="H19" s="1027" t="e">
        <f>SUM(#REF!)</f>
        <v>#REF!</v>
      </c>
      <c r="I19" s="1028" t="e">
        <f>SUM(#REF!)</f>
        <v>#REF!</v>
      </c>
      <c r="J19" s="1029" t="e">
        <f t="shared" si="1"/>
        <v>#REF!</v>
      </c>
      <c r="K19" s="963"/>
      <c r="L19" s="85"/>
    </row>
    <row r="20" spans="1:12" s="957" customFormat="1" ht="18.95" customHeight="1">
      <c r="A20" s="356"/>
      <c r="B20" s="878">
        <v>14</v>
      </c>
      <c r="C20" s="1012" t="s">
        <v>466</v>
      </c>
      <c r="D20" s="1005" t="e">
        <f>((((SUM(#REF!))/1000)/1000)*1000)*1000</f>
        <v>#REF!</v>
      </c>
      <c r="E20" s="1005" t="e">
        <f>(SUM(#REF!))</f>
        <v>#REF!</v>
      </c>
      <c r="F20" s="1005" t="e">
        <f>(SUM(#REF!))</f>
        <v>#REF!</v>
      </c>
      <c r="G20" s="1026" t="e">
        <f t="shared" si="2"/>
        <v>#REF!</v>
      </c>
      <c r="H20" s="1027" t="e">
        <f>SUM(#REF!)</f>
        <v>#REF!</v>
      </c>
      <c r="I20" s="1028" t="e">
        <f>SUM(#REF!)</f>
        <v>#REF!</v>
      </c>
      <c r="J20" s="1029" t="e">
        <f t="shared" ref="J20:J25" si="3">SUM(G20+H20)</f>
        <v>#REF!</v>
      </c>
      <c r="K20" s="963"/>
      <c r="L20" s="85"/>
    </row>
    <row r="21" spans="1:12" s="957" customFormat="1" ht="18.95" customHeight="1">
      <c r="A21" s="356"/>
      <c r="B21" s="878">
        <v>15</v>
      </c>
      <c r="C21" s="1012" t="s">
        <v>473</v>
      </c>
      <c r="D21" s="1005" t="e">
        <f>((((SUM(#REF!))/1000)/1000)*1000)*1000</f>
        <v>#REF!</v>
      </c>
      <c r="E21" s="1005" t="e">
        <f>(SUM(#REF!))</f>
        <v>#REF!</v>
      </c>
      <c r="F21" s="1005" t="e">
        <f>(SUM(#REF!))</f>
        <v>#REF!</v>
      </c>
      <c r="G21" s="1026" t="e">
        <f t="shared" si="2"/>
        <v>#REF!</v>
      </c>
      <c r="H21" s="1027" t="e">
        <f>SUM(#REF!)</f>
        <v>#REF!</v>
      </c>
      <c r="I21" s="1028" t="e">
        <f>SUM(#REF!)</f>
        <v>#REF!</v>
      </c>
      <c r="J21" s="1029" t="e">
        <f t="shared" si="3"/>
        <v>#REF!</v>
      </c>
      <c r="K21" s="963"/>
      <c r="L21" s="85"/>
    </row>
    <row r="22" spans="1:12" s="77" customFormat="1" ht="18.95" customHeight="1">
      <c r="A22" s="76"/>
      <c r="B22" s="878">
        <v>16</v>
      </c>
      <c r="C22" s="962" t="s">
        <v>465</v>
      </c>
      <c r="D22" s="1005" t="e">
        <f>((((SUM(#REF!))/1000)/1000)*1000)*1000</f>
        <v>#REF!</v>
      </c>
      <c r="E22" s="1005" t="e">
        <f>(SUM(#REF!))</f>
        <v>#REF!</v>
      </c>
      <c r="F22" s="1005" t="e">
        <f>(SUM(#REF!))</f>
        <v>#REF!</v>
      </c>
      <c r="G22" s="1026" t="e">
        <f t="shared" si="0"/>
        <v>#REF!</v>
      </c>
      <c r="H22" s="1027" t="e">
        <f>SUM(#REF!)</f>
        <v>#REF!</v>
      </c>
      <c r="I22" s="1028" t="e">
        <f>SUM(#REF!)</f>
        <v>#REF!</v>
      </c>
      <c r="J22" s="1029" t="e">
        <f t="shared" si="3"/>
        <v>#REF!</v>
      </c>
      <c r="K22" s="963"/>
      <c r="L22" s="85"/>
    </row>
    <row r="23" spans="1:12" s="77" customFormat="1" ht="18.95" customHeight="1">
      <c r="A23"/>
      <c r="B23" s="1021">
        <v>17</v>
      </c>
      <c r="C23" s="962" t="s">
        <v>477</v>
      </c>
      <c r="D23" s="1005" t="e">
        <f>((((SUM(#REF!))/1000)/1000)*1000)*1000</f>
        <v>#REF!</v>
      </c>
      <c r="E23" s="1005" t="e">
        <f>SUM(#REF!)</f>
        <v>#REF!</v>
      </c>
      <c r="F23" s="1005" t="e">
        <f>SUM(#REF!)</f>
        <v>#REF!</v>
      </c>
      <c r="G23" s="1026" t="e">
        <f>SUM(D23+E23-F23)</f>
        <v>#REF!</v>
      </c>
      <c r="H23" s="1030" t="e">
        <f>SUM(#REF!)</f>
        <v>#REF!</v>
      </c>
      <c r="I23" s="1031" t="e">
        <f>SUM(#REF!)</f>
        <v>#REF!</v>
      </c>
      <c r="J23" s="1032" t="e">
        <f t="shared" si="3"/>
        <v>#REF!</v>
      </c>
      <c r="K23" s="963"/>
      <c r="L23" s="85"/>
    </row>
    <row r="24" spans="1:12" s="77" customFormat="1" ht="18.95" customHeight="1">
      <c r="A24"/>
      <c r="B24" s="1021">
        <v>18</v>
      </c>
      <c r="C24" s="1003" t="s">
        <v>478</v>
      </c>
      <c r="D24" s="1005" t="e">
        <f>((((SUM(#REF!))/1000)/1000)*1000)*1000</f>
        <v>#REF!</v>
      </c>
      <c r="E24" s="1005" t="e">
        <f>SUM(#REF!)</f>
        <v>#REF!</v>
      </c>
      <c r="F24" s="1005" t="e">
        <f>SUM(#REF!)</f>
        <v>#REF!</v>
      </c>
      <c r="G24" s="1026" t="e">
        <f>SUM(D24+E24-F24)</f>
        <v>#REF!</v>
      </c>
      <c r="H24" s="1030" t="e">
        <f>SUM(#REF!)</f>
        <v>#REF!</v>
      </c>
      <c r="I24" s="1031" t="e">
        <f>SUM(#REF!)</f>
        <v>#REF!</v>
      </c>
      <c r="J24" s="1032" t="e">
        <f t="shared" si="3"/>
        <v>#REF!</v>
      </c>
      <c r="K24" s="963"/>
      <c r="L24" s="85"/>
    </row>
    <row r="25" spans="1:12" s="77" customFormat="1" ht="18.95" customHeight="1">
      <c r="A25"/>
      <c r="B25" s="1021">
        <v>19</v>
      </c>
      <c r="C25" s="1002" t="s">
        <v>237</v>
      </c>
      <c r="D25" s="1005" t="e">
        <f>((((SUM(#REF!))/1000)/1000)*1000)*1000</f>
        <v>#REF!</v>
      </c>
      <c r="E25" s="1005" t="e">
        <f>SUM(#REF!)</f>
        <v>#REF!</v>
      </c>
      <c r="F25" s="1005" t="e">
        <f>SUM(#REF!)</f>
        <v>#REF!</v>
      </c>
      <c r="G25" s="1026" t="e">
        <f>SUM(D25+E25-F25)</f>
        <v>#REF!</v>
      </c>
      <c r="H25" s="1030" t="e">
        <f>SUM(#REF!)</f>
        <v>#REF!</v>
      </c>
      <c r="I25" s="1031" t="e">
        <f>SUM(#REF!)</f>
        <v>#REF!</v>
      </c>
      <c r="J25" s="1032" t="e">
        <f t="shared" si="3"/>
        <v>#REF!</v>
      </c>
      <c r="K25" s="963"/>
      <c r="L25" s="85"/>
    </row>
    <row r="26" spans="1:12" s="372" customFormat="1" ht="25.5" customHeight="1">
      <c r="A26" s="373"/>
      <c r="B26" s="1135" t="s">
        <v>472</v>
      </c>
      <c r="C26" s="1136"/>
      <c r="D26" s="1033" t="e">
        <f t="shared" ref="D26:I26" si="4">SUM(D6:D25)</f>
        <v>#REF!</v>
      </c>
      <c r="E26" s="1033" t="e">
        <f t="shared" si="4"/>
        <v>#REF!</v>
      </c>
      <c r="F26" s="1033" t="e">
        <f t="shared" si="4"/>
        <v>#REF!</v>
      </c>
      <c r="G26" s="1034" t="e">
        <f t="shared" si="4"/>
        <v>#REF!</v>
      </c>
      <c r="H26" s="1035" t="e">
        <f t="shared" si="4"/>
        <v>#REF!</v>
      </c>
      <c r="I26" s="1036" t="e">
        <f t="shared" si="4"/>
        <v>#REF!</v>
      </c>
      <c r="J26" s="1037" t="e">
        <f>SUM(H26+G26)</f>
        <v>#REF!</v>
      </c>
    </row>
    <row r="27" spans="1:12" s="77" customFormat="1" ht="27" customHeight="1">
      <c r="A27" s="15"/>
      <c r="B27" s="1127" t="s">
        <v>470</v>
      </c>
      <c r="C27" s="1127"/>
      <c r="D27" s="1127"/>
      <c r="E27" s="1127"/>
      <c r="F27" s="1127"/>
      <c r="G27" s="1127"/>
      <c r="H27" s="1013"/>
      <c r="I27" s="1004"/>
      <c r="J27" s="1014"/>
    </row>
    <row r="28" spans="1:12" s="77" customFormat="1" ht="18.95" customHeight="1">
      <c r="A28"/>
      <c r="B28" s="878">
        <v>20</v>
      </c>
      <c r="C28" s="1015" t="s">
        <v>156</v>
      </c>
      <c r="D28" s="1005" t="e">
        <f>((SUM(#REF!))/1000)*1000</f>
        <v>#REF!</v>
      </c>
      <c r="E28" s="1005" t="e">
        <f>(SUM(#REF!))</f>
        <v>#REF!</v>
      </c>
      <c r="F28" s="1005" t="e">
        <f>(SUM(#REF!))</f>
        <v>#REF!</v>
      </c>
      <c r="G28" s="1026" t="e">
        <f>SUM(D28+E28-F28)</f>
        <v>#REF!</v>
      </c>
      <c r="H28" s="1038" t="e">
        <f>SUM(#REF!)</f>
        <v>#REF!</v>
      </c>
      <c r="I28" s="1039" t="e">
        <f>SUM(#REF!)</f>
        <v>#REF!</v>
      </c>
      <c r="J28" s="1040" t="e">
        <f>SUM(G28+H28)</f>
        <v>#REF!</v>
      </c>
    </row>
    <row r="29" spans="1:12" s="77" customFormat="1" ht="18.95" customHeight="1">
      <c r="A29"/>
      <c r="B29" s="878">
        <v>21</v>
      </c>
      <c r="C29" s="1016" t="s">
        <v>157</v>
      </c>
      <c r="D29" s="1005" t="e">
        <f>((SUM(#REF!))/1000)*1000</f>
        <v>#REF!</v>
      </c>
      <c r="E29" s="1005" t="e">
        <f>(SUM(#REF!))</f>
        <v>#REF!</v>
      </c>
      <c r="F29" s="1005" t="e">
        <f>(SUM(#REF!))</f>
        <v>#REF!</v>
      </c>
      <c r="G29" s="1026" t="e">
        <f>SUM(D29+E29-F29)</f>
        <v>#REF!</v>
      </c>
      <c r="H29" s="1041" t="e">
        <f>SUM(#REF!)</f>
        <v>#REF!</v>
      </c>
      <c r="I29" s="1042" t="e">
        <f>SUM(#REF!)</f>
        <v>#REF!</v>
      </c>
      <c r="J29" s="1043" t="e">
        <f>SUM(G29+H29)</f>
        <v>#REF!</v>
      </c>
    </row>
    <row r="30" spans="1:12" s="372" customFormat="1" ht="21" customHeight="1">
      <c r="A30" s="371"/>
      <c r="B30" s="1128" t="s">
        <v>469</v>
      </c>
      <c r="C30" s="1129"/>
      <c r="D30" s="1033" t="e">
        <f t="shared" ref="D30:I30" si="5">SUM(D28:D29)</f>
        <v>#REF!</v>
      </c>
      <c r="E30" s="1033" t="e">
        <f t="shared" si="5"/>
        <v>#REF!</v>
      </c>
      <c r="F30" s="1033" t="e">
        <f t="shared" si="5"/>
        <v>#REF!</v>
      </c>
      <c r="G30" s="1034" t="e">
        <f t="shared" si="5"/>
        <v>#REF!</v>
      </c>
      <c r="H30" s="1035" t="e">
        <f t="shared" si="5"/>
        <v>#REF!</v>
      </c>
      <c r="I30" s="1036" t="e">
        <f t="shared" si="5"/>
        <v>#REF!</v>
      </c>
      <c r="J30" s="1044" t="e">
        <f>SUM(G30+H30)</f>
        <v>#REF!</v>
      </c>
    </row>
    <row r="31" spans="1:12" s="77" customFormat="1" ht="21.75" customHeight="1">
      <c r="A31" s="346"/>
      <c r="B31" s="1130" t="s">
        <v>468</v>
      </c>
      <c r="C31" s="1130"/>
      <c r="D31" s="1130"/>
      <c r="E31" s="1130"/>
      <c r="F31" s="1130"/>
      <c r="G31" s="1130"/>
      <c r="H31" s="1017"/>
      <c r="I31" s="1018"/>
      <c r="J31" s="1019"/>
    </row>
    <row r="32" spans="1:12" s="372" customFormat="1" ht="46.5" customHeight="1">
      <c r="A32" s="371"/>
      <c r="B32" s="1020">
        <v>22</v>
      </c>
      <c r="C32" s="1020" t="s">
        <v>471</v>
      </c>
      <c r="D32" s="1045" t="e">
        <f>((SUM(#REF!)))</f>
        <v>#REF!</v>
      </c>
      <c r="E32" s="1045" t="e">
        <f>(SUM(#REF!))</f>
        <v>#REF!</v>
      </c>
      <c r="F32" s="1045" t="e">
        <f>(SUM(#REF!))</f>
        <v>#REF!</v>
      </c>
      <c r="G32" s="1046" t="e">
        <f>SUM(D32+E32-F32)</f>
        <v>#REF!</v>
      </c>
      <c r="H32" s="1047" t="e">
        <f>#REF!</f>
        <v>#REF!</v>
      </c>
      <c r="I32" s="1047"/>
      <c r="J32" s="1048"/>
    </row>
    <row r="33" spans="1:10" s="77" customFormat="1" ht="18.95" customHeight="1">
      <c r="A33" s="15"/>
      <c r="B33" s="1131"/>
      <c r="C33" s="1131"/>
      <c r="D33" s="1007"/>
      <c r="E33" s="1007"/>
      <c r="F33" s="1007"/>
      <c r="G33" s="1007"/>
      <c r="H33" s="1049"/>
      <c r="I33" s="1008"/>
      <c r="J33" s="1040"/>
    </row>
    <row r="34" spans="1:10" s="98" customFormat="1" ht="24.75" customHeight="1">
      <c r="B34" s="1137" t="s">
        <v>450</v>
      </c>
      <c r="C34" s="1138"/>
      <c r="D34" s="1009" t="e">
        <f t="shared" ref="D34:J34" si="6">D32+D30+D26</f>
        <v>#REF!</v>
      </c>
      <c r="E34" s="1009" t="e">
        <f t="shared" si="6"/>
        <v>#REF!</v>
      </c>
      <c r="F34" s="1009" t="e">
        <f t="shared" si="6"/>
        <v>#REF!</v>
      </c>
      <c r="G34" s="1009" t="e">
        <f t="shared" si="6"/>
        <v>#REF!</v>
      </c>
      <c r="H34" s="1009" t="e">
        <f t="shared" si="6"/>
        <v>#REF!</v>
      </c>
      <c r="I34" s="1009" t="e">
        <f t="shared" si="6"/>
        <v>#REF!</v>
      </c>
      <c r="J34" s="1009" t="e">
        <f t="shared" si="6"/>
        <v>#REF!</v>
      </c>
    </row>
    <row r="35" spans="1:10">
      <c r="J35" s="167"/>
    </row>
    <row r="36" spans="1:10" ht="24.75" customHeight="1">
      <c r="B36" s="1125" t="s">
        <v>421</v>
      </c>
      <c r="C36" s="1126"/>
      <c r="D36" s="954"/>
      <c r="E36" s="954"/>
      <c r="G36" s="955" t="e">
        <f>SUM(G34+H34-I34)</f>
        <v>#REF!</v>
      </c>
      <c r="J36" s="48"/>
    </row>
    <row r="37" spans="1:10" ht="21.75">
      <c r="C37" s="1124"/>
      <c r="D37" s="1124"/>
      <c r="E37" s="1124"/>
      <c r="J37" s="27"/>
    </row>
    <row r="38" spans="1:10">
      <c r="J38" s="27"/>
    </row>
    <row r="39" spans="1:10">
      <c r="C39" t="s">
        <v>372</v>
      </c>
      <c r="D39" s="123" t="e">
        <f>SUM(D34-'Общ свод район (пог+выд)сомони'!C92)</f>
        <v>#REF!</v>
      </c>
      <c r="E39" s="123" t="e">
        <f>SUM(E34-'общ.сводрайон без курсовой '!D93)</f>
        <v>#REF!</v>
      </c>
      <c r="F39" s="123" t="e">
        <f>SUM(F34-'общ.сводрайон без курсовой '!E93)</f>
        <v>#REF!</v>
      </c>
      <c r="G39" s="123" t="e">
        <f>SUM(G34-'общ.сводрайон без курсовой '!I93)</f>
        <v>#REF!</v>
      </c>
      <c r="H39" s="123" t="e">
        <f>SUM(H34-'общ.сводрайон без курсовой '!G93)</f>
        <v>#REF!</v>
      </c>
      <c r="I39" s="947" t="e">
        <f>SUM(#REF!)</f>
        <v>#REF!</v>
      </c>
      <c r="J39" s="27"/>
    </row>
    <row r="40" spans="1:10">
      <c r="C40" t="s">
        <v>381</v>
      </c>
      <c r="D40" s="123" t="e">
        <f>SUM(D34-'Общ свод район (пог+выд)сомони'!C92)</f>
        <v>#REF!</v>
      </c>
      <c r="E40" s="123" t="e">
        <f>SUM(E34-'Общ свод район (пог+выд)сомони'!D92)</f>
        <v>#REF!</v>
      </c>
      <c r="F40" s="123" t="e">
        <f>SUM(F34-'Общ свод район (пог+выд)сомони'!E92)</f>
        <v>#REF!</v>
      </c>
      <c r="G40" s="123" t="e">
        <f>SUM(G34-'Общ свод район (пог+выд)сомони'!F92)</f>
        <v>#REF!</v>
      </c>
      <c r="H40" s="123" t="e">
        <f>SUM(H34-'Общ свод район (пог+выд)сомони'!G92)</f>
        <v>#REF!</v>
      </c>
      <c r="I40" s="123" t="e">
        <f>SUM(I34-'Общ свод район (пог+выд)сомони'!H92)</f>
        <v>#REF!</v>
      </c>
      <c r="J40" s="27"/>
    </row>
    <row r="41" spans="1:10">
      <c r="J41" s="27"/>
    </row>
    <row r="42" spans="1:10">
      <c r="J42" s="27"/>
    </row>
    <row r="43" spans="1:10">
      <c r="E43" s="123" t="e">
        <f>SUM(E40+H34)</f>
        <v>#REF!</v>
      </c>
      <c r="F43" s="123" t="e">
        <f>SUM(F40+I34)</f>
        <v>#REF!</v>
      </c>
      <c r="J43" s="27"/>
    </row>
    <row r="44" spans="1:10">
      <c r="J44" s="27"/>
    </row>
    <row r="45" spans="1:10">
      <c r="J45" s="27"/>
    </row>
    <row r="46" spans="1:10">
      <c r="J46" s="27"/>
    </row>
    <row r="47" spans="1:10">
      <c r="J47" s="27"/>
    </row>
    <row r="48" spans="1:10">
      <c r="J48" s="27"/>
    </row>
    <row r="49" spans="10:10">
      <c r="J49" s="27"/>
    </row>
    <row r="50" spans="10:10">
      <c r="J50" s="27"/>
    </row>
    <row r="51" spans="10:10">
      <c r="J51" s="27"/>
    </row>
    <row r="52" spans="10:10">
      <c r="J52" s="27"/>
    </row>
    <row r="53" spans="10:10">
      <c r="J53" s="27"/>
    </row>
    <row r="54" spans="10:10">
      <c r="J54" s="27"/>
    </row>
  </sheetData>
  <mergeCells count="11">
    <mergeCell ref="B2:G3"/>
    <mergeCell ref="C4:F4"/>
    <mergeCell ref="B6:G6"/>
    <mergeCell ref="B26:C26"/>
    <mergeCell ref="B34:C34"/>
    <mergeCell ref="C37:E37"/>
    <mergeCell ref="B36:C36"/>
    <mergeCell ref="B27:G27"/>
    <mergeCell ref="B30:C30"/>
    <mergeCell ref="B31:G31"/>
    <mergeCell ref="B33:C33"/>
  </mergeCells>
  <phoneticPr fontId="10" type="noConversion"/>
  <printOptions horizontalCentered="1"/>
  <pageMargins left="0.15748031496062992" right="0.19685039370078741" top="0.23622047244094491" bottom="0.19685039370078741" header="0.23622047244094491" footer="0.15748031496062992"/>
  <pageSetup paperSize="9" scale="6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Лист31">
    <tabColor indexed="34"/>
  </sheetPr>
  <dimension ref="A1:I48"/>
  <sheetViews>
    <sheetView workbookViewId="0">
      <selection activeCell="B1" sqref="B1:F1"/>
    </sheetView>
  </sheetViews>
  <sheetFormatPr defaultRowHeight="12.75"/>
  <cols>
    <col min="1" max="1" width="2.42578125" customWidth="1"/>
    <col min="2" max="2" width="7.7109375" customWidth="1"/>
    <col min="3" max="3" width="49.140625" style="797" customWidth="1"/>
    <col min="4" max="4" width="26.28515625" customWidth="1"/>
    <col min="5" max="5" width="25.140625" customWidth="1"/>
    <col min="6" max="6" width="19.85546875" customWidth="1"/>
    <col min="7" max="7" width="17" customWidth="1"/>
    <col min="9" max="9" width="18.7109375" customWidth="1"/>
  </cols>
  <sheetData>
    <row r="1" spans="1:9" ht="76.5" customHeight="1">
      <c r="B1" s="1413" t="e">
        <f>CLEAN(#REF!)</f>
        <v>#REF!</v>
      </c>
      <c r="C1" s="1413"/>
      <c r="D1" s="1413"/>
      <c r="E1" s="1413"/>
      <c r="F1" s="1413"/>
    </row>
    <row r="2" spans="1:9" ht="27.75" customHeight="1">
      <c r="B2" s="1339" t="s">
        <v>105</v>
      </c>
      <c r="C2" s="1414" t="s">
        <v>106</v>
      </c>
      <c r="D2" s="1416" t="s">
        <v>273</v>
      </c>
      <c r="E2" s="1418" t="s">
        <v>274</v>
      </c>
      <c r="F2" s="1420"/>
    </row>
    <row r="3" spans="1:9" ht="39.75" customHeight="1">
      <c r="B3" s="1340"/>
      <c r="C3" s="1415"/>
      <c r="D3" s="1417"/>
      <c r="E3" s="1419"/>
      <c r="F3" s="1421"/>
    </row>
    <row r="4" spans="1:9" ht="21.75" customHeight="1">
      <c r="A4" s="15"/>
      <c r="B4" s="1345" t="s">
        <v>107</v>
      </c>
      <c r="C4" s="1345"/>
      <c r="D4" s="1345"/>
      <c r="E4" s="1345"/>
      <c r="F4" s="1345"/>
      <c r="G4" s="15"/>
    </row>
    <row r="5" spans="1:9" ht="25.5">
      <c r="B5" s="130">
        <v>1</v>
      </c>
      <c r="C5" s="837" t="s">
        <v>70</v>
      </c>
      <c r="D5" s="68" t="e">
        <f>SUM('Кӯҳистон (Общий)'!E6)</f>
        <v>#REF!</v>
      </c>
      <c r="E5" s="68" t="e">
        <f>SUM(#REF!/1000+#REF!/1000)</f>
        <v>#REF!</v>
      </c>
      <c r="F5" s="69"/>
      <c r="G5" s="10" t="e">
        <f>SUM(D5-'Кӯҳистон (Общий)'!E6)</f>
        <v>#REF!</v>
      </c>
    </row>
    <row r="6" spans="1:9" ht="25.5">
      <c r="B6" s="131">
        <f>B5+1</f>
        <v>2</v>
      </c>
      <c r="C6" s="838" t="s">
        <v>200</v>
      </c>
      <c r="D6" s="70" t="e">
        <f>SUM('Кӯҳистон (Общий)'!E7)</f>
        <v>#REF!</v>
      </c>
      <c r="E6" s="70" t="e">
        <f>SUM(#REF!/1000+#REF!/1000)</f>
        <v>#REF!</v>
      </c>
      <c r="F6" s="71"/>
    </row>
    <row r="7" spans="1:9" ht="25.5">
      <c r="B7" s="131">
        <v>3</v>
      </c>
      <c r="C7" s="838" t="s">
        <v>201</v>
      </c>
      <c r="D7" s="70" t="e">
        <f>SUM('Кӯҳистон (Общий)'!E8)</f>
        <v>#REF!</v>
      </c>
      <c r="E7" s="70" t="e">
        <f>SUM(#REF!/1000+#REF!/1000)</f>
        <v>#REF!</v>
      </c>
      <c r="F7" s="71"/>
    </row>
    <row r="8" spans="1:9" ht="25.5">
      <c r="B8" s="131">
        <v>4</v>
      </c>
      <c r="C8" s="838" t="s">
        <v>202</v>
      </c>
      <c r="D8" s="70" t="e">
        <f>SUM('Кӯҳистон (Общий)'!E9)</f>
        <v>#REF!</v>
      </c>
      <c r="E8" s="70" t="e">
        <f>SUM(#REF!/1000+#REF!/1000)</f>
        <v>#REF!</v>
      </c>
      <c r="F8" s="71"/>
    </row>
    <row r="9" spans="1:9" ht="25.5">
      <c r="B9" s="131">
        <v>5</v>
      </c>
      <c r="C9" s="838" t="s">
        <v>203</v>
      </c>
      <c r="D9" s="70" t="e">
        <f>SUM('Кӯҳистон (Общий)'!E10)</f>
        <v>#REF!</v>
      </c>
      <c r="E9" s="70" t="e">
        <f>SUM(#REF!/1000+#REF!/1000)</f>
        <v>#REF!</v>
      </c>
      <c r="F9" s="71"/>
    </row>
    <row r="10" spans="1:9" ht="25.5">
      <c r="B10" s="131">
        <f>B9+1</f>
        <v>6</v>
      </c>
      <c r="C10" s="838" t="s">
        <v>204</v>
      </c>
      <c r="D10" s="70" t="e">
        <f>SUM('Кӯҳистон (Общий)'!E11)</f>
        <v>#REF!</v>
      </c>
      <c r="E10" s="70" t="e">
        <f>SUM(#REF!/1000+#REF!/1000)</f>
        <v>#REF!</v>
      </c>
      <c r="F10" s="71"/>
    </row>
    <row r="11" spans="1:9" ht="25.5">
      <c r="B11" s="131">
        <f>B10+1</f>
        <v>7</v>
      </c>
      <c r="C11" s="838" t="s">
        <v>68</v>
      </c>
      <c r="D11" s="70" t="e">
        <f>SUM('Кӯҳистон (Общий)'!E12)</f>
        <v>#REF!</v>
      </c>
      <c r="E11" s="70" t="e">
        <f>SUM(#REF!/1000+#REF!/1000)</f>
        <v>#REF!</v>
      </c>
      <c r="F11" s="71"/>
    </row>
    <row r="12" spans="1:9" ht="25.5">
      <c r="B12" s="131">
        <f>B11+1</f>
        <v>8</v>
      </c>
      <c r="C12" s="838" t="s">
        <v>214</v>
      </c>
      <c r="D12" s="70" t="e">
        <f>SUM('Кӯҳистон (Общий)'!E13)</f>
        <v>#REF!</v>
      </c>
      <c r="E12" s="70" t="e">
        <f>SUM(#REF!/1000+#REF!/1000)</f>
        <v>#REF!</v>
      </c>
      <c r="F12" s="71"/>
    </row>
    <row r="13" spans="1:9" ht="25.5">
      <c r="B13" s="1409" t="s">
        <v>71</v>
      </c>
      <c r="C13" s="1410"/>
      <c r="D13" s="379" t="e">
        <f>SUM(D5:D12)</f>
        <v>#REF!</v>
      </c>
      <c r="E13" s="379" t="e">
        <f>SUM(E5:E12)</f>
        <v>#REF!</v>
      </c>
      <c r="F13" s="380"/>
      <c r="H13" s="10"/>
      <c r="I13" s="10" t="e">
        <f>SUM(E13-58737.39)</f>
        <v>#REF!</v>
      </c>
    </row>
    <row r="14" spans="1:9" ht="28.5" customHeight="1">
      <c r="A14" s="15"/>
      <c r="B14" s="1345" t="s">
        <v>265</v>
      </c>
      <c r="C14" s="1378"/>
      <c r="D14" s="1378"/>
      <c r="E14" s="1378"/>
      <c r="F14" s="1378"/>
      <c r="G14" s="15"/>
      <c r="H14" s="15"/>
    </row>
    <row r="15" spans="1:9" ht="25.5">
      <c r="B15" s="130">
        <f>B12+1</f>
        <v>9</v>
      </c>
      <c r="C15" s="840" t="s">
        <v>51</v>
      </c>
      <c r="D15" s="68" t="e">
        <f>SUM('Кӯҳистон (Общий)'!E16)</f>
        <v>#REF!</v>
      </c>
      <c r="E15" s="68" t="e">
        <f>SUM(#REF!/1000+#REF!/1000)</f>
        <v>#REF!</v>
      </c>
      <c r="F15" s="69"/>
    </row>
    <row r="16" spans="1:9" ht="25.5">
      <c r="B16" s="131">
        <f t="shared" ref="B16:B24" si="0">B15+1</f>
        <v>10</v>
      </c>
      <c r="C16" s="841" t="s">
        <v>52</v>
      </c>
      <c r="D16" s="70" t="e">
        <f>SUM('Кӯҳистон (Общий)'!E17)</f>
        <v>#REF!</v>
      </c>
      <c r="E16" s="70" t="e">
        <f>SUM(#REF!/1000+#REF!/1000)</f>
        <v>#REF!</v>
      </c>
      <c r="F16" s="71"/>
    </row>
    <row r="17" spans="1:7" ht="25.5">
      <c r="B17" s="131">
        <f t="shared" si="0"/>
        <v>11</v>
      </c>
      <c r="C17" s="841" t="s">
        <v>53</v>
      </c>
      <c r="D17" s="70" t="e">
        <f>SUM('Кӯҳистон (Общий)'!E18)</f>
        <v>#REF!</v>
      </c>
      <c r="E17" s="70" t="e">
        <f>SUM(#REF!/1000+#REF!/1000)</f>
        <v>#REF!</v>
      </c>
      <c r="F17" s="71"/>
    </row>
    <row r="18" spans="1:7" ht="25.5">
      <c r="B18" s="131">
        <f t="shared" si="0"/>
        <v>12</v>
      </c>
      <c r="C18" s="841" t="s">
        <v>54</v>
      </c>
      <c r="D18" s="70" t="e">
        <f>SUM('Кӯҳистон (Общий)'!E19)</f>
        <v>#REF!</v>
      </c>
      <c r="E18" s="70" t="e">
        <f>SUM(#REF!/1000+#REF!/1000)</f>
        <v>#REF!</v>
      </c>
      <c r="F18" s="71"/>
    </row>
    <row r="19" spans="1:7" ht="25.5">
      <c r="B19" s="131">
        <f t="shared" si="0"/>
        <v>13</v>
      </c>
      <c r="C19" s="841" t="s">
        <v>95</v>
      </c>
      <c r="D19" s="70" t="e">
        <f>SUM('Кӯҳистон (Общий)'!E20)</f>
        <v>#REF!</v>
      </c>
      <c r="E19" s="70" t="e">
        <f>SUM(#REF!/1000+#REF!/1000)</f>
        <v>#REF!</v>
      </c>
      <c r="F19" s="71"/>
    </row>
    <row r="20" spans="1:7" ht="25.5" customHeight="1">
      <c r="B20" s="1409" t="s">
        <v>267</v>
      </c>
      <c r="C20" s="1410"/>
      <c r="D20" s="379" t="e">
        <f>SUM(D15:D19)</f>
        <v>#REF!</v>
      </c>
      <c r="E20" s="379" t="e">
        <f>SUM(E15:E19)</f>
        <v>#REF!</v>
      </c>
      <c r="F20" s="380"/>
    </row>
    <row r="21" spans="1:7" ht="29.25" customHeight="1">
      <c r="B21" s="1345" t="s">
        <v>266</v>
      </c>
      <c r="C21" s="1378"/>
      <c r="D21" s="1378"/>
      <c r="E21" s="1378"/>
      <c r="F21" s="1378"/>
    </row>
    <row r="22" spans="1:7" ht="25.5">
      <c r="B22" s="130">
        <f>B19+1</f>
        <v>14</v>
      </c>
      <c r="C22" s="840" t="s">
        <v>59</v>
      </c>
      <c r="D22" s="68" t="e">
        <f>SUM('Кӯҳистон (Общий)'!E23)</f>
        <v>#REF!</v>
      </c>
      <c r="E22" s="68" t="e">
        <f>SUM(#REF!/1000+#REF!/1000)</f>
        <v>#REF!</v>
      </c>
      <c r="F22" s="69"/>
    </row>
    <row r="23" spans="1:7" ht="25.5">
      <c r="B23" s="131">
        <f t="shared" si="0"/>
        <v>15</v>
      </c>
      <c r="C23" s="841" t="s">
        <v>56</v>
      </c>
      <c r="D23" s="70" t="e">
        <f>SUM('Кӯҳистон (Общий)'!E24)</f>
        <v>#REF!</v>
      </c>
      <c r="E23" s="70" t="e">
        <f>SUM(#REF!/1000+#REF!/1000)</f>
        <v>#REF!</v>
      </c>
      <c r="F23" s="71"/>
    </row>
    <row r="24" spans="1:7" ht="25.5">
      <c r="B24" s="131">
        <f t="shared" si="0"/>
        <v>16</v>
      </c>
      <c r="C24" s="841" t="s">
        <v>140</v>
      </c>
      <c r="D24" s="70" t="e">
        <f>SUM('Кӯҳистон (Общий)'!E25)</f>
        <v>#REF!</v>
      </c>
      <c r="E24" s="70" t="e">
        <f>SUM(#REF!/1000+#REF!/1000)</f>
        <v>#REF!</v>
      </c>
      <c r="F24" s="71"/>
    </row>
    <row r="25" spans="1:7" ht="49.5" customHeight="1">
      <c r="B25" s="1409" t="s">
        <v>268</v>
      </c>
      <c r="C25" s="1410"/>
      <c r="D25" s="398" t="e">
        <f>SUM(D22:D24)</f>
        <v>#REF!</v>
      </c>
      <c r="E25" s="398" t="e">
        <f>SUM(E22:E24)</f>
        <v>#REF!</v>
      </c>
      <c r="F25" s="380"/>
    </row>
    <row r="26" spans="1:7" ht="25.5">
      <c r="A26" s="15"/>
      <c r="B26" s="1383" t="s">
        <v>72</v>
      </c>
      <c r="C26" s="1383"/>
      <c r="D26" s="1383"/>
      <c r="E26" s="1383"/>
      <c r="F26" s="1383"/>
      <c r="G26" s="15"/>
    </row>
    <row r="27" spans="1:7" ht="25.5">
      <c r="B27" s="130">
        <f>B24+1</f>
        <v>17</v>
      </c>
      <c r="C27" s="843" t="s">
        <v>31</v>
      </c>
      <c r="D27" s="68" t="e">
        <f>SUM('Кӯҳистон (Общий)'!E28)</f>
        <v>#REF!</v>
      </c>
      <c r="E27" s="68" t="e">
        <f>SUM(#REF!/1000+#REF!/1000)</f>
        <v>#REF!</v>
      </c>
      <c r="F27" s="69"/>
    </row>
    <row r="28" spans="1:7" ht="25.5">
      <c r="B28" s="131">
        <f t="shared" ref="B28:B33" si="1">B27+1</f>
        <v>18</v>
      </c>
      <c r="C28" s="841" t="s">
        <v>36</v>
      </c>
      <c r="D28" s="70" t="e">
        <f>SUM('Кӯҳистон (Общий)'!E29)</f>
        <v>#REF!</v>
      </c>
      <c r="E28" s="70" t="e">
        <f>SUM(#REF!/1000+#REF!/1000)</f>
        <v>#REF!</v>
      </c>
      <c r="F28" s="71"/>
    </row>
    <row r="29" spans="1:7" ht="25.5">
      <c r="B29" s="131">
        <f t="shared" si="1"/>
        <v>19</v>
      </c>
      <c r="C29" s="841" t="s">
        <v>44</v>
      </c>
      <c r="D29" s="70" t="e">
        <f>SUM('Кӯҳистон (Общий)'!E30)</f>
        <v>#REF!</v>
      </c>
      <c r="E29" s="70" t="e">
        <f>SUM(#REF!/1000+#REF!/1000)</f>
        <v>#REF!</v>
      </c>
      <c r="F29" s="71"/>
    </row>
    <row r="30" spans="1:7" ht="25.5">
      <c r="B30" s="131">
        <f t="shared" si="1"/>
        <v>20</v>
      </c>
      <c r="C30" s="841" t="s">
        <v>28</v>
      </c>
      <c r="D30" s="70" t="e">
        <f>SUM('Кӯҳистон (Общий)'!E31)</f>
        <v>#REF!</v>
      </c>
      <c r="E30" s="70" t="e">
        <f>SUM(#REF!/1000+#REF!/1000)</f>
        <v>#REF!</v>
      </c>
      <c r="F30" s="71"/>
    </row>
    <row r="31" spans="1:7" ht="25.5">
      <c r="B31" s="131">
        <f t="shared" si="1"/>
        <v>21</v>
      </c>
      <c r="C31" s="841" t="s">
        <v>48</v>
      </c>
      <c r="D31" s="70" t="e">
        <f>SUM('Кӯҳистон (Общий)'!E32)</f>
        <v>#REF!</v>
      </c>
      <c r="E31" s="70" t="e">
        <f>SUM(#REF!/1000+#REF!/1000)</f>
        <v>#REF!</v>
      </c>
      <c r="F31" s="71"/>
    </row>
    <row r="32" spans="1:7" ht="25.5">
      <c r="B32" s="131">
        <f t="shared" si="1"/>
        <v>22</v>
      </c>
      <c r="C32" s="841" t="s">
        <v>142</v>
      </c>
      <c r="D32" s="70" t="e">
        <f>SUM('Кӯҳистон (Общий)'!E33)</f>
        <v>#REF!</v>
      </c>
      <c r="E32" s="70" t="e">
        <f>SUM(#REF!/1000+#REF!/1000)</f>
        <v>#REF!</v>
      </c>
      <c r="F32" s="71"/>
    </row>
    <row r="33" spans="1:7" ht="25.5">
      <c r="B33" s="131">
        <f t="shared" si="1"/>
        <v>23</v>
      </c>
      <c r="C33" s="841" t="s">
        <v>143</v>
      </c>
      <c r="D33" s="70" t="e">
        <f>SUM('Кӯҳистон (Общий)'!E34)</f>
        <v>#REF!</v>
      </c>
      <c r="E33" s="70" t="e">
        <f>SUM(#REF!/1000+#REF!/1000)</f>
        <v>#REF!</v>
      </c>
      <c r="F33" s="71"/>
    </row>
    <row r="34" spans="1:7" ht="29.25" customHeight="1">
      <c r="B34" s="1409" t="s">
        <v>50</v>
      </c>
      <c r="C34" s="1410"/>
      <c r="D34" s="379" t="e">
        <f>SUM(D27:D33)</f>
        <v>#REF!</v>
      </c>
      <c r="E34" s="379" t="e">
        <f>SUM(E27:E33)</f>
        <v>#REF!</v>
      </c>
      <c r="F34" s="380"/>
    </row>
    <row r="35" spans="1:7" ht="25.5">
      <c r="A35" s="15"/>
      <c r="B35" s="1345" t="s">
        <v>74</v>
      </c>
      <c r="C35" s="1345"/>
      <c r="D35" s="1345"/>
      <c r="E35" s="1345"/>
      <c r="F35" s="1345"/>
      <c r="G35" s="15"/>
    </row>
    <row r="36" spans="1:7" ht="25.5">
      <c r="B36" s="130">
        <f>B33+1</f>
        <v>24</v>
      </c>
      <c r="C36" s="840" t="s">
        <v>111</v>
      </c>
      <c r="D36" s="68" t="e">
        <f>SUM('Кӯҳистон (Общий)'!E37)</f>
        <v>#REF!</v>
      </c>
      <c r="E36" s="68" t="e">
        <f>SUM(#REF!/1000+#REF!/1000)</f>
        <v>#REF!</v>
      </c>
      <c r="F36" s="69"/>
    </row>
    <row r="37" spans="1:7" ht="25.5">
      <c r="B37" s="131">
        <f t="shared" ref="B37:B42" si="2">B36+1</f>
        <v>25</v>
      </c>
      <c r="C37" s="841" t="s">
        <v>112</v>
      </c>
      <c r="D37" s="70" t="e">
        <f>SUM('Кӯҳистон (Общий)'!E38)</f>
        <v>#REF!</v>
      </c>
      <c r="E37" s="70" t="e">
        <f>SUM(#REF!/1000+#REF!/1000)</f>
        <v>#REF!</v>
      </c>
      <c r="F37" s="71"/>
    </row>
    <row r="38" spans="1:7" ht="25.5">
      <c r="B38" s="131">
        <f t="shared" si="2"/>
        <v>26</v>
      </c>
      <c r="C38" s="841" t="s">
        <v>242</v>
      </c>
      <c r="D38" s="70" t="e">
        <f>SUM('Кӯҳистон (Общий)'!E39)</f>
        <v>#REF!</v>
      </c>
      <c r="E38" s="70" t="e">
        <f>SUM(#REF!/1000+#REF!/1000)</f>
        <v>#REF!</v>
      </c>
      <c r="F38" s="71"/>
    </row>
    <row r="39" spans="1:7" ht="25.5">
      <c r="B39" s="131">
        <f t="shared" si="2"/>
        <v>27</v>
      </c>
      <c r="C39" s="841" t="s">
        <v>129</v>
      </c>
      <c r="D39" s="70" t="e">
        <f>SUM('Кӯҳистон (Общий)'!E40)</f>
        <v>#REF!</v>
      </c>
      <c r="E39" s="70" t="e">
        <f>SUM(#REF!/1000+#REF!/1000)</f>
        <v>#REF!</v>
      </c>
      <c r="F39" s="71"/>
    </row>
    <row r="40" spans="1:7" ht="25.5">
      <c r="B40" s="131">
        <f t="shared" si="2"/>
        <v>28</v>
      </c>
      <c r="C40" s="841" t="s">
        <v>145</v>
      </c>
      <c r="D40" s="70" t="e">
        <f>SUM('Кӯҳистон (Общий)'!E41)</f>
        <v>#REF!</v>
      </c>
      <c r="E40" s="70" t="e">
        <f>SUM(#REF!/1000+#REF!/1000)</f>
        <v>#REF!</v>
      </c>
      <c r="F40" s="71"/>
    </row>
    <row r="41" spans="1:7" ht="25.5">
      <c r="B41" s="131">
        <f t="shared" si="2"/>
        <v>29</v>
      </c>
      <c r="C41" s="841" t="s">
        <v>146</v>
      </c>
      <c r="D41" s="70" t="e">
        <f>SUM('Кӯҳистон (Общий)'!E42)</f>
        <v>#REF!</v>
      </c>
      <c r="E41" s="70" t="e">
        <f>SUM(#REF!/1000+#REF!/1000)</f>
        <v>#REF!</v>
      </c>
      <c r="F41" s="71"/>
    </row>
    <row r="42" spans="1:7" ht="25.5">
      <c r="B42" s="131">
        <f t="shared" si="2"/>
        <v>30</v>
      </c>
      <c r="C42" s="841" t="s">
        <v>147</v>
      </c>
      <c r="D42" s="70" t="e">
        <f>SUM('Кӯҳистон (Общий)'!E43)</f>
        <v>#REF!</v>
      </c>
      <c r="E42" s="70" t="e">
        <f>SUM(#REF!/1000+#REF!/1000)</f>
        <v>#REF!</v>
      </c>
      <c r="F42" s="71"/>
    </row>
    <row r="43" spans="1:7" ht="25.5">
      <c r="B43" s="1409" t="s">
        <v>116</v>
      </c>
      <c r="C43" s="1410"/>
      <c r="D43" s="379" t="e">
        <f>SUM(D36:D42)</f>
        <v>#REF!</v>
      </c>
      <c r="E43" s="379" t="e">
        <f>SUM(E36:E42)</f>
        <v>#REF!</v>
      </c>
      <c r="F43" s="380"/>
    </row>
    <row r="44" spans="1:7" ht="25.5">
      <c r="A44" s="15"/>
      <c r="B44" s="65"/>
      <c r="C44" s="819"/>
      <c r="D44" s="133"/>
      <c r="E44" s="133"/>
      <c r="F44" s="133"/>
      <c r="G44" s="15"/>
    </row>
    <row r="45" spans="1:7" ht="25.5">
      <c r="B45" s="1411" t="s">
        <v>249</v>
      </c>
      <c r="C45" s="1412"/>
      <c r="D45" s="73" t="e">
        <f>SUM(D43+D34+D25+D20+D13)</f>
        <v>#REF!</v>
      </c>
      <c r="E45" s="73" t="e">
        <f>SUM(E43+E34+E25+E20+E13)</f>
        <v>#REF!</v>
      </c>
      <c r="F45" s="74"/>
    </row>
    <row r="46" spans="1:7" ht="25.5">
      <c r="B46" s="75"/>
      <c r="C46" s="844"/>
      <c r="D46" s="75"/>
      <c r="E46" s="75"/>
    </row>
    <row r="47" spans="1:7" ht="51.75" customHeight="1">
      <c r="B47" s="75"/>
      <c r="C47" s="1384" t="s">
        <v>149</v>
      </c>
      <c r="D47" s="1384"/>
      <c r="E47" s="1384"/>
    </row>
    <row r="48" spans="1:7" ht="23.25">
      <c r="B48" s="67"/>
      <c r="D48" s="10" t="e">
        <f>SUM(D45-'Кӯҳистон (Общий)'!E46)</f>
        <v>#REF!</v>
      </c>
    </row>
  </sheetData>
  <mergeCells count="18">
    <mergeCell ref="C47:E47"/>
    <mergeCell ref="B26:F26"/>
    <mergeCell ref="B34:C34"/>
    <mergeCell ref="B35:F35"/>
    <mergeCell ref="B43:C43"/>
    <mergeCell ref="B20:C20"/>
    <mergeCell ref="B21:F21"/>
    <mergeCell ref="B25:C25"/>
    <mergeCell ref="B45:C45"/>
    <mergeCell ref="B1:F1"/>
    <mergeCell ref="B4:F4"/>
    <mergeCell ref="B13:C13"/>
    <mergeCell ref="B14:F14"/>
    <mergeCell ref="B2:B3"/>
    <mergeCell ref="C2:C3"/>
    <mergeCell ref="D2:D3"/>
    <mergeCell ref="E2:E3"/>
    <mergeCell ref="F2:F3"/>
  </mergeCells>
  <phoneticPr fontId="10" type="noConversion"/>
  <printOptions horizontalCentered="1"/>
  <pageMargins left="0.19685039370078741" right="0.23622047244094491" top="0.51181102362204722" bottom="0.43307086614173229" header="0.51181102362204722" footer="0.43307086614173229"/>
  <pageSetup paperSize="9" scale="6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Лист32">
    <tabColor indexed="34"/>
  </sheetPr>
  <dimension ref="A1:J49"/>
  <sheetViews>
    <sheetView topLeftCell="A4" workbookViewId="0">
      <selection activeCell="E9" sqref="E9"/>
    </sheetView>
  </sheetViews>
  <sheetFormatPr defaultRowHeight="12.75"/>
  <cols>
    <col min="1" max="1" width="2.42578125" customWidth="1"/>
    <col min="2" max="2" width="7.7109375" customWidth="1"/>
    <col min="3" max="3" width="49.140625" style="797" customWidth="1"/>
    <col min="4" max="4" width="24.42578125" customWidth="1"/>
    <col min="5" max="5" width="26.28515625" customWidth="1"/>
    <col min="6" max="6" width="25.140625" customWidth="1"/>
    <col min="7" max="7" width="23.140625" customWidth="1"/>
    <col min="8" max="8" width="17.28515625" customWidth="1"/>
    <col min="9" max="9" width="13.5703125" style="356" customWidth="1"/>
    <col min="10" max="10" width="20.85546875" customWidth="1"/>
  </cols>
  <sheetData>
    <row r="1" spans="1:10" ht="76.5" customHeight="1">
      <c r="B1" s="776"/>
      <c r="C1" s="1374" t="e">
        <f>CLEAN(#REF!)</f>
        <v>#REF!</v>
      </c>
      <c r="D1" s="1374"/>
      <c r="E1" s="1374"/>
      <c r="F1" s="1374"/>
      <c r="G1" s="1374"/>
    </row>
    <row r="2" spans="1:10" ht="24" customHeight="1">
      <c r="B2" s="1375" t="s">
        <v>218</v>
      </c>
      <c r="C2" s="1375"/>
      <c r="D2" s="1375"/>
      <c r="E2" s="1375"/>
      <c r="F2" s="1375"/>
      <c r="G2" s="1375"/>
    </row>
    <row r="3" spans="1:10" s="1" customFormat="1" ht="21" customHeight="1">
      <c r="B3" s="1141" t="s">
        <v>80</v>
      </c>
      <c r="C3" s="1143" t="s">
        <v>245</v>
      </c>
      <c r="D3" s="1321" t="s">
        <v>405</v>
      </c>
      <c r="E3" s="1321" t="s">
        <v>427</v>
      </c>
      <c r="F3" s="1321" t="s">
        <v>428</v>
      </c>
      <c r="G3" s="1321" t="s">
        <v>430</v>
      </c>
      <c r="H3" s="1319" t="s">
        <v>410</v>
      </c>
      <c r="I3" s="1424" t="s">
        <v>377</v>
      </c>
    </row>
    <row r="4" spans="1:10" s="1" customFormat="1" ht="21">
      <c r="B4" s="1183"/>
      <c r="C4" s="1184"/>
      <c r="D4" s="1323"/>
      <c r="E4" s="1323"/>
      <c r="F4" s="1323"/>
      <c r="G4" s="1322"/>
      <c r="H4" s="1320"/>
      <c r="I4" s="1425"/>
    </row>
    <row r="5" spans="1:10" ht="21.75" customHeight="1">
      <c r="A5" s="15"/>
      <c r="B5" s="1345" t="s">
        <v>107</v>
      </c>
      <c r="C5" s="1345"/>
      <c r="D5" s="1345"/>
      <c r="E5" s="1345"/>
      <c r="F5" s="1345"/>
      <c r="G5" s="1345"/>
      <c r="H5" s="15"/>
    </row>
    <row r="6" spans="1:10" ht="25.5">
      <c r="B6" s="130">
        <v>1</v>
      </c>
      <c r="C6" s="837" t="s">
        <v>70</v>
      </c>
      <c r="D6" s="68" t="e">
        <f>SUM('Общ свод район (пог+выд)сомони'!C9/1000)</f>
        <v>#REF!</v>
      </c>
      <c r="E6" s="68" t="e">
        <f>SUM('Общ свод район (пог+выд)сомони'!D9/1000)</f>
        <v>#REF!</v>
      </c>
      <c r="F6" s="68" t="e">
        <f>SUM('Общ свод район (пог+выд)сомони'!E9/1000)</f>
        <v>#REF!</v>
      </c>
      <c r="G6" s="69" t="e">
        <f t="shared" ref="G6:G13" si="0">SUM(D6+E6-F6)</f>
        <v>#REF!</v>
      </c>
      <c r="H6" s="377" t="e">
        <f>SUM('общ.сводрайон без курсовой '!G9/1000)</f>
        <v>#REF!</v>
      </c>
      <c r="I6" s="648" t="e">
        <f>SUM('общ.сводрайон без курсовой '!H9/1000)</f>
        <v>#REF!</v>
      </c>
      <c r="J6" s="376">
        <v>1000</v>
      </c>
    </row>
    <row r="7" spans="1:10" ht="25.5">
      <c r="B7" s="131">
        <f>B6+1</f>
        <v>2</v>
      </c>
      <c r="C7" s="838" t="s">
        <v>200</v>
      </c>
      <c r="D7" s="68" t="e">
        <f>SUM('Общ свод район (пог+выд)сомони'!C10/1000)</f>
        <v>#REF!</v>
      </c>
      <c r="E7" s="68" t="e">
        <f>SUM('Общ свод район (пог+выд)сомони'!D10/1000)</f>
        <v>#REF!</v>
      </c>
      <c r="F7" s="70" t="e">
        <f>(SUM('Общ свод район (пог+выд)сомони'!E10))/1000</f>
        <v>#REF!</v>
      </c>
      <c r="G7" s="71" t="e">
        <f t="shared" si="0"/>
        <v>#REF!</v>
      </c>
      <c r="H7" s="378" t="e">
        <f>SUM('общ.сводрайон без курсовой '!G10/1000)</f>
        <v>#REF!</v>
      </c>
      <c r="I7" s="649" t="e">
        <f>SUM('общ.сводрайон без курсовой '!H10/1000)</f>
        <v>#REF!</v>
      </c>
      <c r="J7" s="10" t="e">
        <f t="shared" ref="J7:J14" si="1">SUM(D7+E7-F7-G7)</f>
        <v>#REF!</v>
      </c>
    </row>
    <row r="8" spans="1:10" ht="25.5">
      <c r="B8" s="131">
        <v>3</v>
      </c>
      <c r="C8" s="838" t="s">
        <v>201</v>
      </c>
      <c r="D8" s="68" t="e">
        <f>SUM('Общ свод район (пог+выд)сомони'!C11/1000)</f>
        <v>#REF!</v>
      </c>
      <c r="E8" s="68" t="e">
        <f>SUM('Общ свод район (пог+выд)сомони'!D11/1000)</f>
        <v>#REF!</v>
      </c>
      <c r="F8" s="70" t="e">
        <f>(SUM('Общ свод район (пог+выд)сомони'!E11))/1000</f>
        <v>#REF!</v>
      </c>
      <c r="G8" s="71" t="e">
        <f t="shared" si="0"/>
        <v>#REF!</v>
      </c>
      <c r="H8" s="378" t="e">
        <f>SUM('общ.сводрайон без курсовой '!G11/1000)</f>
        <v>#REF!</v>
      </c>
      <c r="I8" s="649" t="e">
        <f>SUM('общ.сводрайон без курсовой '!H11/1000)</f>
        <v>#REF!</v>
      </c>
      <c r="J8" s="10" t="e">
        <f t="shared" si="1"/>
        <v>#REF!</v>
      </c>
    </row>
    <row r="9" spans="1:10" ht="25.5">
      <c r="B9" s="131">
        <v>4</v>
      </c>
      <c r="C9" s="838" t="s">
        <v>202</v>
      </c>
      <c r="D9" s="68" t="e">
        <f>SUM('Общ свод район (пог+выд)сомони'!C12/1000)</f>
        <v>#REF!</v>
      </c>
      <c r="E9" s="68" t="e">
        <f>SUM('Общ свод район (пог+выд)сомони'!D12/1000)</f>
        <v>#REF!</v>
      </c>
      <c r="F9" s="70" t="e">
        <f>(SUM('Общ свод район (пог+выд)сомони'!E12))/1000</f>
        <v>#REF!</v>
      </c>
      <c r="G9" s="71" t="e">
        <f t="shared" si="0"/>
        <v>#REF!</v>
      </c>
      <c r="H9" s="378" t="e">
        <f>SUM('общ.сводрайон без курсовой '!G12/1000)</f>
        <v>#REF!</v>
      </c>
      <c r="I9" s="649" t="e">
        <f>SUM('общ.сводрайон без курсовой '!H12/1000)</f>
        <v>#REF!</v>
      </c>
      <c r="J9" s="10" t="e">
        <f t="shared" si="1"/>
        <v>#REF!</v>
      </c>
    </row>
    <row r="10" spans="1:10" ht="25.5">
      <c r="B10" s="131">
        <v>5</v>
      </c>
      <c r="C10" s="838" t="s">
        <v>203</v>
      </c>
      <c r="D10" s="68" t="e">
        <f>SUM('Общ свод район (пог+выд)сомони'!C13/1000)</f>
        <v>#REF!</v>
      </c>
      <c r="E10" s="68" t="e">
        <f>SUM('Общ свод район (пог+выд)сомони'!D13/1000)</f>
        <v>#REF!</v>
      </c>
      <c r="F10" s="70" t="e">
        <f>(SUM('Общ свод район (пог+выд)сомони'!E13))/1000</f>
        <v>#REF!</v>
      </c>
      <c r="G10" s="71" t="e">
        <f t="shared" si="0"/>
        <v>#REF!</v>
      </c>
      <c r="H10" s="378" t="e">
        <f>SUM('общ.сводрайон без курсовой '!G13/1000)</f>
        <v>#REF!</v>
      </c>
      <c r="I10" s="649" t="e">
        <f>SUM('общ.сводрайон без курсовой '!H13/1000)</f>
        <v>#REF!</v>
      </c>
      <c r="J10" s="10" t="e">
        <f t="shared" si="1"/>
        <v>#REF!</v>
      </c>
    </row>
    <row r="11" spans="1:10" ht="25.5">
      <c r="B11" s="131">
        <f>B10+1</f>
        <v>6</v>
      </c>
      <c r="C11" s="838" t="s">
        <v>204</v>
      </c>
      <c r="D11" s="68" t="e">
        <f>SUM('Общ свод район (пог+выд)сомони'!C14/1000)</f>
        <v>#REF!</v>
      </c>
      <c r="E11" s="68" t="e">
        <f>SUM('Общ свод район (пог+выд)сомони'!D14/1000)</f>
        <v>#REF!</v>
      </c>
      <c r="F11" s="70" t="e">
        <f>(SUM('Общ свод район (пог+выд)сомони'!E14))/1000</f>
        <v>#REF!</v>
      </c>
      <c r="G11" s="71" t="e">
        <f t="shared" si="0"/>
        <v>#REF!</v>
      </c>
      <c r="H11" s="378" t="e">
        <f>SUM('общ.сводрайон без курсовой '!G14/1000)</f>
        <v>#REF!</v>
      </c>
      <c r="I11" s="649" t="e">
        <f>SUM('общ.сводрайон без курсовой '!H14/1000)</f>
        <v>#REF!</v>
      </c>
      <c r="J11" s="10" t="e">
        <f t="shared" si="1"/>
        <v>#REF!</v>
      </c>
    </row>
    <row r="12" spans="1:10" ht="25.5">
      <c r="B12" s="131">
        <f>B11+1</f>
        <v>7</v>
      </c>
      <c r="C12" s="838" t="s">
        <v>68</v>
      </c>
      <c r="D12" s="68" t="e">
        <f>SUM('Общ свод район (пог+выд)сомони'!C15/1000)</f>
        <v>#REF!</v>
      </c>
      <c r="E12" s="68" t="e">
        <f>SUM('Общ свод район (пог+выд)сомони'!D15/1000)</f>
        <v>#REF!</v>
      </c>
      <c r="F12" s="70" t="e">
        <f>(SUM('Общ свод район (пог+выд)сомони'!E15))/1000</f>
        <v>#REF!</v>
      </c>
      <c r="G12" s="71" t="e">
        <f t="shared" si="0"/>
        <v>#REF!</v>
      </c>
      <c r="H12" s="378" t="e">
        <f>SUM('общ.сводрайон без курсовой '!G15/1000)</f>
        <v>#REF!</v>
      </c>
      <c r="I12" s="649" t="e">
        <f>SUM('общ.сводрайон без курсовой '!H15/1000)</f>
        <v>#REF!</v>
      </c>
      <c r="J12" s="10" t="e">
        <f t="shared" si="1"/>
        <v>#REF!</v>
      </c>
    </row>
    <row r="13" spans="1:10" ht="25.5">
      <c r="B13" s="131">
        <f>B12+1</f>
        <v>8</v>
      </c>
      <c r="C13" s="838" t="s">
        <v>214</v>
      </c>
      <c r="D13" s="68" t="e">
        <f>SUM('Общ свод район (пог+выд)сомони'!C16/1000)</f>
        <v>#REF!</v>
      </c>
      <c r="E13" s="68" t="e">
        <f>SUM('Общ свод район (пог+выд)сомони'!D16/1000)</f>
        <v>#REF!</v>
      </c>
      <c r="F13" s="70" t="e">
        <f>(SUM('Общ свод район (пог+выд)сомони'!E16))/1000</f>
        <v>#REF!</v>
      </c>
      <c r="G13" s="71" t="e">
        <f t="shared" si="0"/>
        <v>#REF!</v>
      </c>
      <c r="H13" s="378" t="e">
        <f>SUM('общ.сводрайон без курсовой '!G16/1000)</f>
        <v>#REF!</v>
      </c>
      <c r="I13" s="649" t="e">
        <f>SUM('общ.сводрайон без курсовой '!H16/1000)</f>
        <v>#REF!</v>
      </c>
      <c r="J13" s="10" t="e">
        <f t="shared" si="1"/>
        <v>#REF!</v>
      </c>
    </row>
    <row r="14" spans="1:10" ht="21.75" customHeight="1">
      <c r="B14" s="1426" t="s">
        <v>71</v>
      </c>
      <c r="C14" s="1427"/>
      <c r="D14" s="381" t="e">
        <f t="shared" ref="D14:I14" si="2">SUM(D6:D13)</f>
        <v>#REF!</v>
      </c>
      <c r="E14" s="381" t="e">
        <f t="shared" si="2"/>
        <v>#REF!</v>
      </c>
      <c r="F14" s="381" t="e">
        <f t="shared" si="2"/>
        <v>#REF!</v>
      </c>
      <c r="G14" s="382" t="e">
        <f t="shared" si="2"/>
        <v>#REF!</v>
      </c>
      <c r="H14" s="645" t="e">
        <f t="shared" si="2"/>
        <v>#REF!</v>
      </c>
      <c r="I14" s="650" t="e">
        <f t="shared" si="2"/>
        <v>#REF!</v>
      </c>
      <c r="J14" s="10" t="e">
        <f t="shared" si="1"/>
        <v>#REF!</v>
      </c>
    </row>
    <row r="15" spans="1:10" ht="21.75" customHeight="1">
      <c r="A15" s="15"/>
      <c r="B15" s="1345" t="s">
        <v>265</v>
      </c>
      <c r="C15" s="1378"/>
      <c r="D15" s="1378"/>
      <c r="E15" s="1378"/>
      <c r="F15" s="1378"/>
      <c r="G15" s="1378"/>
      <c r="H15" s="15"/>
      <c r="I15" s="162"/>
    </row>
    <row r="16" spans="1:10" ht="25.5">
      <c r="B16" s="130">
        <f>B13+1</f>
        <v>9</v>
      </c>
      <c r="C16" s="840" t="s">
        <v>51</v>
      </c>
      <c r="D16" s="68" t="e">
        <f>(SUM('Общ свод район (пог+выд)сомони'!C19))/1000</f>
        <v>#REF!</v>
      </c>
      <c r="E16" s="68" t="e">
        <f>(SUM('Общ свод район (пог+выд)сомони'!D19))/1000</f>
        <v>#REF!</v>
      </c>
      <c r="F16" s="68" t="e">
        <f>(SUM('Общ свод район (пог+выд)сомони'!E19))/1000</f>
        <v>#REF!</v>
      </c>
      <c r="G16" s="69" t="e">
        <f>SUM(D16+E16-F16)</f>
        <v>#REF!</v>
      </c>
      <c r="H16" s="377" t="e">
        <f>SUM('общ.сводрайон без курсовой '!G19/1000)</f>
        <v>#REF!</v>
      </c>
      <c r="I16" s="648" t="e">
        <f>SUM('общ.сводрайон без курсовой '!H19/1000)</f>
        <v>#REF!</v>
      </c>
      <c r="J16" s="10" t="e">
        <f t="shared" ref="J16:J21" si="3">SUM(D16+E16-F16-G16)</f>
        <v>#REF!</v>
      </c>
    </row>
    <row r="17" spans="1:10" ht="25.5">
      <c r="B17" s="131">
        <f t="shared" ref="B17:B25" si="4">B16+1</f>
        <v>10</v>
      </c>
      <c r="C17" s="841" t="s">
        <v>52</v>
      </c>
      <c r="D17" s="70" t="e">
        <f>(SUM('Общ свод район (пог+выд)сомони'!C20))/1000</f>
        <v>#REF!</v>
      </c>
      <c r="E17" s="70" t="e">
        <f>(SUM('Общ свод район (пог+выд)сомони'!D20))/1000</f>
        <v>#REF!</v>
      </c>
      <c r="F17" s="70" t="e">
        <f>(SUM('Общ свод район (пог+выд)сомони'!E20))/1000</f>
        <v>#REF!</v>
      </c>
      <c r="G17" s="71" t="e">
        <f>SUM(D17+E17-F17)</f>
        <v>#REF!</v>
      </c>
      <c r="H17" s="378" t="e">
        <f>SUM('общ.сводрайон без курсовой '!G20/1000)</f>
        <v>#REF!</v>
      </c>
      <c r="I17" s="649" t="e">
        <f>SUM('общ.сводрайон без курсовой '!H20/1000)</f>
        <v>#REF!</v>
      </c>
      <c r="J17" s="10" t="e">
        <f t="shared" si="3"/>
        <v>#REF!</v>
      </c>
    </row>
    <row r="18" spans="1:10" ht="25.5">
      <c r="B18" s="131">
        <f t="shared" si="4"/>
        <v>11</v>
      </c>
      <c r="C18" s="841" t="s">
        <v>53</v>
      </c>
      <c r="D18" s="70" t="e">
        <f>(SUM('Общ свод район (пог+выд)сомони'!C21))/1000</f>
        <v>#REF!</v>
      </c>
      <c r="E18" s="70" t="e">
        <f>(SUM('Общ свод район (пог+выд)сомони'!D21))/1000</f>
        <v>#REF!</v>
      </c>
      <c r="F18" s="70" t="e">
        <f>(SUM('Общ свод район (пог+выд)сомони'!E21))/1000</f>
        <v>#REF!</v>
      </c>
      <c r="G18" s="71" t="e">
        <f>SUM(D18+E18-F18)</f>
        <v>#REF!</v>
      </c>
      <c r="H18" s="378" t="e">
        <f>SUM('общ.сводрайон без курсовой '!G21/1000)</f>
        <v>#REF!</v>
      </c>
      <c r="I18" s="649" t="e">
        <f>SUM('общ.сводрайон без курсовой '!H21/1000)</f>
        <v>#REF!</v>
      </c>
      <c r="J18" s="10" t="e">
        <f t="shared" si="3"/>
        <v>#REF!</v>
      </c>
    </row>
    <row r="19" spans="1:10" ht="25.5">
      <c r="B19" s="131">
        <f t="shared" si="4"/>
        <v>12</v>
      </c>
      <c r="C19" s="841" t="s">
        <v>54</v>
      </c>
      <c r="D19" s="70" t="e">
        <f>(SUM('Общ свод район (пог+выд)сомони'!C22))/1000</f>
        <v>#REF!</v>
      </c>
      <c r="E19" s="70" t="e">
        <f>(SUM('Общ свод район (пог+выд)сомони'!D22))/1000</f>
        <v>#REF!</v>
      </c>
      <c r="F19" s="70" t="e">
        <f>(SUM('Общ свод район (пог+выд)сомони'!E22))/1000</f>
        <v>#REF!</v>
      </c>
      <c r="G19" s="71" t="e">
        <f>SUM(D19+E19-F19)</f>
        <v>#REF!</v>
      </c>
      <c r="H19" s="378" t="e">
        <f>SUM('общ.сводрайон без курсовой '!G22/1000)</f>
        <v>#REF!</v>
      </c>
      <c r="I19" s="649" t="e">
        <f>SUM('общ.сводрайон без курсовой '!H22/1000)</f>
        <v>#REF!</v>
      </c>
      <c r="J19" s="10" t="e">
        <f t="shared" si="3"/>
        <v>#REF!</v>
      </c>
    </row>
    <row r="20" spans="1:10" ht="25.5">
      <c r="B20" s="131">
        <f t="shared" si="4"/>
        <v>13</v>
      </c>
      <c r="C20" s="841" t="s">
        <v>95</v>
      </c>
      <c r="D20" s="70" t="e">
        <f>(SUM('Общ свод район (пог+выд)сомони'!C23))/1000</f>
        <v>#REF!</v>
      </c>
      <c r="E20" s="70" t="e">
        <f>(SUM('Общ свод район (пог+выд)сомони'!D23))/1000</f>
        <v>#REF!</v>
      </c>
      <c r="F20" s="70" t="e">
        <f>(SUM('Общ свод район (пог+выд)сомони'!E23))/1000</f>
        <v>#REF!</v>
      </c>
      <c r="G20" s="71" t="e">
        <f>SUM(D20+E20-F20)</f>
        <v>#REF!</v>
      </c>
      <c r="H20" s="378" t="e">
        <f>SUM('общ.сводрайон без курсовой '!G23/1000)</f>
        <v>#REF!</v>
      </c>
      <c r="I20" s="649" t="e">
        <f>SUM('общ.сводрайон без курсовой '!H23/1000)</f>
        <v>#REF!</v>
      </c>
      <c r="J20" s="10" t="e">
        <f t="shared" si="3"/>
        <v>#REF!</v>
      </c>
    </row>
    <row r="21" spans="1:10" ht="21.75" customHeight="1">
      <c r="B21" s="1426" t="s">
        <v>267</v>
      </c>
      <c r="C21" s="1427"/>
      <c r="D21" s="381" t="e">
        <f t="shared" ref="D21:I21" si="5">SUM(D16:D20)</f>
        <v>#REF!</v>
      </c>
      <c r="E21" s="381" t="e">
        <f t="shared" si="5"/>
        <v>#REF!</v>
      </c>
      <c r="F21" s="381" t="e">
        <f t="shared" si="5"/>
        <v>#REF!</v>
      </c>
      <c r="G21" s="382" t="e">
        <f t="shared" si="5"/>
        <v>#REF!</v>
      </c>
      <c r="H21" s="645" t="e">
        <f t="shared" si="5"/>
        <v>#REF!</v>
      </c>
      <c r="I21" s="650" t="e">
        <f t="shared" si="5"/>
        <v>#REF!</v>
      </c>
      <c r="J21" s="10" t="e">
        <f t="shared" si="3"/>
        <v>#REF!</v>
      </c>
    </row>
    <row r="22" spans="1:10" ht="21.75" customHeight="1">
      <c r="B22" s="1372" t="s">
        <v>266</v>
      </c>
      <c r="C22" s="1373"/>
      <c r="D22" s="1373"/>
      <c r="E22" s="1373"/>
      <c r="F22" s="1373"/>
      <c r="G22" s="1373"/>
    </row>
    <row r="23" spans="1:10" ht="25.5">
      <c r="B23" s="130">
        <f>B20+1</f>
        <v>14</v>
      </c>
      <c r="C23" s="840" t="s">
        <v>59</v>
      </c>
      <c r="D23" s="68" t="e">
        <f>(SUM('Общ свод район (пог+выд)сомони'!C26))/1000</f>
        <v>#REF!</v>
      </c>
      <c r="E23" s="68" t="e">
        <f>(SUM('Общ свод район (пог+выд)сомони'!D26))/1000</f>
        <v>#REF!</v>
      </c>
      <c r="F23" s="68" t="e">
        <f>(SUM('Общ свод район (пог+выд)сомони'!E26))/1000</f>
        <v>#REF!</v>
      </c>
      <c r="G23" s="69" t="e">
        <f>SUM(D23+E23-F23)</f>
        <v>#REF!</v>
      </c>
      <c r="H23" s="377" t="e">
        <f>SUM('общ.сводрайон без курсовой '!G26/1000)</f>
        <v>#REF!</v>
      </c>
      <c r="I23" s="648" t="e">
        <f>SUM('общ.сводрайон без курсовой '!H26/1000)</f>
        <v>#REF!</v>
      </c>
      <c r="J23" s="10" t="e">
        <f>SUM(D23+E23-F23-G23)</f>
        <v>#REF!</v>
      </c>
    </row>
    <row r="24" spans="1:10" ht="25.5">
      <c r="B24" s="131">
        <f t="shared" si="4"/>
        <v>15</v>
      </c>
      <c r="C24" s="841" t="s">
        <v>56</v>
      </c>
      <c r="D24" s="70" t="e">
        <f>(SUM('Общ свод район (пог+выд)сомони'!C27))/1000</f>
        <v>#REF!</v>
      </c>
      <c r="E24" s="70" t="e">
        <f>(SUM('Общ свод район (пог+выд)сомони'!D27))/1000</f>
        <v>#REF!</v>
      </c>
      <c r="F24" s="70" t="e">
        <f>(SUM('Общ свод район (пог+выд)сомони'!E27))/1000</f>
        <v>#REF!</v>
      </c>
      <c r="G24" s="71" t="e">
        <f>SUM(D24+E24-F24)</f>
        <v>#REF!</v>
      </c>
      <c r="H24" s="378" t="e">
        <f>SUM('общ.сводрайон без курсовой '!G27/1000)</f>
        <v>#REF!</v>
      </c>
      <c r="I24" s="649" t="e">
        <f>SUM('общ.сводрайон без курсовой '!H27/1000)</f>
        <v>#REF!</v>
      </c>
      <c r="J24" s="10" t="e">
        <f>SUM(D24+E24-F24-G24)</f>
        <v>#REF!</v>
      </c>
    </row>
    <row r="25" spans="1:10" ht="25.5">
      <c r="B25" s="131">
        <f t="shared" si="4"/>
        <v>16</v>
      </c>
      <c r="C25" s="841" t="s">
        <v>140</v>
      </c>
      <c r="D25" s="70" t="e">
        <f>(SUM('Общ свод район (пог+выд)сомони'!C28))/1000</f>
        <v>#REF!</v>
      </c>
      <c r="E25" s="70" t="e">
        <f>(SUM('Общ свод район (пог+выд)сомони'!D28))/1000</f>
        <v>#REF!</v>
      </c>
      <c r="F25" s="70" t="e">
        <f>(SUM('Общ свод район (пог+выд)сомони'!E28))/1000</f>
        <v>#REF!</v>
      </c>
      <c r="G25" s="71" t="e">
        <f>SUM(D25+E25-F25)</f>
        <v>#REF!</v>
      </c>
      <c r="H25" s="378" t="e">
        <f>SUM('общ.сводрайон без курсовой '!G28/1000)</f>
        <v>#REF!</v>
      </c>
      <c r="I25" s="649" t="e">
        <f>SUM('общ.сводрайон без курсовой '!H28/1000)</f>
        <v>#REF!</v>
      </c>
      <c r="J25" s="10" t="e">
        <f>SUM(D25+E25-F25-G25)</f>
        <v>#REF!</v>
      </c>
    </row>
    <row r="26" spans="1:10" ht="27" customHeight="1">
      <c r="B26" s="1428" t="s">
        <v>268</v>
      </c>
      <c r="C26" s="1429"/>
      <c r="D26" s="383" t="e">
        <f t="shared" ref="D26:I26" si="6">SUM(D23:D25)</f>
        <v>#REF!</v>
      </c>
      <c r="E26" s="383" t="e">
        <f t="shared" si="6"/>
        <v>#REF!</v>
      </c>
      <c r="F26" s="383" t="e">
        <f t="shared" si="6"/>
        <v>#REF!</v>
      </c>
      <c r="G26" s="384" t="e">
        <f t="shared" si="6"/>
        <v>#REF!</v>
      </c>
      <c r="H26" s="646" t="e">
        <f t="shared" si="6"/>
        <v>#REF!</v>
      </c>
      <c r="I26" s="651" t="e">
        <f t="shared" si="6"/>
        <v>#REF!</v>
      </c>
      <c r="J26" s="10" t="e">
        <f>SUM(D26+E26-F26-G26)</f>
        <v>#REF!</v>
      </c>
    </row>
    <row r="27" spans="1:10" ht="21.75" customHeight="1">
      <c r="A27" s="15"/>
      <c r="B27" s="1383" t="s">
        <v>72</v>
      </c>
      <c r="C27" s="1383"/>
      <c r="D27" s="1383"/>
      <c r="E27" s="1383"/>
      <c r="F27" s="1383"/>
      <c r="G27" s="1383"/>
      <c r="H27" s="15"/>
    </row>
    <row r="28" spans="1:10" ht="25.5">
      <c r="B28" s="130">
        <f>B25+1</f>
        <v>17</v>
      </c>
      <c r="C28" s="843" t="s">
        <v>31</v>
      </c>
      <c r="D28" s="68" t="e">
        <f>(SUM('Общ свод район (пог+выд)сомони'!C37))/1000</f>
        <v>#REF!</v>
      </c>
      <c r="E28" s="68" t="e">
        <f>(SUM('Общ свод район (пог+выд)сомони'!D37))/1000</f>
        <v>#REF!</v>
      </c>
      <c r="F28" s="68" t="e">
        <f>(SUM('Общ свод район (пог+выд)сомони'!E37))/1000</f>
        <v>#REF!</v>
      </c>
      <c r="G28" s="69" t="e">
        <f t="shared" ref="G28:G34" si="7">SUM(D28+E28-F28)</f>
        <v>#REF!</v>
      </c>
      <c r="H28" s="377" t="e">
        <f>SUM('общ.сводрайон без курсовой '!G37/1000)</f>
        <v>#REF!</v>
      </c>
      <c r="I28" s="648" t="e">
        <f>SUM('общ.сводрайон без курсовой '!H37/1000)</f>
        <v>#REF!</v>
      </c>
      <c r="J28" s="10" t="e">
        <f t="shared" ref="J28:J35" si="8">SUM(D28+E28-F28-G28)</f>
        <v>#REF!</v>
      </c>
    </row>
    <row r="29" spans="1:10" ht="25.5">
      <c r="B29" s="131">
        <f t="shared" ref="B29:B34" si="9">B28+1</f>
        <v>18</v>
      </c>
      <c r="C29" s="841" t="s">
        <v>36</v>
      </c>
      <c r="D29" s="70" t="e">
        <f>(SUM('Общ свод район (пог+выд)сомони'!C38))/1000</f>
        <v>#REF!</v>
      </c>
      <c r="E29" s="70" t="e">
        <f>(SUM('Общ свод район (пог+выд)сомони'!D38))/1000</f>
        <v>#REF!</v>
      </c>
      <c r="F29" s="70" t="e">
        <f>(SUM('Общ свод район (пог+выд)сомони'!E38))/1000</f>
        <v>#REF!</v>
      </c>
      <c r="G29" s="71" t="e">
        <f t="shared" si="7"/>
        <v>#REF!</v>
      </c>
      <c r="H29" s="378" t="e">
        <f>SUM('общ.сводрайон без курсовой '!G38/1000)</f>
        <v>#REF!</v>
      </c>
      <c r="I29" s="649" t="e">
        <f>SUM('общ.сводрайон без курсовой '!H38/1000)</f>
        <v>#REF!</v>
      </c>
      <c r="J29" s="10" t="e">
        <f t="shared" si="8"/>
        <v>#REF!</v>
      </c>
    </row>
    <row r="30" spans="1:10" ht="25.5">
      <c r="B30" s="131">
        <f t="shared" si="9"/>
        <v>19</v>
      </c>
      <c r="C30" s="841" t="s">
        <v>44</v>
      </c>
      <c r="D30" s="70" t="e">
        <f>(SUM('Общ свод район (пог+выд)сомони'!C39))/1000</f>
        <v>#REF!</v>
      </c>
      <c r="E30" s="70" t="e">
        <f>(SUM('Общ свод район (пог+выд)сомони'!D39))/1000</f>
        <v>#REF!</v>
      </c>
      <c r="F30" s="70" t="e">
        <f>(SUM('Общ свод район (пог+выд)сомони'!E39))/1000</f>
        <v>#REF!</v>
      </c>
      <c r="G30" s="71" t="e">
        <f t="shared" si="7"/>
        <v>#REF!</v>
      </c>
      <c r="H30" s="378" t="e">
        <f>SUM('общ.сводрайон без курсовой '!G39/1000)</f>
        <v>#REF!</v>
      </c>
      <c r="I30" s="649" t="e">
        <f>SUM('общ.сводрайон без курсовой '!H39/1000)</f>
        <v>#REF!</v>
      </c>
      <c r="J30" s="10" t="e">
        <f t="shared" si="8"/>
        <v>#REF!</v>
      </c>
    </row>
    <row r="31" spans="1:10" ht="25.5">
      <c r="B31" s="131">
        <f t="shared" si="9"/>
        <v>20</v>
      </c>
      <c r="C31" s="841" t="s">
        <v>28</v>
      </c>
      <c r="D31" s="70" t="e">
        <f>(SUM('Общ свод район (пог+выд)сомони'!C40))/1000</f>
        <v>#REF!</v>
      </c>
      <c r="E31" s="70" t="e">
        <f>(SUM('Общ свод район (пог+выд)сомони'!D40))/1000</f>
        <v>#REF!</v>
      </c>
      <c r="F31" s="70" t="e">
        <f>(SUM('Общ свод район (пог+выд)сомони'!E40))/1000</f>
        <v>#REF!</v>
      </c>
      <c r="G31" s="71" t="e">
        <f t="shared" si="7"/>
        <v>#REF!</v>
      </c>
      <c r="H31" s="378" t="e">
        <f>SUM('общ.сводрайон без курсовой '!G40/1000)</f>
        <v>#REF!</v>
      </c>
      <c r="I31" s="649" t="e">
        <f>SUM('общ.сводрайон без курсовой '!H40/1000)</f>
        <v>#REF!</v>
      </c>
      <c r="J31" s="10" t="e">
        <f t="shared" si="8"/>
        <v>#REF!</v>
      </c>
    </row>
    <row r="32" spans="1:10" ht="25.5">
      <c r="B32" s="131">
        <f t="shared" si="9"/>
        <v>21</v>
      </c>
      <c r="C32" s="841" t="s">
        <v>48</v>
      </c>
      <c r="D32" s="70" t="e">
        <f>(SUM('Общ свод район (пог+выд)сомони'!C41))/1000</f>
        <v>#REF!</v>
      </c>
      <c r="E32" s="70" t="e">
        <f>(SUM('Общ свод район (пог+выд)сомони'!D41))/1000</f>
        <v>#REF!</v>
      </c>
      <c r="F32" s="70" t="e">
        <f>(SUM('Общ свод район (пог+выд)сомони'!E41))/1000</f>
        <v>#REF!</v>
      </c>
      <c r="G32" s="71" t="e">
        <f t="shared" si="7"/>
        <v>#REF!</v>
      </c>
      <c r="H32" s="378" t="e">
        <f>SUM('общ.сводрайон без курсовой '!G41/1000)</f>
        <v>#REF!</v>
      </c>
      <c r="I32" s="649" t="e">
        <f>SUM('общ.сводрайон без курсовой '!H41/1000)</f>
        <v>#REF!</v>
      </c>
      <c r="J32" s="10" t="e">
        <f t="shared" si="8"/>
        <v>#REF!</v>
      </c>
    </row>
    <row r="33" spans="1:10" ht="25.5">
      <c r="B33" s="131">
        <f t="shared" si="9"/>
        <v>22</v>
      </c>
      <c r="C33" s="841" t="s">
        <v>142</v>
      </c>
      <c r="D33" s="70" t="e">
        <f>(SUM('Общ свод район (пог+выд)сомони'!C42))/1000</f>
        <v>#REF!</v>
      </c>
      <c r="E33" s="70" t="e">
        <f>(SUM('Общ свод район (пог+выд)сомони'!D42))/1000</f>
        <v>#REF!</v>
      </c>
      <c r="F33" s="70" t="e">
        <f>(SUM('Общ свод район (пог+выд)сомони'!E42))/1000</f>
        <v>#REF!</v>
      </c>
      <c r="G33" s="71" t="e">
        <f t="shared" si="7"/>
        <v>#REF!</v>
      </c>
      <c r="H33" s="378" t="e">
        <f>SUM('общ.сводрайон без курсовой '!G42/1000)</f>
        <v>#REF!</v>
      </c>
      <c r="I33" s="649" t="e">
        <f>SUM('общ.сводрайон без курсовой '!H42/1000)</f>
        <v>#REF!</v>
      </c>
      <c r="J33" s="10" t="e">
        <f t="shared" si="8"/>
        <v>#REF!</v>
      </c>
    </row>
    <row r="34" spans="1:10" ht="25.5">
      <c r="B34" s="131">
        <f t="shared" si="9"/>
        <v>23</v>
      </c>
      <c r="C34" s="841" t="s">
        <v>143</v>
      </c>
      <c r="D34" s="70" t="e">
        <f>(SUM('Общ свод район (пог+выд)сомони'!C43))/1000</f>
        <v>#REF!</v>
      </c>
      <c r="E34" s="70" t="e">
        <f>(SUM('Общ свод район (пог+выд)сомони'!D43))/1000</f>
        <v>#REF!</v>
      </c>
      <c r="F34" s="70" t="e">
        <f>(SUM('Общ свод район (пог+выд)сомони'!E43))/1000</f>
        <v>#REF!</v>
      </c>
      <c r="G34" s="71" t="e">
        <f t="shared" si="7"/>
        <v>#REF!</v>
      </c>
      <c r="H34" s="378" t="e">
        <f>SUM('общ.сводрайон без курсовой '!G43/1000)</f>
        <v>#REF!</v>
      </c>
      <c r="I34" s="649" t="e">
        <f>SUM('общ.сводрайон без курсовой '!H43/1000)</f>
        <v>#REF!</v>
      </c>
      <c r="J34" s="10" t="e">
        <f t="shared" si="8"/>
        <v>#REF!</v>
      </c>
    </row>
    <row r="35" spans="1:10" ht="21.75" customHeight="1">
      <c r="B35" s="1426" t="s">
        <v>271</v>
      </c>
      <c r="C35" s="1427"/>
      <c r="D35" s="381" t="e">
        <f t="shared" ref="D35:I35" si="10">SUM(D28:D34)</f>
        <v>#REF!</v>
      </c>
      <c r="E35" s="381" t="e">
        <f t="shared" si="10"/>
        <v>#REF!</v>
      </c>
      <c r="F35" s="381" t="e">
        <f t="shared" si="10"/>
        <v>#REF!</v>
      </c>
      <c r="G35" s="382" t="e">
        <f t="shared" si="10"/>
        <v>#REF!</v>
      </c>
      <c r="H35" s="645" t="e">
        <f t="shared" si="10"/>
        <v>#REF!</v>
      </c>
      <c r="I35" s="650" t="e">
        <f t="shared" si="10"/>
        <v>#REF!</v>
      </c>
      <c r="J35" s="10" t="e">
        <f t="shared" si="8"/>
        <v>#REF!</v>
      </c>
    </row>
    <row r="36" spans="1:10" ht="21.75" customHeight="1">
      <c r="A36" s="15"/>
      <c r="B36" s="1345" t="s">
        <v>74</v>
      </c>
      <c r="C36" s="1345"/>
      <c r="D36" s="1345"/>
      <c r="E36" s="1345"/>
      <c r="F36" s="1345"/>
      <c r="G36" s="1345"/>
      <c r="H36" s="15"/>
    </row>
    <row r="37" spans="1:10" ht="25.5">
      <c r="B37" s="130">
        <f>B34+1</f>
        <v>24</v>
      </c>
      <c r="C37" s="840" t="s">
        <v>111</v>
      </c>
      <c r="D37" s="68" t="e">
        <f>(SUM('Общ свод район (пог+выд)сомони'!C64))/1000</f>
        <v>#REF!</v>
      </c>
      <c r="E37" s="68" t="e">
        <f>(SUM('Общ свод район (пог+выд)сомони'!D64))/1000</f>
        <v>#REF!</v>
      </c>
      <c r="F37" s="68" t="e">
        <f>(SUM('Общ свод район (пог+выд)сомони'!E64))/1000</f>
        <v>#REF!</v>
      </c>
      <c r="G37" s="69" t="e">
        <f t="shared" ref="G37:G43" si="11">SUM(D37+E37-F37)</f>
        <v>#REF!</v>
      </c>
      <c r="H37" s="377" t="e">
        <f>SUM('общ.сводрайон без курсовой '!G64/1000)</f>
        <v>#REF!</v>
      </c>
      <c r="I37" s="648" t="e">
        <f>SUM('общ.сводрайон без курсовой '!H64/1000)</f>
        <v>#REF!</v>
      </c>
      <c r="J37" s="10" t="e">
        <f t="shared" ref="J37:J44" si="12">SUM(D37+E37-F37-G37)</f>
        <v>#REF!</v>
      </c>
    </row>
    <row r="38" spans="1:10" ht="25.5">
      <c r="B38" s="131">
        <f t="shared" ref="B38:B43" si="13">B37+1</f>
        <v>25</v>
      </c>
      <c r="C38" s="841" t="s">
        <v>112</v>
      </c>
      <c r="D38" s="70" t="e">
        <f>(SUM('Общ свод район (пог+выд)сомони'!C65))/1000</f>
        <v>#REF!</v>
      </c>
      <c r="E38" s="70" t="e">
        <f>(SUM('Общ свод район (пог+выд)сомони'!D65))/1000</f>
        <v>#REF!</v>
      </c>
      <c r="F38" s="70" t="e">
        <f>(SUM('Общ свод район (пог+выд)сомони'!E65))/1000</f>
        <v>#REF!</v>
      </c>
      <c r="G38" s="71" t="e">
        <f t="shared" si="11"/>
        <v>#REF!</v>
      </c>
      <c r="H38" s="378" t="e">
        <f>SUM('общ.сводрайон без курсовой '!G65/1000)</f>
        <v>#REF!</v>
      </c>
      <c r="I38" s="649" t="e">
        <f>SUM('общ.сводрайон без курсовой '!H65/1000)</f>
        <v>#REF!</v>
      </c>
      <c r="J38" s="10" t="e">
        <f t="shared" si="12"/>
        <v>#REF!</v>
      </c>
    </row>
    <row r="39" spans="1:10" ht="25.5">
      <c r="B39" s="131">
        <f t="shared" si="13"/>
        <v>26</v>
      </c>
      <c r="C39" s="841" t="s">
        <v>242</v>
      </c>
      <c r="D39" s="70" t="e">
        <f>(SUM('Общ свод район (пог+выд)сомони'!C66))/1000</f>
        <v>#REF!</v>
      </c>
      <c r="E39" s="70" t="e">
        <f>(SUM('Общ свод район (пог+выд)сомони'!D66))/1000</f>
        <v>#REF!</v>
      </c>
      <c r="F39" s="70" t="e">
        <f>(SUM('Общ свод район (пог+выд)сомони'!E66))/1000</f>
        <v>#REF!</v>
      </c>
      <c r="G39" s="71" t="e">
        <f t="shared" si="11"/>
        <v>#REF!</v>
      </c>
      <c r="H39" s="378" t="e">
        <f>SUM('общ.сводрайон без курсовой '!G66/1000)</f>
        <v>#REF!</v>
      </c>
      <c r="I39" s="649" t="e">
        <f>SUM('общ.сводрайон без курсовой '!H66/1000)</f>
        <v>#REF!</v>
      </c>
      <c r="J39" s="10" t="e">
        <f t="shared" si="12"/>
        <v>#REF!</v>
      </c>
    </row>
    <row r="40" spans="1:10" ht="25.5">
      <c r="B40" s="131">
        <f t="shared" si="13"/>
        <v>27</v>
      </c>
      <c r="C40" s="841" t="s">
        <v>129</v>
      </c>
      <c r="D40" s="70" t="e">
        <f>(SUM('Общ свод район (пог+выд)сомони'!C67))/1000</f>
        <v>#REF!</v>
      </c>
      <c r="E40" s="70" t="e">
        <f>(SUM('Общ свод район (пог+выд)сомони'!D67))/1000</f>
        <v>#REF!</v>
      </c>
      <c r="F40" s="70" t="e">
        <f>(SUM('Общ свод район (пог+выд)сомони'!E67))/1000</f>
        <v>#REF!</v>
      </c>
      <c r="G40" s="71" t="e">
        <f t="shared" si="11"/>
        <v>#REF!</v>
      </c>
      <c r="H40" s="378" t="e">
        <f>SUM('общ.сводрайон без курсовой '!G67/1000)</f>
        <v>#REF!</v>
      </c>
      <c r="I40" s="649" t="e">
        <f>SUM('общ.сводрайон без курсовой '!H67/1000)</f>
        <v>#REF!</v>
      </c>
      <c r="J40" s="10" t="e">
        <f t="shared" si="12"/>
        <v>#REF!</v>
      </c>
    </row>
    <row r="41" spans="1:10" ht="25.5">
      <c r="B41" s="131">
        <f t="shared" si="13"/>
        <v>28</v>
      </c>
      <c r="C41" s="841" t="s">
        <v>145</v>
      </c>
      <c r="D41" s="70" t="e">
        <f>(SUM('Общ свод район (пог+выд)сомони'!C68))/1000</f>
        <v>#REF!</v>
      </c>
      <c r="E41" s="70" t="e">
        <f>(SUM('Общ свод район (пог+выд)сомони'!D68))/1000</f>
        <v>#REF!</v>
      </c>
      <c r="F41" s="70" t="e">
        <f>(SUM('Общ свод район (пог+выд)сомони'!E68))/1000</f>
        <v>#REF!</v>
      </c>
      <c r="G41" s="71" t="e">
        <f t="shared" si="11"/>
        <v>#REF!</v>
      </c>
      <c r="H41" s="378" t="e">
        <f>SUM('общ.сводрайон без курсовой '!G68/1000)</f>
        <v>#REF!</v>
      </c>
      <c r="I41" s="649" t="e">
        <f>SUM('общ.сводрайон без курсовой '!H68/1000)</f>
        <v>#REF!</v>
      </c>
      <c r="J41" s="10" t="e">
        <f t="shared" si="12"/>
        <v>#REF!</v>
      </c>
    </row>
    <row r="42" spans="1:10" ht="25.5">
      <c r="B42" s="131">
        <f t="shared" si="13"/>
        <v>29</v>
      </c>
      <c r="C42" s="841" t="s">
        <v>146</v>
      </c>
      <c r="D42" s="70" t="e">
        <f>(SUM('Общ свод район (пог+выд)сомони'!C69))/1000</f>
        <v>#REF!</v>
      </c>
      <c r="E42" s="70" t="e">
        <f>(SUM('Общ свод район (пог+выд)сомони'!D69))/1000</f>
        <v>#REF!</v>
      </c>
      <c r="F42" s="70" t="e">
        <f>(SUM('Общ свод район (пог+выд)сомони'!E69))/1000</f>
        <v>#REF!</v>
      </c>
      <c r="G42" s="71" t="e">
        <f t="shared" si="11"/>
        <v>#REF!</v>
      </c>
      <c r="H42" s="378" t="e">
        <f>SUM('общ.сводрайон без курсовой '!G69/1000)</f>
        <v>#REF!</v>
      </c>
      <c r="I42" s="649" t="e">
        <f>SUM('общ.сводрайон без курсовой '!H69/1000)</f>
        <v>#REF!</v>
      </c>
      <c r="J42" s="10" t="e">
        <f t="shared" si="12"/>
        <v>#REF!</v>
      </c>
    </row>
    <row r="43" spans="1:10" ht="25.5">
      <c r="B43" s="131">
        <f t="shared" si="13"/>
        <v>30</v>
      </c>
      <c r="C43" s="841" t="s">
        <v>147</v>
      </c>
      <c r="D43" s="70" t="e">
        <f>(SUM('Общ свод район (пог+выд)сомони'!C70))/1000</f>
        <v>#REF!</v>
      </c>
      <c r="E43" s="70" t="e">
        <f>(SUM('Общ свод район (пог+выд)сомони'!D70))/1000</f>
        <v>#REF!</v>
      </c>
      <c r="F43" s="70" t="e">
        <f>(SUM('Общ свод район (пог+выд)сомони'!E70))/1000</f>
        <v>#REF!</v>
      </c>
      <c r="G43" s="71" t="e">
        <f t="shared" si="11"/>
        <v>#REF!</v>
      </c>
      <c r="H43" s="378" t="e">
        <f>SUM('общ.сводрайон без курсовой '!G70/1000)</f>
        <v>#REF!</v>
      </c>
      <c r="I43" s="649" t="e">
        <f>SUM('общ.сводрайон без курсовой '!H70/1000)</f>
        <v>#REF!</v>
      </c>
      <c r="J43" s="10" t="e">
        <f t="shared" si="12"/>
        <v>#REF!</v>
      </c>
    </row>
    <row r="44" spans="1:10" ht="21.75" customHeight="1">
      <c r="B44" s="1426" t="s">
        <v>73</v>
      </c>
      <c r="C44" s="1427"/>
      <c r="D44" s="381" t="e">
        <f t="shared" ref="D44:I44" si="14">SUM(D37:D43)</f>
        <v>#REF!</v>
      </c>
      <c r="E44" s="381" t="e">
        <f t="shared" si="14"/>
        <v>#REF!</v>
      </c>
      <c r="F44" s="381" t="e">
        <f t="shared" si="14"/>
        <v>#REF!</v>
      </c>
      <c r="G44" s="382" t="e">
        <f t="shared" si="14"/>
        <v>#REF!</v>
      </c>
      <c r="H44" s="645" t="e">
        <f t="shared" si="14"/>
        <v>#REF!</v>
      </c>
      <c r="I44" s="650" t="e">
        <f t="shared" si="14"/>
        <v>#REF!</v>
      </c>
      <c r="J44" s="10" t="e">
        <f t="shared" si="12"/>
        <v>#REF!</v>
      </c>
    </row>
    <row r="45" spans="1:10" ht="25.5">
      <c r="A45" s="15"/>
      <c r="B45" s="65"/>
      <c r="C45" s="819"/>
      <c r="D45" s="61"/>
      <c r="E45" s="133"/>
      <c r="F45" s="133"/>
      <c r="G45" s="133"/>
      <c r="H45" s="15"/>
    </row>
    <row r="46" spans="1:10" ht="25.5">
      <c r="B46" s="1422" t="s">
        <v>249</v>
      </c>
      <c r="C46" s="1423"/>
      <c r="D46" s="405" t="e">
        <f t="shared" ref="D46:I46" si="15">SUM(D44+D35+D26+D21+D14)</f>
        <v>#REF!</v>
      </c>
      <c r="E46" s="405" t="e">
        <f t="shared" si="15"/>
        <v>#REF!</v>
      </c>
      <c r="F46" s="405" t="e">
        <f t="shared" si="15"/>
        <v>#REF!</v>
      </c>
      <c r="G46" s="406" t="e">
        <f t="shared" si="15"/>
        <v>#REF!</v>
      </c>
      <c r="H46" s="647" t="e">
        <f t="shared" si="15"/>
        <v>#REF!</v>
      </c>
      <c r="I46" s="652" t="e">
        <f t="shared" si="15"/>
        <v>#REF!</v>
      </c>
      <c r="J46" s="10" t="e">
        <f>SUM(D46+E46-F46-G46)</f>
        <v>#REF!</v>
      </c>
    </row>
    <row r="47" spans="1:10" ht="25.5">
      <c r="B47" s="75"/>
      <c r="C47" s="844"/>
      <c r="D47" s="75"/>
      <c r="E47" s="75"/>
      <c r="F47" s="75"/>
    </row>
    <row r="48" spans="1:10" ht="51.75" customHeight="1">
      <c r="B48" s="75"/>
      <c r="C48" s="1384" t="s">
        <v>149</v>
      </c>
      <c r="D48" s="1384"/>
      <c r="E48" s="1384"/>
      <c r="F48" s="1384"/>
      <c r="G48" s="10"/>
    </row>
    <row r="49" spans="2:6" ht="23.25">
      <c r="B49" s="67"/>
      <c r="D49" s="10"/>
      <c r="E49" s="10"/>
      <c r="F49" s="10"/>
    </row>
  </sheetData>
  <mergeCells count="22">
    <mergeCell ref="B27:G27"/>
    <mergeCell ref="B26:C26"/>
    <mergeCell ref="C1:G1"/>
    <mergeCell ref="B2:G2"/>
    <mergeCell ref="B5:G5"/>
    <mergeCell ref="B14:C14"/>
    <mergeCell ref="B46:C46"/>
    <mergeCell ref="I3:I4"/>
    <mergeCell ref="H3:H4"/>
    <mergeCell ref="C48:F48"/>
    <mergeCell ref="B3:B4"/>
    <mergeCell ref="C3:C4"/>
    <mergeCell ref="D3:D4"/>
    <mergeCell ref="E3:E4"/>
    <mergeCell ref="F3:F4"/>
    <mergeCell ref="G3:G4"/>
    <mergeCell ref="B35:C35"/>
    <mergeCell ref="B36:G36"/>
    <mergeCell ref="B44:C44"/>
    <mergeCell ref="B15:G15"/>
    <mergeCell ref="B21:C21"/>
    <mergeCell ref="B22:G22"/>
  </mergeCells>
  <phoneticPr fontId="10" type="noConversion"/>
  <pageMargins left="0.17" right="0.17" top="0.19" bottom="0.55000000000000004" header="0.17" footer="0.16"/>
  <pageSetup paperSize="9" scale="8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Лист33">
    <tabColor indexed="53"/>
  </sheetPr>
  <dimension ref="B1:H26"/>
  <sheetViews>
    <sheetView topLeftCell="A4" workbookViewId="0">
      <selection activeCell="E4" sqref="E4"/>
    </sheetView>
  </sheetViews>
  <sheetFormatPr defaultRowHeight="12.75"/>
  <cols>
    <col min="1" max="1" width="3.5703125" customWidth="1"/>
    <col min="2" max="2" width="7.7109375" customWidth="1"/>
    <col min="3" max="3" width="46" style="797" customWidth="1"/>
    <col min="4" max="4" width="39.5703125" customWidth="1"/>
    <col min="5" max="5" width="39" customWidth="1"/>
    <col min="6" max="6" width="27.85546875" customWidth="1"/>
  </cols>
  <sheetData>
    <row r="1" spans="2:6" ht="36.75" customHeight="1">
      <c r="B1" s="1336" t="e">
        <f>CLEAN(#REF!)</f>
        <v>#REF!</v>
      </c>
      <c r="C1" s="1434"/>
      <c r="D1" s="1434"/>
      <c r="E1" s="1434"/>
      <c r="F1" s="1435"/>
    </row>
    <row r="2" spans="2:6" ht="17.25" customHeight="1">
      <c r="B2" s="53"/>
      <c r="C2" s="1436" t="s">
        <v>383</v>
      </c>
      <c r="D2" s="1436"/>
      <c r="E2" s="1436"/>
      <c r="F2" s="1436"/>
    </row>
    <row r="3" spans="2:6" ht="32.25" customHeight="1">
      <c r="B3" s="1444" t="s">
        <v>105</v>
      </c>
      <c r="C3" s="1446" t="s">
        <v>238</v>
      </c>
      <c r="D3" s="1441" t="s">
        <v>400</v>
      </c>
      <c r="E3" s="1441"/>
      <c r="F3" s="1442" t="s">
        <v>399</v>
      </c>
    </row>
    <row r="4" spans="2:6" ht="43.5" customHeight="1">
      <c r="B4" s="1445"/>
      <c r="C4" s="1447"/>
      <c r="D4" s="390" t="e">
        <f>CLEAN(#REF!)</f>
        <v>#REF!</v>
      </c>
      <c r="E4" s="390" t="e">
        <f>CLEAN(#REF!)</f>
        <v>#REF!</v>
      </c>
      <c r="F4" s="1443"/>
    </row>
    <row r="5" spans="2:6" ht="15" customHeight="1">
      <c r="B5" s="394">
        <v>1</v>
      </c>
      <c r="C5" s="850">
        <v>2</v>
      </c>
      <c r="D5" s="392">
        <v>3</v>
      </c>
      <c r="E5" s="392">
        <v>4</v>
      </c>
      <c r="F5" s="393">
        <v>5</v>
      </c>
    </row>
    <row r="6" spans="2:6" ht="51">
      <c r="B6" s="158">
        <v>1</v>
      </c>
      <c r="C6" s="851" t="s">
        <v>239</v>
      </c>
      <c r="D6" s="157" t="e">
        <f>SUM(#REF!/1000)</f>
        <v>#REF!</v>
      </c>
      <c r="E6" s="157" t="e">
        <f>SUM('Общ свод район (пог+выд)сомони'!D17/1000)</f>
        <v>#REF!</v>
      </c>
      <c r="F6" s="385" t="e">
        <f t="shared" ref="F6:F12" si="0">SUM(E6/D6)</f>
        <v>#REF!</v>
      </c>
    </row>
    <row r="7" spans="2:6" ht="24.95" customHeight="1">
      <c r="B7" s="125">
        <v>2</v>
      </c>
      <c r="C7" s="852" t="s">
        <v>269</v>
      </c>
      <c r="D7" s="126" t="e">
        <f>SUM(#REF!)/1000</f>
        <v>#REF!</v>
      </c>
      <c r="E7" s="126" t="e">
        <f>SUM('Общ свод район (пог+выд)сомони'!D24/1000)</f>
        <v>#REF!</v>
      </c>
      <c r="F7" s="386" t="e">
        <f t="shared" si="0"/>
        <v>#REF!</v>
      </c>
    </row>
    <row r="8" spans="2:6" ht="24.95" customHeight="1">
      <c r="B8" s="125">
        <v>3</v>
      </c>
      <c r="C8" s="852" t="s">
        <v>266</v>
      </c>
      <c r="D8" s="126" t="e">
        <f>SUM(#REF!/1000)</f>
        <v>#REF!</v>
      </c>
      <c r="E8" s="126" t="e">
        <f>SUM('Общ свод район (пог+выд)сомони'!D34/1000)</f>
        <v>#REF!</v>
      </c>
      <c r="F8" s="386" t="e">
        <f t="shared" si="0"/>
        <v>#REF!</v>
      </c>
    </row>
    <row r="9" spans="2:6" ht="24.95" customHeight="1">
      <c r="B9" s="125">
        <v>4</v>
      </c>
      <c r="C9" s="852" t="s">
        <v>72</v>
      </c>
      <c r="D9" s="126" t="e">
        <f>SUM(#REF!/1000)</f>
        <v>#REF!</v>
      </c>
      <c r="E9" s="126" t="e">
        <f>SUM('Общ свод район (пог+выд)сомони'!D61/1000)</f>
        <v>#REF!</v>
      </c>
      <c r="F9" s="386" t="e">
        <f t="shared" si="0"/>
        <v>#REF!</v>
      </c>
    </row>
    <row r="10" spans="2:6" ht="24.95" customHeight="1">
      <c r="B10" s="125">
        <v>5</v>
      </c>
      <c r="C10" s="852" t="s">
        <v>74</v>
      </c>
      <c r="D10" s="126" t="e">
        <f>SUM(#REF!)/1000</f>
        <v>#REF!</v>
      </c>
      <c r="E10" s="126" t="e">
        <f>SUM('Общ свод район (пог+выд)сомони'!D81/1000)</f>
        <v>#REF!</v>
      </c>
      <c r="F10" s="386" t="e">
        <f t="shared" si="0"/>
        <v>#REF!</v>
      </c>
    </row>
    <row r="11" spans="2:6" ht="24.95" customHeight="1">
      <c r="B11" s="125">
        <v>6</v>
      </c>
      <c r="C11" s="852" t="s">
        <v>240</v>
      </c>
      <c r="D11" s="126" t="e">
        <f>SUM(#REF!)/1000</f>
        <v>#REF!</v>
      </c>
      <c r="E11" s="126" t="e">
        <f>SUM('Общ свод район (пог+выд)сомони'!D87/1000)</f>
        <v>#REF!</v>
      </c>
      <c r="F11" s="386" t="e">
        <f t="shared" si="0"/>
        <v>#REF!</v>
      </c>
    </row>
    <row r="12" spans="2:6" s="395" customFormat="1" ht="39.950000000000003" customHeight="1">
      <c r="B12" s="1432" t="s">
        <v>148</v>
      </c>
      <c r="C12" s="1433"/>
      <c r="D12" s="383" t="e">
        <f>SUM(D6:D11)</f>
        <v>#REF!</v>
      </c>
      <c r="E12" s="375" t="e">
        <f>SUM(E6:E11)</f>
        <v>#REF!</v>
      </c>
      <c r="F12" s="387" t="e">
        <f t="shared" si="0"/>
        <v>#REF!</v>
      </c>
    </row>
    <row r="13" spans="2:6" ht="36.75" customHeight="1">
      <c r="B13" s="75"/>
      <c r="C13" s="844"/>
      <c r="D13" s="127"/>
      <c r="E13" s="127"/>
      <c r="F13" s="127"/>
    </row>
    <row r="14" spans="2:6" ht="48.75" customHeight="1">
      <c r="B14" s="1336" t="s">
        <v>451</v>
      </c>
      <c r="C14" s="1434"/>
      <c r="D14" s="1434"/>
      <c r="E14" s="1434"/>
      <c r="F14" s="1435"/>
    </row>
    <row r="15" spans="2:6" ht="25.5">
      <c r="B15" s="53"/>
      <c r="C15" s="1436" t="s">
        <v>383</v>
      </c>
      <c r="D15" s="1436"/>
      <c r="E15" s="1436"/>
      <c r="F15" s="1436"/>
    </row>
    <row r="16" spans="2:6" ht="24" customHeight="1">
      <c r="B16" s="1437" t="s">
        <v>105</v>
      </c>
      <c r="C16" s="1439" t="s">
        <v>238</v>
      </c>
      <c r="D16" s="1441" t="s">
        <v>401</v>
      </c>
      <c r="E16" s="1441"/>
      <c r="F16" s="1442" t="s">
        <v>402</v>
      </c>
    </row>
    <row r="17" spans="2:8" ht="48.75" customHeight="1">
      <c r="B17" s="1438"/>
      <c r="C17" s="1440"/>
      <c r="D17" s="390" t="s">
        <v>431</v>
      </c>
      <c r="E17" s="390" t="s">
        <v>432</v>
      </c>
      <c r="F17" s="1443"/>
    </row>
    <row r="18" spans="2:8" ht="15.75" customHeight="1">
      <c r="B18" s="391">
        <v>1</v>
      </c>
      <c r="C18" s="853">
        <v>2</v>
      </c>
      <c r="D18" s="392">
        <v>3</v>
      </c>
      <c r="E18" s="392">
        <v>4</v>
      </c>
      <c r="F18" s="393">
        <v>5</v>
      </c>
    </row>
    <row r="19" spans="2:8" ht="51">
      <c r="B19" s="158">
        <v>1</v>
      </c>
      <c r="C19" s="851" t="s">
        <v>239</v>
      </c>
      <c r="D19" s="157" t="e">
        <f>SUM('2015 Кӯҳистон(Общ)'!D14)</f>
        <v>#REF!</v>
      </c>
      <c r="E19" s="157" t="e">
        <f>SUM('Кӯҳистон (Общий)'!E14)</f>
        <v>#REF!</v>
      </c>
      <c r="F19" s="385" t="e">
        <f t="shared" ref="F19:F24" si="1">SUM(E19/D19)</f>
        <v>#REF!</v>
      </c>
      <c r="H19" s="185" t="e">
        <f>SUM(E19/E24)</f>
        <v>#REF!</v>
      </c>
    </row>
    <row r="20" spans="2:8" ht="24.95" customHeight="1">
      <c r="B20" s="125">
        <v>2</v>
      </c>
      <c r="C20" s="852" t="s">
        <v>269</v>
      </c>
      <c r="D20" s="126" t="e">
        <f>SUM('2015 Кӯҳистон(Общ)'!D21)</f>
        <v>#REF!</v>
      </c>
      <c r="E20" s="126" t="e">
        <f>SUM('Кӯҳистон (Общий)'!E21)</f>
        <v>#REF!</v>
      </c>
      <c r="F20" s="385" t="e">
        <f t="shared" si="1"/>
        <v>#REF!</v>
      </c>
      <c r="H20" s="185" t="e">
        <f>SUM(E20/E24)</f>
        <v>#REF!</v>
      </c>
    </row>
    <row r="21" spans="2:8" ht="24.95" customHeight="1">
      <c r="B21" s="125">
        <v>2</v>
      </c>
      <c r="C21" s="852" t="s">
        <v>266</v>
      </c>
      <c r="D21" s="126" t="e">
        <f>SUM('2015 Кӯҳистон(Общ)'!D26)</f>
        <v>#REF!</v>
      </c>
      <c r="E21" s="126" t="e">
        <f>SUM('Кӯҳистон (Общий)'!E26)</f>
        <v>#REF!</v>
      </c>
      <c r="F21" s="385" t="e">
        <f t="shared" si="1"/>
        <v>#REF!</v>
      </c>
      <c r="H21" s="185" t="e">
        <f>SUM(E21/E24)</f>
        <v>#REF!</v>
      </c>
    </row>
    <row r="22" spans="2:8" ht="24.95" customHeight="1">
      <c r="B22" s="125">
        <v>3</v>
      </c>
      <c r="C22" s="852" t="s">
        <v>72</v>
      </c>
      <c r="D22" s="126" t="e">
        <f>SUM('2015 Кӯҳистон(Общ)'!D35)</f>
        <v>#REF!</v>
      </c>
      <c r="E22" s="126" t="e">
        <f>SUM('Кӯҳистон (Общий)'!E35)</f>
        <v>#REF!</v>
      </c>
      <c r="F22" s="385" t="e">
        <f t="shared" si="1"/>
        <v>#REF!</v>
      </c>
      <c r="H22" s="185" t="e">
        <f>SUM(E22/E24)</f>
        <v>#REF!</v>
      </c>
    </row>
    <row r="23" spans="2:8" ht="24.95" customHeight="1">
      <c r="B23" s="128">
        <v>4</v>
      </c>
      <c r="C23" s="854" t="s">
        <v>74</v>
      </c>
      <c r="D23" s="129" t="e">
        <f>SUM('2015 Кӯҳистон(Общ)'!D44)</f>
        <v>#REF!</v>
      </c>
      <c r="E23" s="129" t="e">
        <f>SUM('Кӯҳистон (Общий)'!E44)</f>
        <v>#REF!</v>
      </c>
      <c r="F23" s="774" t="e">
        <f t="shared" si="1"/>
        <v>#REF!</v>
      </c>
      <c r="H23" s="185" t="e">
        <f>SUM(E23/E24)</f>
        <v>#REF!</v>
      </c>
    </row>
    <row r="24" spans="2:8" ht="34.5" customHeight="1">
      <c r="B24" s="1430" t="s">
        <v>241</v>
      </c>
      <c r="C24" s="1431"/>
      <c r="D24" s="388" t="e">
        <f>SUM(D19:D23)</f>
        <v>#REF!</v>
      </c>
      <c r="E24" s="389" t="e">
        <f>SUM(E19:E23)</f>
        <v>#REF!</v>
      </c>
      <c r="F24" s="775" t="e">
        <f t="shared" si="1"/>
        <v>#REF!</v>
      </c>
      <c r="H24" s="185" t="e">
        <f>SUM(H19:H23)</f>
        <v>#REF!</v>
      </c>
    </row>
    <row r="25" spans="2:8" ht="25.5">
      <c r="B25" s="75"/>
      <c r="C25" s="844"/>
      <c r="D25" s="127"/>
      <c r="E25" s="127"/>
      <c r="F25" s="127"/>
    </row>
    <row r="26" spans="2:8">
      <c r="E26" s="10" t="e">
        <f>SUM(E24-'Кӯҳистон (Общий)'!E46)</f>
        <v>#REF!</v>
      </c>
    </row>
  </sheetData>
  <mergeCells count="14">
    <mergeCell ref="B1:F1"/>
    <mergeCell ref="C2:F2"/>
    <mergeCell ref="B3:B4"/>
    <mergeCell ref="C3:C4"/>
    <mergeCell ref="D3:E3"/>
    <mergeCell ref="F3:F4"/>
    <mergeCell ref="B24:C24"/>
    <mergeCell ref="B12:C12"/>
    <mergeCell ref="B14:F14"/>
    <mergeCell ref="C15:F15"/>
    <mergeCell ref="B16:B17"/>
    <mergeCell ref="C16:C17"/>
    <mergeCell ref="D16:E16"/>
    <mergeCell ref="F16:F17"/>
  </mergeCells>
  <phoneticPr fontId="10" type="noConversion"/>
  <printOptions horizontalCentered="1"/>
  <pageMargins left="0.17" right="0.17" top="0.19" bottom="0.15748031496062992" header="0.27559055118110237" footer="0.15748031496062992"/>
  <pageSetup paperSize="9" scale="75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Лист34">
    <tabColor indexed="34"/>
  </sheetPr>
  <dimension ref="B4:H30"/>
  <sheetViews>
    <sheetView topLeftCell="A10" workbookViewId="0">
      <selection activeCell="E14" sqref="E14"/>
    </sheetView>
  </sheetViews>
  <sheetFormatPr defaultRowHeight="12.75"/>
  <cols>
    <col min="1" max="1" width="3.5703125" customWidth="1"/>
    <col min="2" max="2" width="7.7109375" customWidth="1"/>
    <col min="3" max="3" width="46" style="797" customWidth="1"/>
    <col min="4" max="4" width="27" customWidth="1"/>
    <col min="5" max="5" width="30.28515625" customWidth="1"/>
    <col min="6" max="6" width="27.85546875" customWidth="1"/>
  </cols>
  <sheetData>
    <row r="4" spans="2:6" ht="21.75" customHeight="1">
      <c r="B4" s="1336"/>
      <c r="C4" s="1434"/>
      <c r="D4" s="1434"/>
      <c r="E4" s="1434"/>
    </row>
    <row r="5" spans="2:6" ht="67.5" customHeight="1">
      <c r="B5" s="1336" t="e">
        <f>CLEAN(#REF!)</f>
        <v>#REF!</v>
      </c>
      <c r="C5" s="1434"/>
      <c r="D5" s="1434"/>
      <c r="E5" s="1434"/>
      <c r="F5" s="1435"/>
    </row>
    <row r="6" spans="2:6" ht="23.25" customHeight="1">
      <c r="B6" s="1436" t="s">
        <v>383</v>
      </c>
      <c r="C6" s="1436"/>
      <c r="D6" s="1436"/>
      <c r="E6" s="1436"/>
      <c r="F6" s="1436"/>
    </row>
    <row r="7" spans="2:6" ht="32.25" customHeight="1">
      <c r="B7" s="1444" t="s">
        <v>105</v>
      </c>
      <c r="C7" s="1446" t="s">
        <v>238</v>
      </c>
      <c r="D7" s="1441" t="s">
        <v>384</v>
      </c>
      <c r="E7" s="1441"/>
      <c r="F7" s="1442" t="s">
        <v>385</v>
      </c>
    </row>
    <row r="8" spans="2:6" ht="43.5" customHeight="1">
      <c r="B8" s="1445"/>
      <c r="C8" s="1447"/>
      <c r="D8" s="390" t="e">
        <f>CLEAN(#REF!)</f>
        <v>#REF!</v>
      </c>
      <c r="E8" s="390" t="e">
        <f>CLEAN(#REF!)</f>
        <v>#REF!</v>
      </c>
      <c r="F8" s="1443"/>
    </row>
    <row r="9" spans="2:6" ht="15" customHeight="1">
      <c r="B9" s="394">
        <v>1</v>
      </c>
      <c r="C9" s="850">
        <v>2</v>
      </c>
      <c r="D9" s="392">
        <v>3</v>
      </c>
      <c r="E9" s="392">
        <v>4</v>
      </c>
      <c r="F9" s="393">
        <v>5</v>
      </c>
    </row>
    <row r="10" spans="2:6" ht="51">
      <c r="B10" s="158">
        <v>1</v>
      </c>
      <c r="C10" s="851" t="s">
        <v>239</v>
      </c>
      <c r="D10" s="157" t="e">
        <f>SUM(Лист4!D6)</f>
        <v>#REF!</v>
      </c>
      <c r="E10" s="157" t="e">
        <f>SUM('Общ свод район (пог+выд)сомони'!D17/1000)</f>
        <v>#REF!</v>
      </c>
      <c r="F10" s="385" t="e">
        <f t="shared" ref="F10:F16" si="0">SUM(E10/D10)</f>
        <v>#REF!</v>
      </c>
    </row>
    <row r="11" spans="2:6" ht="30.75" customHeight="1">
      <c r="B11" s="125">
        <v>2</v>
      </c>
      <c r="C11" s="852" t="s">
        <v>269</v>
      </c>
      <c r="D11" s="157" t="e">
        <f>SUM(#REF!/1000)</f>
        <v>#REF!</v>
      </c>
      <c r="E11" s="126" t="e">
        <f>SUM('Общ свод район (пог+выд)сомони'!D24/1000)</f>
        <v>#REF!</v>
      </c>
      <c r="F11" s="386" t="e">
        <f t="shared" si="0"/>
        <v>#REF!</v>
      </c>
    </row>
    <row r="12" spans="2:6" ht="30.75" customHeight="1">
      <c r="B12" s="125">
        <v>3</v>
      </c>
      <c r="C12" s="852" t="s">
        <v>266</v>
      </c>
      <c r="D12" s="157" t="e">
        <f>SUM(#REF!/1000)</f>
        <v>#REF!</v>
      </c>
      <c r="E12" s="126" t="e">
        <f>SUM('Общ свод район (пог+выд)сомони'!D34/1000)</f>
        <v>#REF!</v>
      </c>
      <c r="F12" s="386" t="e">
        <f t="shared" si="0"/>
        <v>#REF!</v>
      </c>
    </row>
    <row r="13" spans="2:6" ht="30.75" customHeight="1">
      <c r="B13" s="125">
        <v>4</v>
      </c>
      <c r="C13" s="852" t="s">
        <v>72</v>
      </c>
      <c r="D13" s="157" t="e">
        <f>SUM(#REF!/1000)</f>
        <v>#REF!</v>
      </c>
      <c r="E13" s="126" t="e">
        <f>SUM('Общ свод район (пог+выд)сомони'!D61/1000)</f>
        <v>#REF!</v>
      </c>
      <c r="F13" s="386" t="e">
        <f t="shared" si="0"/>
        <v>#REF!</v>
      </c>
    </row>
    <row r="14" spans="2:6" ht="30.75" customHeight="1">
      <c r="B14" s="125">
        <v>5</v>
      </c>
      <c r="C14" s="852" t="s">
        <v>74</v>
      </c>
      <c r="D14" s="157" t="e">
        <f>SUM(#REF!/1000)</f>
        <v>#REF!</v>
      </c>
      <c r="E14" s="126" t="e">
        <f>SUM('Общ свод район (пог+выд)сомони'!D81/1000)</f>
        <v>#REF!</v>
      </c>
      <c r="F14" s="386" t="e">
        <f t="shared" si="0"/>
        <v>#REF!</v>
      </c>
    </row>
    <row r="15" spans="2:6" ht="30.75" customHeight="1">
      <c r="B15" s="125">
        <v>6</v>
      </c>
      <c r="C15" s="852" t="s">
        <v>240</v>
      </c>
      <c r="D15" s="157" t="e">
        <f>SUM(Лист4!D11)</f>
        <v>#REF!</v>
      </c>
      <c r="E15" s="126" t="e">
        <f>SUM('Общ свод район (пог+выд)сомони'!D87/1000)</f>
        <v>#REF!</v>
      </c>
      <c r="F15" s="386" t="e">
        <f t="shared" si="0"/>
        <v>#REF!</v>
      </c>
    </row>
    <row r="16" spans="2:6" s="395" customFormat="1" ht="39.950000000000003" customHeight="1">
      <c r="B16" s="1432" t="s">
        <v>148</v>
      </c>
      <c r="C16" s="1433"/>
      <c r="D16" s="383" t="e">
        <f>SUM(D10:D15)</f>
        <v>#REF!</v>
      </c>
      <c r="E16" s="375" t="e">
        <f>SUM(E10:E15)</f>
        <v>#REF!</v>
      </c>
      <c r="F16" s="387" t="e">
        <f t="shared" si="0"/>
        <v>#REF!</v>
      </c>
    </row>
    <row r="17" spans="2:8" ht="36.75" customHeight="1">
      <c r="B17" s="75"/>
      <c r="C17" s="844"/>
      <c r="D17" s="127"/>
      <c r="E17" s="127"/>
      <c r="F17" s="127"/>
    </row>
    <row r="18" spans="2:8" ht="48.75" customHeight="1">
      <c r="B18" s="1336" t="s">
        <v>452</v>
      </c>
      <c r="C18" s="1434"/>
      <c r="D18" s="1434"/>
      <c r="E18" s="1434"/>
      <c r="F18" s="1435"/>
    </row>
    <row r="19" spans="2:8" ht="25.5" customHeight="1">
      <c r="B19" s="1436" t="s">
        <v>383</v>
      </c>
      <c r="C19" s="1436"/>
      <c r="D19" s="1436"/>
      <c r="E19" s="1436"/>
      <c r="F19" s="1436"/>
    </row>
    <row r="20" spans="2:8" ht="27" customHeight="1">
      <c r="B20" s="1437" t="s">
        <v>105</v>
      </c>
      <c r="C20" s="1439" t="s">
        <v>238</v>
      </c>
      <c r="D20" s="1441" t="s">
        <v>386</v>
      </c>
      <c r="E20" s="1441"/>
      <c r="F20" s="1448" t="s">
        <v>387</v>
      </c>
    </row>
    <row r="21" spans="2:8" ht="48.75" customHeight="1">
      <c r="B21" s="1438"/>
      <c r="C21" s="1440"/>
      <c r="D21" s="390" t="e">
        <f>#REF!</f>
        <v>#REF!</v>
      </c>
      <c r="E21" s="390" t="e">
        <f>#REF!</f>
        <v>#REF!</v>
      </c>
      <c r="F21" s="1449"/>
    </row>
    <row r="22" spans="2:8" ht="15.75" customHeight="1">
      <c r="B22" s="391">
        <v>1</v>
      </c>
      <c r="C22" s="853">
        <v>2</v>
      </c>
      <c r="D22" s="392">
        <v>3</v>
      </c>
      <c r="E22" s="392">
        <v>4</v>
      </c>
      <c r="F22" s="393">
        <v>5</v>
      </c>
    </row>
    <row r="23" spans="2:8" ht="51">
      <c r="B23" s="158">
        <v>1</v>
      </c>
      <c r="C23" s="851" t="s">
        <v>239</v>
      </c>
      <c r="D23" s="157" t="e">
        <f>SUM('2015 Кӯҳистон(Общ)'!D14)</f>
        <v>#REF!</v>
      </c>
      <c r="E23" s="157" t="e">
        <f>SUM('Кӯҳистон (Общий)'!E14)</f>
        <v>#REF!</v>
      </c>
      <c r="F23" s="385" t="e">
        <f t="shared" ref="F23:F28" si="1">SUM(E23/D23)</f>
        <v>#REF!</v>
      </c>
      <c r="H23" s="185" t="e">
        <f>SUM(E23/E28)</f>
        <v>#REF!</v>
      </c>
    </row>
    <row r="24" spans="2:8" ht="30.75" customHeight="1">
      <c r="B24" s="125">
        <v>2</v>
      </c>
      <c r="C24" s="852" t="s">
        <v>269</v>
      </c>
      <c r="D24" s="126" t="e">
        <f>SUM('2015 Кӯҳистон(Общ)'!D21)</f>
        <v>#REF!</v>
      </c>
      <c r="E24" s="126" t="e">
        <f>SUM('Кӯҳистон (Общий)'!E21)</f>
        <v>#REF!</v>
      </c>
      <c r="F24" s="385" t="e">
        <f t="shared" si="1"/>
        <v>#REF!</v>
      </c>
      <c r="H24" s="185" t="e">
        <f>SUM(E24/E28)</f>
        <v>#REF!</v>
      </c>
    </row>
    <row r="25" spans="2:8" ht="30.75" customHeight="1">
      <c r="B25" s="125">
        <v>2</v>
      </c>
      <c r="C25" s="852" t="s">
        <v>266</v>
      </c>
      <c r="D25" s="126" t="e">
        <f>SUM('2015 Кӯҳистон(Общ)'!D26)</f>
        <v>#REF!</v>
      </c>
      <c r="E25" s="126" t="e">
        <f>SUM('Кӯҳистон (Общий)'!E26)</f>
        <v>#REF!</v>
      </c>
      <c r="F25" s="385" t="e">
        <f t="shared" si="1"/>
        <v>#REF!</v>
      </c>
      <c r="H25" s="185" t="e">
        <f>SUM(E25/E28)</f>
        <v>#REF!</v>
      </c>
    </row>
    <row r="26" spans="2:8" ht="30.75" customHeight="1">
      <c r="B26" s="125">
        <v>3</v>
      </c>
      <c r="C26" s="852" t="s">
        <v>72</v>
      </c>
      <c r="D26" s="126" t="e">
        <f>SUM('2015 Кӯҳистон(Общ)'!D35)</f>
        <v>#REF!</v>
      </c>
      <c r="E26" s="126" t="e">
        <f>SUM('Кӯҳистон (Общий)'!E35)</f>
        <v>#REF!</v>
      </c>
      <c r="F26" s="385" t="e">
        <f t="shared" si="1"/>
        <v>#REF!</v>
      </c>
      <c r="H26" s="185" t="e">
        <f>SUM(E26/E28)</f>
        <v>#REF!</v>
      </c>
    </row>
    <row r="27" spans="2:8" ht="30.75" customHeight="1">
      <c r="B27" s="128">
        <v>4</v>
      </c>
      <c r="C27" s="854" t="s">
        <v>74</v>
      </c>
      <c r="D27" s="129" t="e">
        <f>SUM('2015 Кӯҳистон(Общ)'!D44)</f>
        <v>#REF!</v>
      </c>
      <c r="E27" s="129" t="e">
        <f>SUM('Кӯҳистон (Общий)'!E44)</f>
        <v>#REF!</v>
      </c>
      <c r="F27" s="774" t="e">
        <f t="shared" si="1"/>
        <v>#REF!</v>
      </c>
      <c r="H27" s="185" t="e">
        <f>SUM(E27/E28)</f>
        <v>#REF!</v>
      </c>
    </row>
    <row r="28" spans="2:8" ht="34.5" customHeight="1">
      <c r="B28" s="1430" t="s">
        <v>241</v>
      </c>
      <c r="C28" s="1431"/>
      <c r="D28" s="388" t="e">
        <f>SUM(D23:D27)</f>
        <v>#REF!</v>
      </c>
      <c r="E28" s="389" t="e">
        <f>SUM(E23:E27)</f>
        <v>#REF!</v>
      </c>
      <c r="F28" s="775" t="e">
        <f t="shared" si="1"/>
        <v>#REF!</v>
      </c>
      <c r="H28" s="185" t="e">
        <f>SUM(H23:H27)</f>
        <v>#REF!</v>
      </c>
    </row>
    <row r="29" spans="2:8" ht="25.5">
      <c r="B29" s="75"/>
      <c r="C29" s="844"/>
      <c r="D29" s="127"/>
      <c r="E29" s="127"/>
      <c r="F29" s="127"/>
    </row>
    <row r="30" spans="2:8">
      <c r="E30" s="10" t="e">
        <f>SUM(E28-'Кӯҳистон (Общий)'!E46)</f>
        <v>#REF!</v>
      </c>
    </row>
  </sheetData>
  <mergeCells count="15">
    <mergeCell ref="B28:C28"/>
    <mergeCell ref="B16:C16"/>
    <mergeCell ref="B18:F18"/>
    <mergeCell ref="B20:B21"/>
    <mergeCell ref="C20:C21"/>
    <mergeCell ref="F20:F21"/>
    <mergeCell ref="D7:E7"/>
    <mergeCell ref="D20:E20"/>
    <mergeCell ref="B4:E4"/>
    <mergeCell ref="B5:F5"/>
    <mergeCell ref="B7:B8"/>
    <mergeCell ref="C7:C8"/>
    <mergeCell ref="F7:F8"/>
    <mergeCell ref="B6:F6"/>
    <mergeCell ref="B19:F19"/>
  </mergeCells>
  <phoneticPr fontId="10" type="noConversion"/>
  <pageMargins left="0.22" right="0.27" top="0.49" bottom="0.34" header="0.5" footer="0.5"/>
  <pageSetup paperSize="9"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12">
    <tabColor indexed="45"/>
  </sheetPr>
  <dimension ref="A2:M99"/>
  <sheetViews>
    <sheetView view="pageBreakPreview" topLeftCell="A70" zoomScale="60" zoomScaleNormal="75" workbookViewId="0">
      <selection activeCell="H92" sqref="H92"/>
    </sheetView>
  </sheetViews>
  <sheetFormatPr defaultColWidth="9.140625" defaultRowHeight="21"/>
  <cols>
    <col min="1" max="1" width="4.42578125" style="19" bestFit="1" customWidth="1"/>
    <col min="2" max="2" width="42.140625" style="800" customWidth="1"/>
    <col min="3" max="3" width="25.7109375" style="887" customWidth="1"/>
    <col min="4" max="4" width="28.140625" style="887" customWidth="1"/>
    <col min="5" max="5" width="31.85546875" style="887" customWidth="1"/>
    <col min="6" max="6" width="24.28515625" style="887" customWidth="1"/>
    <col min="7" max="7" width="19" style="887" customWidth="1"/>
    <col min="8" max="8" width="19" style="902" customWidth="1"/>
    <col min="9" max="9" width="15.7109375" style="1" hidden="1" customWidth="1"/>
    <col min="10" max="10" width="19.42578125" style="8" hidden="1" customWidth="1"/>
    <col min="11" max="11" width="16.85546875" style="8" hidden="1" customWidth="1"/>
    <col min="12" max="12" width="11.140625" style="1" hidden="1" customWidth="1"/>
    <col min="13" max="13" width="22.7109375" style="1" customWidth="1"/>
    <col min="14" max="16384" width="9.140625" style="1"/>
  </cols>
  <sheetData>
    <row r="2" spans="1:11">
      <c r="A2" s="1139" t="s">
        <v>234</v>
      </c>
      <c r="B2" s="1139"/>
      <c r="C2" s="1139"/>
      <c r="D2" s="1139"/>
      <c r="E2" s="1139"/>
      <c r="F2" s="1139"/>
    </row>
    <row r="3" spans="1:11" ht="14.25" customHeight="1">
      <c r="A3" s="1140" t="s">
        <v>251</v>
      </c>
      <c r="B3" s="1140"/>
      <c r="C3" s="1140"/>
      <c r="D3" s="1140"/>
      <c r="E3" s="1140"/>
      <c r="F3" s="1140"/>
    </row>
    <row r="4" spans="1:11">
      <c r="C4" s="905" t="e">
        <f>CLEAN(#REF!)</f>
        <v>#REF!</v>
      </c>
    </row>
    <row r="5" spans="1:11" ht="21" customHeight="1">
      <c r="A5" s="1141" t="s">
        <v>80</v>
      </c>
      <c r="B5" s="1143" t="s">
        <v>245</v>
      </c>
      <c r="C5" s="1145" t="e">
        <f>CLEAN(#REF!)</f>
        <v>#REF!</v>
      </c>
      <c r="D5" s="1145" t="e">
        <f>CLEAN(#REF!)</f>
        <v>#REF!</v>
      </c>
      <c r="E5" s="1145" t="e">
        <f>CLEAN(#REF!)</f>
        <v>#REF!</v>
      </c>
      <c r="F5" s="1145" t="e">
        <f>CLEAN(#REF!)</f>
        <v>#REF!</v>
      </c>
      <c r="G5" s="1149" t="s">
        <v>375</v>
      </c>
      <c r="H5" s="1153" t="s">
        <v>434</v>
      </c>
    </row>
    <row r="6" spans="1:11" ht="34.5" customHeight="1">
      <c r="A6" s="1142"/>
      <c r="B6" s="1144"/>
      <c r="C6" s="1146"/>
      <c r="D6" s="1146"/>
      <c r="E6" s="1146"/>
      <c r="F6" s="1146"/>
      <c r="G6" s="1150"/>
      <c r="H6" s="1154"/>
    </row>
    <row r="7" spans="1:11" ht="15.75" customHeight="1">
      <c r="A7" s="183">
        <v>1</v>
      </c>
      <c r="B7" s="801">
        <v>2</v>
      </c>
      <c r="C7" s="788">
        <v>3</v>
      </c>
      <c r="D7" s="788">
        <v>4</v>
      </c>
      <c r="E7" s="788">
        <v>5</v>
      </c>
      <c r="F7" s="789">
        <v>6</v>
      </c>
      <c r="G7" s="903">
        <v>7</v>
      </c>
      <c r="H7" s="904"/>
    </row>
    <row r="8" spans="1:11" ht="21" customHeight="1">
      <c r="A8" s="1151" t="s">
        <v>76</v>
      </c>
      <c r="B8" s="1151"/>
      <c r="C8" s="1151"/>
      <c r="D8" s="1151"/>
      <c r="E8" s="1151"/>
      <c r="F8" s="1151"/>
    </row>
    <row r="9" spans="1:11">
      <c r="A9" s="79">
        <v>1</v>
      </c>
      <c r="B9" s="802" t="s">
        <v>70</v>
      </c>
      <c r="C9" s="888" t="e">
        <f>SUM('общ.сводрайон без курсовой '!C9)</f>
        <v>#REF!</v>
      </c>
      <c r="D9" s="888" t="e">
        <f>SUM('общ.сводрайон без курсовой '!D9)+G9</f>
        <v>#REF!</v>
      </c>
      <c r="E9" s="888" t="e">
        <f>SUM('общ.сводрайон без курсовой '!E9)+H9</f>
        <v>#REF!</v>
      </c>
      <c r="F9" s="889" t="e">
        <f t="shared" ref="F9:F16" si="0">SUM(C9+D9-E9)</f>
        <v>#REF!</v>
      </c>
      <c r="G9" s="888" t="e">
        <f>SUM('общ.сводрайон без курсовой '!G9)</f>
        <v>#REF!</v>
      </c>
      <c r="H9" s="906" t="e">
        <f>SUM('общ.сводрайон без курсовой '!H9)</f>
        <v>#REF!</v>
      </c>
      <c r="J9" s="8" t="e">
        <f>SUM(#REF!+#REF!+#REF!+#REF!)</f>
        <v>#REF!</v>
      </c>
      <c r="K9" s="8" t="e">
        <f t="shared" ref="K9:K17" si="1">SUM(J9-D9)</f>
        <v>#REF!</v>
      </c>
    </row>
    <row r="10" spans="1:11">
      <c r="A10" s="80">
        <f t="shared" ref="A10:A16" si="2">A9+1</f>
        <v>2</v>
      </c>
      <c r="B10" s="803" t="s">
        <v>200</v>
      </c>
      <c r="C10" s="890" t="e">
        <f>SUM('общ.сводрайон без курсовой '!C10)</f>
        <v>#REF!</v>
      </c>
      <c r="D10" s="888" t="e">
        <f>SUM('общ.сводрайон без курсовой '!D10)+G10</f>
        <v>#REF!</v>
      </c>
      <c r="E10" s="890" t="e">
        <f>SUM('общ.сводрайон без курсовой '!E10)+H10</f>
        <v>#REF!</v>
      </c>
      <c r="F10" s="891" t="e">
        <f t="shared" si="0"/>
        <v>#REF!</v>
      </c>
      <c r="G10" s="888" t="e">
        <f>SUM('общ.сводрайон без курсовой '!G10)</f>
        <v>#REF!</v>
      </c>
      <c r="H10" s="906" t="e">
        <f>SUM('общ.сводрайон без курсовой '!H10)</f>
        <v>#REF!</v>
      </c>
      <c r="J10" s="8" t="e">
        <f>SUM(#REF!+#REF!+#REF!+#REF!)</f>
        <v>#REF!</v>
      </c>
      <c r="K10" s="8" t="e">
        <f t="shared" si="1"/>
        <v>#REF!</v>
      </c>
    </row>
    <row r="11" spans="1:11">
      <c r="A11" s="80">
        <f t="shared" si="2"/>
        <v>3</v>
      </c>
      <c r="B11" s="803" t="s">
        <v>201</v>
      </c>
      <c r="C11" s="890" t="e">
        <f>SUM('общ.сводрайон без курсовой '!C11)</f>
        <v>#REF!</v>
      </c>
      <c r="D11" s="888" t="e">
        <f>SUM('общ.сводрайон без курсовой '!D11)+G11</f>
        <v>#REF!</v>
      </c>
      <c r="E11" s="890" t="e">
        <f>SUM('общ.сводрайон без курсовой '!E11)+H11</f>
        <v>#REF!</v>
      </c>
      <c r="F11" s="891" t="e">
        <f t="shared" si="0"/>
        <v>#REF!</v>
      </c>
      <c r="G11" s="888" t="e">
        <f>SUM('общ.сводрайон без курсовой '!G11)</f>
        <v>#REF!</v>
      </c>
      <c r="H11" s="906" t="e">
        <f>SUM('общ.сводрайон без курсовой '!H11)</f>
        <v>#REF!</v>
      </c>
      <c r="J11" s="8" t="e">
        <f>SUM(#REF!+#REF!+#REF!+#REF!)</f>
        <v>#REF!</v>
      </c>
      <c r="K11" s="8" t="e">
        <f t="shared" si="1"/>
        <v>#REF!</v>
      </c>
    </row>
    <row r="12" spans="1:11">
      <c r="A12" s="80">
        <f t="shared" si="2"/>
        <v>4</v>
      </c>
      <c r="B12" s="803" t="s">
        <v>202</v>
      </c>
      <c r="C12" s="890" t="e">
        <f>SUM('общ.сводрайон без курсовой '!C12)</f>
        <v>#REF!</v>
      </c>
      <c r="D12" s="888" t="e">
        <f>SUM('общ.сводрайон без курсовой '!D12)+G12</f>
        <v>#REF!</v>
      </c>
      <c r="E12" s="890" t="e">
        <f>SUM('общ.сводрайон без курсовой '!E12)+H12</f>
        <v>#REF!</v>
      </c>
      <c r="F12" s="891" t="e">
        <f t="shared" si="0"/>
        <v>#REF!</v>
      </c>
      <c r="G12" s="888" t="e">
        <f>SUM('общ.сводрайон без курсовой '!G12)</f>
        <v>#REF!</v>
      </c>
      <c r="H12" s="906" t="e">
        <f>SUM('общ.сводрайон без курсовой '!H12)</f>
        <v>#REF!</v>
      </c>
      <c r="J12" s="8" t="e">
        <f>SUM(#REF!+#REF!+#REF!+#REF!)</f>
        <v>#REF!</v>
      </c>
      <c r="K12" s="8" t="e">
        <f t="shared" si="1"/>
        <v>#REF!</v>
      </c>
    </row>
    <row r="13" spans="1:11">
      <c r="A13" s="80">
        <f t="shared" si="2"/>
        <v>5</v>
      </c>
      <c r="B13" s="803" t="s">
        <v>203</v>
      </c>
      <c r="C13" s="890" t="e">
        <f>SUM('общ.сводрайон без курсовой '!C13)</f>
        <v>#REF!</v>
      </c>
      <c r="D13" s="888" t="e">
        <f>SUM('общ.сводрайон без курсовой '!D13)+G13</f>
        <v>#REF!</v>
      </c>
      <c r="E13" s="890" t="e">
        <f>SUM('общ.сводрайон без курсовой '!E13)+H13</f>
        <v>#REF!</v>
      </c>
      <c r="F13" s="891" t="e">
        <f t="shared" si="0"/>
        <v>#REF!</v>
      </c>
      <c r="G13" s="888" t="e">
        <f>SUM('общ.сводрайон без курсовой '!G13)</f>
        <v>#REF!</v>
      </c>
      <c r="H13" s="906" t="e">
        <f>SUM('общ.сводрайон без курсовой '!H13)</f>
        <v>#REF!</v>
      </c>
      <c r="J13" s="8" t="e">
        <f>SUM(#REF!+#REF!+#REF!+#REF!)</f>
        <v>#REF!</v>
      </c>
      <c r="K13" s="8" t="e">
        <f t="shared" si="1"/>
        <v>#REF!</v>
      </c>
    </row>
    <row r="14" spans="1:11">
      <c r="A14" s="80">
        <f t="shared" si="2"/>
        <v>6</v>
      </c>
      <c r="B14" s="803" t="s">
        <v>461</v>
      </c>
      <c r="C14" s="890" t="e">
        <f>SUM('общ.сводрайон без курсовой '!C14)</f>
        <v>#REF!</v>
      </c>
      <c r="D14" s="888" t="e">
        <f>SUM('общ.сводрайон без курсовой '!D14)+G14</f>
        <v>#REF!</v>
      </c>
      <c r="E14" s="890" t="e">
        <f>SUM('общ.сводрайон без курсовой '!E14)+H14</f>
        <v>#REF!</v>
      </c>
      <c r="F14" s="891" t="e">
        <f t="shared" si="0"/>
        <v>#REF!</v>
      </c>
      <c r="G14" s="888" t="e">
        <f>SUM('общ.сводрайон без курсовой '!G14)</f>
        <v>#REF!</v>
      </c>
      <c r="H14" s="906" t="e">
        <f>SUM('общ.сводрайон без курсовой '!H14)</f>
        <v>#REF!</v>
      </c>
      <c r="J14" s="8" t="e">
        <f>SUM(#REF!+#REF!+#REF!+#REF!)</f>
        <v>#REF!</v>
      </c>
      <c r="K14" s="8" t="e">
        <f t="shared" si="1"/>
        <v>#REF!</v>
      </c>
    </row>
    <row r="15" spans="1:11">
      <c r="A15" s="80">
        <f t="shared" si="2"/>
        <v>7</v>
      </c>
      <c r="B15" s="803" t="s">
        <v>462</v>
      </c>
      <c r="C15" s="890" t="e">
        <f>SUM('общ.сводрайон без курсовой '!C15)</f>
        <v>#REF!</v>
      </c>
      <c r="D15" s="888" t="e">
        <f>SUM('общ.сводрайон без курсовой '!D15)+G15</f>
        <v>#REF!</v>
      </c>
      <c r="E15" s="890" t="e">
        <f>SUM('общ.сводрайон без курсовой '!E15)+H15</f>
        <v>#REF!</v>
      </c>
      <c r="F15" s="891" t="e">
        <f t="shared" si="0"/>
        <v>#REF!</v>
      </c>
      <c r="G15" s="888" t="e">
        <f>SUM('общ.сводрайон без курсовой '!G15)</f>
        <v>#REF!</v>
      </c>
      <c r="H15" s="906" t="e">
        <f>SUM('общ.сводрайон без курсовой '!H15)</f>
        <v>#REF!</v>
      </c>
      <c r="J15" s="8" t="e">
        <f>SUM(#REF!+#REF!+#REF!+#REF!)</f>
        <v>#REF!</v>
      </c>
      <c r="K15" s="8" t="e">
        <f t="shared" si="1"/>
        <v>#REF!</v>
      </c>
    </row>
    <row r="16" spans="1:11">
      <c r="A16" s="80">
        <f t="shared" si="2"/>
        <v>8</v>
      </c>
      <c r="B16" s="803" t="s">
        <v>214</v>
      </c>
      <c r="C16" s="890" t="e">
        <f>SUM('общ.сводрайон без курсовой '!C16)</f>
        <v>#REF!</v>
      </c>
      <c r="D16" s="888" t="e">
        <f>SUM('общ.сводрайон без курсовой '!D16)+G16</f>
        <v>#REF!</v>
      </c>
      <c r="E16" s="890" t="e">
        <f>SUM('общ.сводрайон без курсовой '!E16)+H16</f>
        <v>#REF!</v>
      </c>
      <c r="F16" s="891" t="e">
        <f t="shared" si="0"/>
        <v>#REF!</v>
      </c>
      <c r="G16" s="888" t="e">
        <f>SUM('общ.сводрайон без курсовой '!G16)</f>
        <v>#REF!</v>
      </c>
      <c r="H16" s="906" t="e">
        <f>SUM('общ.сводрайон без курсовой '!H16)</f>
        <v>#REF!</v>
      </c>
      <c r="J16" s="8" t="e">
        <f>SUM(#REF!+#REF!+#REF!+#REF!)</f>
        <v>#REF!</v>
      </c>
      <c r="K16" s="8" t="e">
        <f t="shared" si="1"/>
        <v>#REF!</v>
      </c>
    </row>
    <row r="17" spans="1:13" ht="21" customHeight="1">
      <c r="A17" s="1152" t="s">
        <v>71</v>
      </c>
      <c r="B17" s="1148"/>
      <c r="C17" s="892" t="e">
        <f t="shared" ref="C17:H17" si="3">SUM(C9:C16)</f>
        <v>#REF!</v>
      </c>
      <c r="D17" s="892" t="e">
        <f t="shared" si="3"/>
        <v>#REF!</v>
      </c>
      <c r="E17" s="892" t="e">
        <f t="shared" si="3"/>
        <v>#REF!</v>
      </c>
      <c r="F17" s="893" t="e">
        <f t="shared" si="3"/>
        <v>#REF!</v>
      </c>
      <c r="G17" s="907" t="e">
        <f t="shared" si="3"/>
        <v>#REF!</v>
      </c>
      <c r="H17" s="908" t="e">
        <f t="shared" si="3"/>
        <v>#REF!</v>
      </c>
      <c r="I17" s="8" t="e">
        <f>SUM(C17-'общ.сводрайон без курсовой '!C17)</f>
        <v>#REF!</v>
      </c>
      <c r="J17" s="8" t="e">
        <f>SUM(#REF!+#REF!+#REF!+#REF!)</f>
        <v>#REF!</v>
      </c>
      <c r="K17" s="8" t="e">
        <f t="shared" si="1"/>
        <v>#REF!</v>
      </c>
      <c r="L17" s="8" t="e">
        <f>SUM(F17-'общ.сводрайон без курсовой '!F17)</f>
        <v>#REF!</v>
      </c>
    </row>
    <row r="18" spans="1:13" ht="21" customHeight="1">
      <c r="A18" s="1155" t="s">
        <v>269</v>
      </c>
      <c r="B18" s="1151"/>
      <c r="C18" s="1151"/>
      <c r="D18" s="1151"/>
      <c r="E18" s="1151"/>
      <c r="F18" s="1156"/>
    </row>
    <row r="19" spans="1:13">
      <c r="A19" s="79">
        <v>9</v>
      </c>
      <c r="B19" s="802" t="s">
        <v>190</v>
      </c>
      <c r="C19" s="888" t="e">
        <f>SUM('общ.сводрайон без курсовой '!C19)</f>
        <v>#REF!</v>
      </c>
      <c r="D19" s="888" t="e">
        <f>SUM('общ.сводрайон без курсовой '!D19)+G19</f>
        <v>#REF!</v>
      </c>
      <c r="E19" s="888" t="e">
        <f>SUM('общ.сводрайон без курсовой '!E19)+H19</f>
        <v>#REF!</v>
      </c>
      <c r="F19" s="889" t="e">
        <f>SUM(C19+D19-E19)</f>
        <v>#REF!</v>
      </c>
      <c r="G19" s="888" t="e">
        <f>SUM('общ.сводрайон без курсовой '!G19)</f>
        <v>#REF!</v>
      </c>
      <c r="H19" s="888" t="e">
        <f>SUM('общ.сводрайон без курсовой '!H19)</f>
        <v>#REF!</v>
      </c>
      <c r="J19" s="8" t="e">
        <f>SUM(#REF!+#REF!+#REF!+#REF!)</f>
        <v>#REF!</v>
      </c>
      <c r="K19" s="8" t="e">
        <f t="shared" ref="K19:K34" si="4">SUM(J19-D19)</f>
        <v>#REF!</v>
      </c>
    </row>
    <row r="20" spans="1:13">
      <c r="A20" s="80">
        <f t="shared" ref="A20:A33" si="5">A19+1</f>
        <v>10</v>
      </c>
      <c r="B20" s="803" t="s">
        <v>191</v>
      </c>
      <c r="C20" s="890" t="e">
        <f>SUM('общ.сводрайон без курсовой '!C20)</f>
        <v>#REF!</v>
      </c>
      <c r="D20" s="888" t="e">
        <f>SUM('общ.сводрайон без курсовой '!D20)+G20</f>
        <v>#REF!</v>
      </c>
      <c r="E20" s="890" t="e">
        <f>SUM('общ.сводрайон без курсовой '!E20)+H20</f>
        <v>#REF!</v>
      </c>
      <c r="F20" s="891" t="e">
        <f>SUM(C20+D20-E20)</f>
        <v>#REF!</v>
      </c>
      <c r="G20" s="888" t="e">
        <f>SUM('общ.сводрайон без курсовой '!G20)</f>
        <v>#REF!</v>
      </c>
      <c r="H20" s="888" t="e">
        <f>SUM('общ.сводрайон без курсовой '!H20)</f>
        <v>#REF!</v>
      </c>
      <c r="J20" s="8" t="e">
        <f>SUM(#REF!+#REF!+#REF!+#REF!)</f>
        <v>#REF!</v>
      </c>
      <c r="K20" s="8" t="e">
        <f t="shared" si="4"/>
        <v>#REF!</v>
      </c>
      <c r="M20" s="790"/>
    </row>
    <row r="21" spans="1:13">
      <c r="A21" s="80">
        <f t="shared" si="5"/>
        <v>11</v>
      </c>
      <c r="B21" s="803" t="s">
        <v>192</v>
      </c>
      <c r="C21" s="890" t="e">
        <f>SUM('общ.сводрайон без курсовой '!C21)</f>
        <v>#REF!</v>
      </c>
      <c r="D21" s="888" t="e">
        <f>SUM('общ.сводрайон без курсовой '!D21)+G21</f>
        <v>#REF!</v>
      </c>
      <c r="E21" s="890" t="e">
        <f>SUM('общ.сводрайон без курсовой '!E21)+H21</f>
        <v>#REF!</v>
      </c>
      <c r="F21" s="891" t="e">
        <f>SUM(C21+D21-E21)</f>
        <v>#REF!</v>
      </c>
      <c r="G21" s="888" t="e">
        <f>SUM('общ.сводрайон без курсовой '!G21)</f>
        <v>#REF!</v>
      </c>
      <c r="H21" s="888" t="e">
        <f>SUM('общ.сводрайон без курсовой '!H21)</f>
        <v>#REF!</v>
      </c>
      <c r="J21" s="8" t="e">
        <f>SUM(#REF!+#REF!+#REF!+#REF!)</f>
        <v>#REF!</v>
      </c>
      <c r="K21" s="8" t="e">
        <f t="shared" si="4"/>
        <v>#REF!</v>
      </c>
    </row>
    <row r="22" spans="1:13">
      <c r="A22" s="80">
        <f t="shared" si="5"/>
        <v>12</v>
      </c>
      <c r="B22" s="803" t="s">
        <v>193</v>
      </c>
      <c r="C22" s="890" t="e">
        <f>SUM('общ.сводрайон без курсовой '!C22)</f>
        <v>#REF!</v>
      </c>
      <c r="D22" s="888" t="e">
        <f>SUM('общ.сводрайон без курсовой '!D22)+G22</f>
        <v>#REF!</v>
      </c>
      <c r="E22" s="890" t="e">
        <f>SUM('общ.сводрайон без курсовой '!E22)+H22</f>
        <v>#REF!</v>
      </c>
      <c r="F22" s="891" t="e">
        <f>SUM(C22+D22-E22)</f>
        <v>#REF!</v>
      </c>
      <c r="G22" s="888" t="e">
        <f>SUM('общ.сводрайон без курсовой '!G22)</f>
        <v>#REF!</v>
      </c>
      <c r="H22" s="888" t="e">
        <f>SUM('общ.сводрайон без курсовой '!H22)</f>
        <v>#REF!</v>
      </c>
      <c r="J22" s="8" t="e">
        <f>SUM(#REF!+#REF!+#REF!+#REF!)</f>
        <v>#REF!</v>
      </c>
      <c r="K22" s="8" t="e">
        <f t="shared" si="4"/>
        <v>#REF!</v>
      </c>
    </row>
    <row r="23" spans="1:13">
      <c r="A23" s="80">
        <f t="shared" si="5"/>
        <v>13</v>
      </c>
      <c r="B23" s="803" t="s">
        <v>205</v>
      </c>
      <c r="C23" s="890" t="e">
        <f>SUM('общ.сводрайон без курсовой '!C23)</f>
        <v>#REF!</v>
      </c>
      <c r="D23" s="888" t="e">
        <f>SUM('общ.сводрайон без курсовой '!D23)+G23</f>
        <v>#REF!</v>
      </c>
      <c r="E23" s="890" t="e">
        <f>SUM('общ.сводрайон без курсовой '!E23)+H23</f>
        <v>#REF!</v>
      </c>
      <c r="F23" s="891" t="e">
        <f>SUM(C23+D23-E23)</f>
        <v>#REF!</v>
      </c>
      <c r="G23" s="888" t="e">
        <f>SUM('общ.сводрайон без курсовой '!G23)</f>
        <v>#REF!</v>
      </c>
      <c r="H23" s="888" t="e">
        <f>SUM('общ.сводрайон без курсовой '!H23)</f>
        <v>#REF!</v>
      </c>
      <c r="J23" s="8" t="e">
        <f>SUM(#REF!+#REF!+#REF!+#REF!)</f>
        <v>#REF!</v>
      </c>
      <c r="K23" s="8" t="e">
        <f t="shared" si="4"/>
        <v>#REF!</v>
      </c>
    </row>
    <row r="24" spans="1:13" ht="31.5" customHeight="1">
      <c r="A24" s="1147" t="s">
        <v>267</v>
      </c>
      <c r="B24" s="1148"/>
      <c r="C24" s="894" t="e">
        <f t="shared" ref="C24:H24" si="6">SUM(C19:C23)</f>
        <v>#REF!</v>
      </c>
      <c r="D24" s="894" t="e">
        <f t="shared" si="6"/>
        <v>#REF!</v>
      </c>
      <c r="E24" s="894" t="e">
        <f t="shared" si="6"/>
        <v>#REF!</v>
      </c>
      <c r="F24" s="895" t="e">
        <f t="shared" si="6"/>
        <v>#REF!</v>
      </c>
      <c r="G24" s="909" t="e">
        <f t="shared" si="6"/>
        <v>#REF!</v>
      </c>
      <c r="H24" s="910" t="e">
        <f t="shared" si="6"/>
        <v>#REF!</v>
      </c>
      <c r="I24" s="365" t="e">
        <f>SUM(C24-'общ.сводрайон без курсовой '!C24)</f>
        <v>#REF!</v>
      </c>
      <c r="J24" s="8" t="e">
        <f>SUM(#REF!+#REF!+#REF!+#REF!)</f>
        <v>#REF!</v>
      </c>
      <c r="K24" s="8" t="e">
        <f t="shared" si="4"/>
        <v>#REF!</v>
      </c>
      <c r="L24" s="365" t="e">
        <f>SUM(F24-'общ.сводрайон без курсовой '!F24)</f>
        <v>#REF!</v>
      </c>
    </row>
    <row r="25" spans="1:13" ht="21" customHeight="1">
      <c r="A25" s="1155" t="s">
        <v>266</v>
      </c>
      <c r="B25" s="1151"/>
      <c r="C25" s="1151"/>
      <c r="D25" s="1151"/>
      <c r="E25" s="1151"/>
      <c r="F25" s="1156"/>
      <c r="G25" s="911"/>
      <c r="H25" s="912"/>
      <c r="K25" s="8">
        <f t="shared" si="4"/>
        <v>0</v>
      </c>
    </row>
    <row r="26" spans="1:13">
      <c r="A26" s="79">
        <f>A23+1</f>
        <v>14</v>
      </c>
      <c r="B26" s="802" t="s">
        <v>194</v>
      </c>
      <c r="C26" s="888" t="e">
        <f>SUM('общ.сводрайон без курсовой '!C26)</f>
        <v>#REF!</v>
      </c>
      <c r="D26" s="888" t="e">
        <f>SUM('общ.сводрайон без курсовой '!D26)+G26</f>
        <v>#REF!</v>
      </c>
      <c r="E26" s="888" t="e">
        <f>SUM('общ.сводрайон без курсовой '!E26)+H26</f>
        <v>#REF!</v>
      </c>
      <c r="F26" s="889" t="e">
        <f t="shared" ref="F26:F33" si="7">SUM(C26+D26-E26)</f>
        <v>#REF!</v>
      </c>
      <c r="G26" s="888" t="e">
        <f>SUM('общ.сводрайон без курсовой '!G26)</f>
        <v>#REF!</v>
      </c>
      <c r="H26" s="906" t="e">
        <f>SUM('общ.сводрайон без курсовой '!H26)</f>
        <v>#REF!</v>
      </c>
      <c r="J26" s="8" t="e">
        <f>SUM(#REF!+#REF!+#REF!+#REF!)</f>
        <v>#REF!</v>
      </c>
      <c r="K26" s="8" t="e">
        <f t="shared" si="4"/>
        <v>#REF!</v>
      </c>
    </row>
    <row r="27" spans="1:13">
      <c r="A27" s="80">
        <f t="shared" si="5"/>
        <v>15</v>
      </c>
      <c r="B27" s="803" t="s">
        <v>195</v>
      </c>
      <c r="C27" s="890" t="e">
        <f>SUM('общ.сводрайон без курсовой '!C27)</f>
        <v>#REF!</v>
      </c>
      <c r="D27" s="888" t="e">
        <f>SUM('общ.сводрайон без курсовой '!D27)+G27</f>
        <v>#REF!</v>
      </c>
      <c r="E27" s="890" t="e">
        <f>SUM('общ.сводрайон без курсовой '!E27)+H27</f>
        <v>#REF!</v>
      </c>
      <c r="F27" s="891" t="e">
        <f t="shared" si="7"/>
        <v>#REF!</v>
      </c>
      <c r="G27" s="888" t="e">
        <f>SUM('общ.сводрайон без курсовой '!G27)</f>
        <v>#REF!</v>
      </c>
      <c r="H27" s="906" t="e">
        <f>SUM('общ.сводрайон без курсовой '!H27)</f>
        <v>#REF!</v>
      </c>
      <c r="J27" s="8" t="e">
        <f>SUM(#REF!+#REF!+#REF!+#REF!)</f>
        <v>#REF!</v>
      </c>
      <c r="K27" s="8" t="e">
        <f t="shared" si="4"/>
        <v>#REF!</v>
      </c>
    </row>
    <row r="28" spans="1:13">
      <c r="A28" s="80">
        <f t="shared" si="5"/>
        <v>16</v>
      </c>
      <c r="B28" s="803" t="s">
        <v>196</v>
      </c>
      <c r="C28" s="890" t="e">
        <f>SUM('общ.сводрайон без курсовой '!C28)</f>
        <v>#REF!</v>
      </c>
      <c r="D28" s="888" t="e">
        <f>SUM('общ.сводрайон без курсовой '!D28)+G28</f>
        <v>#REF!</v>
      </c>
      <c r="E28" s="890" t="e">
        <f>SUM('общ.сводрайон без курсовой '!E28)+H28</f>
        <v>#REF!</v>
      </c>
      <c r="F28" s="891" t="e">
        <f t="shared" si="7"/>
        <v>#REF!</v>
      </c>
      <c r="G28" s="888" t="e">
        <f>SUM('общ.сводрайон без курсовой '!G28)</f>
        <v>#REF!</v>
      </c>
      <c r="H28" s="906" t="e">
        <f>SUM('общ.сводрайон без курсовой '!H28)</f>
        <v>#REF!</v>
      </c>
      <c r="J28" s="8" t="e">
        <f>SUM(#REF!+#REF!+#REF!+#REF!)</f>
        <v>#REF!</v>
      </c>
      <c r="K28" s="8" t="e">
        <f t="shared" si="4"/>
        <v>#REF!</v>
      </c>
    </row>
    <row r="29" spans="1:13">
      <c r="A29" s="80">
        <f t="shared" si="5"/>
        <v>17</v>
      </c>
      <c r="B29" s="803" t="s">
        <v>212</v>
      </c>
      <c r="C29" s="890" t="e">
        <f>SUM('общ.сводрайон без курсовой '!C29)</f>
        <v>#REF!</v>
      </c>
      <c r="D29" s="888" t="e">
        <f>SUM('общ.сводрайон без курсовой '!D29)+G29</f>
        <v>#REF!</v>
      </c>
      <c r="E29" s="890" t="e">
        <f>SUM('общ.сводрайон без курсовой '!E29)+H29</f>
        <v>#REF!</v>
      </c>
      <c r="F29" s="891" t="e">
        <f t="shared" si="7"/>
        <v>#REF!</v>
      </c>
      <c r="G29" s="888" t="e">
        <f>SUM('общ.сводрайон без курсовой '!G29)</f>
        <v>#REF!</v>
      </c>
      <c r="H29" s="906" t="e">
        <f>SUM('общ.сводрайон без курсовой '!H29)</f>
        <v>#REF!</v>
      </c>
      <c r="J29" s="8" t="e">
        <f>SUM(#REF!+#REF!+#REF!+#REF!)</f>
        <v>#REF!</v>
      </c>
      <c r="K29" s="8" t="e">
        <f t="shared" si="4"/>
        <v>#REF!</v>
      </c>
    </row>
    <row r="30" spans="1:13">
      <c r="A30" s="80">
        <f t="shared" si="5"/>
        <v>18</v>
      </c>
      <c r="B30" s="803" t="s">
        <v>197</v>
      </c>
      <c r="C30" s="890" t="e">
        <f>SUM('общ.сводрайон без курсовой '!C30)</f>
        <v>#REF!</v>
      </c>
      <c r="D30" s="888" t="e">
        <f>SUM('общ.сводрайон без курсовой '!D30)+G30</f>
        <v>#REF!</v>
      </c>
      <c r="E30" s="890" t="e">
        <f>SUM('общ.сводрайон без курсовой '!E30)+H30</f>
        <v>#REF!</v>
      </c>
      <c r="F30" s="891" t="e">
        <f t="shared" si="7"/>
        <v>#REF!</v>
      </c>
      <c r="G30" s="888" t="e">
        <f>SUM('общ.сводрайон без курсовой '!G30)</f>
        <v>#REF!</v>
      </c>
      <c r="H30" s="906" t="e">
        <f>SUM('общ.сводрайон без курсовой '!H30)</f>
        <v>#REF!</v>
      </c>
      <c r="J30" s="8" t="e">
        <f>SUM(#REF!+#REF!+#REF!+#REF!)</f>
        <v>#REF!</v>
      </c>
      <c r="K30" s="8" t="e">
        <f t="shared" si="4"/>
        <v>#REF!</v>
      </c>
    </row>
    <row r="31" spans="1:13">
      <c r="A31" s="80">
        <f t="shared" si="5"/>
        <v>19</v>
      </c>
      <c r="B31" s="803" t="s">
        <v>60</v>
      </c>
      <c r="C31" s="890" t="e">
        <f>SUM('общ.сводрайон без курсовой '!C31)</f>
        <v>#REF!</v>
      </c>
      <c r="D31" s="888" t="e">
        <f>SUM('общ.сводрайон без курсовой '!D31)+G31</f>
        <v>#REF!</v>
      </c>
      <c r="E31" s="890" t="e">
        <f>SUM('общ.сводрайон без курсовой '!E31)+H31</f>
        <v>#REF!</v>
      </c>
      <c r="F31" s="891" t="e">
        <f t="shared" si="7"/>
        <v>#REF!</v>
      </c>
      <c r="G31" s="888" t="e">
        <f>SUM('общ.сводрайон без курсовой '!G31)</f>
        <v>#REF!</v>
      </c>
      <c r="H31" s="906" t="e">
        <f>SUM('общ.сводрайон без курсовой '!H31)</f>
        <v>#REF!</v>
      </c>
      <c r="J31" s="8" t="e">
        <f>SUM(#REF!+#REF!+#REF!+#REF!)</f>
        <v>#REF!</v>
      </c>
      <c r="K31" s="8" t="e">
        <f t="shared" si="4"/>
        <v>#REF!</v>
      </c>
    </row>
    <row r="32" spans="1:13">
      <c r="A32" s="80">
        <f t="shared" si="5"/>
        <v>20</v>
      </c>
      <c r="B32" s="803" t="s">
        <v>198</v>
      </c>
      <c r="C32" s="890" t="e">
        <f>SUM('общ.сводрайон без курсовой '!C32)</f>
        <v>#REF!</v>
      </c>
      <c r="D32" s="888" t="e">
        <f>SUM('общ.сводрайон без курсовой '!D32)+G32</f>
        <v>#REF!</v>
      </c>
      <c r="E32" s="890" t="e">
        <f>SUM('общ.сводрайон без курсовой '!E32)+H32</f>
        <v>#REF!</v>
      </c>
      <c r="F32" s="891" t="e">
        <f t="shared" si="7"/>
        <v>#REF!</v>
      </c>
      <c r="G32" s="888" t="e">
        <f>SUM('общ.сводрайон без курсовой '!G32)</f>
        <v>#REF!</v>
      </c>
      <c r="H32" s="906" t="e">
        <f>SUM('общ.сводрайон без курсовой '!H32)</f>
        <v>#REF!</v>
      </c>
      <c r="J32" s="8" t="e">
        <f>SUM(#REF!+#REF!+#REF!+#REF!)</f>
        <v>#REF!</v>
      </c>
      <c r="K32" s="8" t="e">
        <f t="shared" si="4"/>
        <v>#REF!</v>
      </c>
    </row>
    <row r="33" spans="1:12">
      <c r="A33" s="80">
        <f t="shared" si="5"/>
        <v>21</v>
      </c>
      <c r="B33" s="803" t="s">
        <v>213</v>
      </c>
      <c r="C33" s="890" t="e">
        <f>SUM('общ.сводрайон без курсовой '!C33)</f>
        <v>#REF!</v>
      </c>
      <c r="D33" s="888" t="e">
        <f>SUM('общ.сводрайон без курсовой '!D33)+G33</f>
        <v>#REF!</v>
      </c>
      <c r="E33" s="890" t="e">
        <f>SUM('общ.сводрайон без курсовой '!E33)+H33</f>
        <v>#REF!</v>
      </c>
      <c r="F33" s="891" t="e">
        <f t="shared" si="7"/>
        <v>#REF!</v>
      </c>
      <c r="G33" s="888" t="e">
        <f>SUM('общ.сводрайон без курсовой '!G33)</f>
        <v>#REF!</v>
      </c>
      <c r="H33" s="906" t="e">
        <f>SUM('общ.сводрайон без курсовой '!H33)</f>
        <v>#REF!</v>
      </c>
      <c r="J33" s="8" t="e">
        <f>SUM(#REF!+#REF!+#REF!+#REF!)</f>
        <v>#REF!</v>
      </c>
      <c r="K33" s="8" t="e">
        <f t="shared" si="4"/>
        <v>#REF!</v>
      </c>
    </row>
    <row r="34" spans="1:12" ht="25.5" customHeight="1">
      <c r="A34" s="1147" t="s">
        <v>268</v>
      </c>
      <c r="B34" s="1148"/>
      <c r="C34" s="894" t="e">
        <f t="shared" ref="C34:H34" si="8">SUM(C26:C33)</f>
        <v>#REF!</v>
      </c>
      <c r="D34" s="894" t="e">
        <f t="shared" si="8"/>
        <v>#REF!</v>
      </c>
      <c r="E34" s="894" t="e">
        <f t="shared" si="8"/>
        <v>#REF!</v>
      </c>
      <c r="F34" s="895" t="e">
        <f t="shared" si="8"/>
        <v>#REF!</v>
      </c>
      <c r="G34" s="909" t="e">
        <f t="shared" si="8"/>
        <v>#REF!</v>
      </c>
      <c r="H34" s="910" t="e">
        <f t="shared" si="8"/>
        <v>#REF!</v>
      </c>
      <c r="I34" s="365" t="e">
        <f>SUM(C34-'общ.сводрайон без курсовой '!C34)</f>
        <v>#REF!</v>
      </c>
      <c r="J34" s="8" t="e">
        <f>SUM(#REF!+#REF!+#REF!+#REF!)</f>
        <v>#REF!</v>
      </c>
      <c r="K34" s="8" t="e">
        <f t="shared" si="4"/>
        <v>#REF!</v>
      </c>
      <c r="L34" s="365" t="e">
        <f>SUM(F34-'общ.сводрайон без курсовой '!F34)</f>
        <v>#REF!</v>
      </c>
    </row>
    <row r="35" spans="1:12">
      <c r="A35" s="1157" t="s">
        <v>72</v>
      </c>
      <c r="B35" s="1158"/>
      <c r="C35" s="1158"/>
      <c r="D35" s="1158"/>
      <c r="E35" s="1158"/>
      <c r="F35" s="1159"/>
    </row>
    <row r="36" spans="1:12">
      <c r="A36" s="79">
        <v>22</v>
      </c>
      <c r="B36" s="802" t="s">
        <v>444</v>
      </c>
      <c r="C36" s="888" t="e">
        <f>SUM('общ.сводрайон без курсовой '!C36)</f>
        <v>#REF!</v>
      </c>
      <c r="D36" s="888" t="e">
        <f>SUM('общ.сводрайон без курсовой '!D36)+G36</f>
        <v>#REF!</v>
      </c>
      <c r="E36" s="888" t="e">
        <f>SUM('общ.сводрайон без курсовой '!E36)+H36</f>
        <v>#REF!</v>
      </c>
      <c r="F36" s="889" t="e">
        <f t="shared" ref="F36:F60" si="9">SUM(C36+D36-E36)</f>
        <v>#REF!</v>
      </c>
      <c r="G36" s="888" t="e">
        <f>SUM('общ.сводрайон без курсовой '!G36)</f>
        <v>#REF!</v>
      </c>
      <c r="H36" s="906" t="e">
        <f>SUM('общ.сводрайон без курсовой '!H36)</f>
        <v>#REF!</v>
      </c>
      <c r="J36" s="8" t="e">
        <f>SUM(#REF!+#REF!+#REF!+#REF!)</f>
        <v>#REF!</v>
      </c>
      <c r="K36" s="8" t="e">
        <f t="shared" ref="K36:K46" si="10">SUM(J36-D36)</f>
        <v>#REF!</v>
      </c>
    </row>
    <row r="37" spans="1:12">
      <c r="A37" s="80">
        <f t="shared" ref="A37:A60" si="11">A36+1</f>
        <v>23</v>
      </c>
      <c r="B37" s="803" t="s">
        <v>172</v>
      </c>
      <c r="C37" s="890" t="e">
        <f>SUM('общ.сводрайон без курсовой '!C37)</f>
        <v>#REF!</v>
      </c>
      <c r="D37" s="888" t="e">
        <f>SUM('общ.сводрайон без курсовой '!D37)+G37</f>
        <v>#REF!</v>
      </c>
      <c r="E37" s="890" t="e">
        <f>SUM('общ.сводрайон без курсовой '!E37)+H37</f>
        <v>#REF!</v>
      </c>
      <c r="F37" s="891" t="e">
        <f t="shared" si="9"/>
        <v>#REF!</v>
      </c>
      <c r="G37" s="888" t="e">
        <f>SUM('общ.сводрайон без курсовой '!G37)</f>
        <v>#REF!</v>
      </c>
      <c r="H37" s="906" t="e">
        <f>SUM('общ.сводрайон без курсовой '!H37)</f>
        <v>#REF!</v>
      </c>
      <c r="J37" s="8" t="e">
        <f>SUM(#REF!+#REF!+#REF!+#REF!)</f>
        <v>#REF!</v>
      </c>
      <c r="K37" s="8" t="e">
        <f t="shared" si="10"/>
        <v>#REF!</v>
      </c>
    </row>
    <row r="38" spans="1:12">
      <c r="A38" s="80">
        <f t="shared" si="11"/>
        <v>24</v>
      </c>
      <c r="B38" s="803" t="s">
        <v>463</v>
      </c>
      <c r="C38" s="890" t="e">
        <f>SUM('общ.сводрайон без курсовой '!C38)</f>
        <v>#REF!</v>
      </c>
      <c r="D38" s="888" t="e">
        <f>SUM('общ.сводрайон без курсовой '!D38)+G38</f>
        <v>#REF!</v>
      </c>
      <c r="E38" s="890" t="e">
        <f>SUM('общ.сводрайон без курсовой '!E38)+H38</f>
        <v>#REF!</v>
      </c>
      <c r="F38" s="891" t="e">
        <f t="shared" si="9"/>
        <v>#REF!</v>
      </c>
      <c r="G38" s="888" t="e">
        <f>SUM('общ.сводрайон без курсовой '!G38)</f>
        <v>#REF!</v>
      </c>
      <c r="H38" s="906" t="e">
        <f>SUM('общ.сводрайон без курсовой '!H38)</f>
        <v>#REF!</v>
      </c>
      <c r="J38" s="8" t="e">
        <f>SUM(#REF!+#REF!+#REF!+#REF!)</f>
        <v>#REF!</v>
      </c>
      <c r="K38" s="8" t="e">
        <f t="shared" si="10"/>
        <v>#REF!</v>
      </c>
    </row>
    <row r="39" spans="1:12">
      <c r="A39" s="80">
        <f t="shared" si="11"/>
        <v>25</v>
      </c>
      <c r="B39" s="803" t="s">
        <v>173</v>
      </c>
      <c r="C39" s="890" t="e">
        <f>SUM('общ.сводрайон без курсовой '!C39)</f>
        <v>#REF!</v>
      </c>
      <c r="D39" s="888" t="e">
        <f>SUM('общ.сводрайон без курсовой '!D39)+G39</f>
        <v>#REF!</v>
      </c>
      <c r="E39" s="890" t="e">
        <f>SUM('общ.сводрайон без курсовой '!E39)+H39</f>
        <v>#REF!</v>
      </c>
      <c r="F39" s="891" t="e">
        <f t="shared" si="9"/>
        <v>#REF!</v>
      </c>
      <c r="G39" s="888" t="e">
        <f>SUM('общ.сводрайон без курсовой '!G39)</f>
        <v>#REF!</v>
      </c>
      <c r="H39" s="906" t="e">
        <f>SUM('общ.сводрайон без курсовой '!H39)</f>
        <v>#REF!</v>
      </c>
      <c r="J39" s="8" t="e">
        <f>SUM(#REF!+#REF!+#REF!+#REF!)</f>
        <v>#REF!</v>
      </c>
      <c r="K39" s="8" t="e">
        <f t="shared" si="10"/>
        <v>#REF!</v>
      </c>
    </row>
    <row r="40" spans="1:12">
      <c r="A40" s="80">
        <f t="shared" si="11"/>
        <v>26</v>
      </c>
      <c r="B40" s="803" t="s">
        <v>174</v>
      </c>
      <c r="C40" s="890" t="e">
        <f>SUM('общ.сводрайон без курсовой '!C40)</f>
        <v>#REF!</v>
      </c>
      <c r="D40" s="888" t="e">
        <f>SUM('общ.сводрайон без курсовой '!D40)+G40</f>
        <v>#REF!</v>
      </c>
      <c r="E40" s="890" t="e">
        <f>SUM('общ.сводрайон без курсовой '!E40)+H40</f>
        <v>#REF!</v>
      </c>
      <c r="F40" s="891" t="e">
        <f t="shared" si="9"/>
        <v>#REF!</v>
      </c>
      <c r="G40" s="888" t="e">
        <f>SUM('общ.сводрайон без курсовой '!G40)</f>
        <v>#REF!</v>
      </c>
      <c r="H40" s="906" t="e">
        <f>SUM('общ.сводрайон без курсовой '!H40)</f>
        <v>#REF!</v>
      </c>
      <c r="J40" s="8" t="e">
        <f>SUM(#REF!+#REF!+#REF!+#REF!)</f>
        <v>#REF!</v>
      </c>
      <c r="K40" s="8" t="e">
        <f t="shared" si="10"/>
        <v>#REF!</v>
      </c>
    </row>
    <row r="41" spans="1:12">
      <c r="A41" s="80">
        <f t="shared" si="11"/>
        <v>27</v>
      </c>
      <c r="B41" s="803" t="s">
        <v>446</v>
      </c>
      <c r="C41" s="890" t="e">
        <f>SUM('общ.сводрайон без курсовой '!C41)</f>
        <v>#REF!</v>
      </c>
      <c r="D41" s="888" t="e">
        <f>SUM('общ.сводрайон без курсовой '!D41)+G41</f>
        <v>#REF!</v>
      </c>
      <c r="E41" s="890" t="e">
        <f>SUM('общ.сводрайон без курсовой '!E41)+H41</f>
        <v>#REF!</v>
      </c>
      <c r="F41" s="891" t="e">
        <f t="shared" si="9"/>
        <v>#REF!</v>
      </c>
      <c r="G41" s="888" t="e">
        <f>SUM('общ.сводрайон без курсовой '!G41)</f>
        <v>#REF!</v>
      </c>
      <c r="H41" s="906" t="e">
        <f>SUM('общ.сводрайон без курсовой '!H41)</f>
        <v>#REF!</v>
      </c>
      <c r="J41" s="8" t="e">
        <f>SUM(#REF!+#REF!+#REF!+#REF!)</f>
        <v>#REF!</v>
      </c>
      <c r="K41" s="8" t="e">
        <f t="shared" si="10"/>
        <v>#REF!</v>
      </c>
    </row>
    <row r="42" spans="1:12">
      <c r="A42" s="80">
        <f t="shared" si="11"/>
        <v>28</v>
      </c>
      <c r="B42" s="803" t="s">
        <v>142</v>
      </c>
      <c r="C42" s="890" t="e">
        <f>SUM('общ.сводрайон без курсовой '!C42)</f>
        <v>#REF!</v>
      </c>
      <c r="D42" s="888" t="e">
        <f>SUM('общ.сводрайон без курсовой '!D42)+G42</f>
        <v>#REF!</v>
      </c>
      <c r="E42" s="890" t="e">
        <f>SUM('общ.сводрайон без курсовой '!E42)+H42</f>
        <v>#REF!</v>
      </c>
      <c r="F42" s="891" t="e">
        <f t="shared" si="9"/>
        <v>#REF!</v>
      </c>
      <c r="G42" s="888" t="e">
        <f>SUM('общ.сводрайон без курсовой '!G42)</f>
        <v>#REF!</v>
      </c>
      <c r="H42" s="906" t="e">
        <f>SUM('общ.сводрайон без курсовой '!H42)</f>
        <v>#REF!</v>
      </c>
      <c r="J42" s="8" t="e">
        <f>SUM(#REF!+#REF!+#REF!+#REF!)</f>
        <v>#REF!</v>
      </c>
      <c r="K42" s="8" t="e">
        <f t="shared" si="10"/>
        <v>#REF!</v>
      </c>
    </row>
    <row r="43" spans="1:12">
      <c r="A43" s="80">
        <f t="shared" si="11"/>
        <v>29</v>
      </c>
      <c r="B43" s="803" t="s">
        <v>175</v>
      </c>
      <c r="C43" s="890" t="e">
        <f>SUM('общ.сводрайон без курсовой '!C43)</f>
        <v>#REF!</v>
      </c>
      <c r="D43" s="888" t="e">
        <f>SUM('общ.сводрайон без курсовой '!D43)+G43</f>
        <v>#REF!</v>
      </c>
      <c r="E43" s="890" t="e">
        <f>SUM('общ.сводрайон без курсовой '!E43)+H43</f>
        <v>#REF!</v>
      </c>
      <c r="F43" s="891" t="e">
        <f t="shared" si="9"/>
        <v>#REF!</v>
      </c>
      <c r="G43" s="888" t="e">
        <f>SUM('общ.сводрайон без курсовой '!G43)</f>
        <v>#REF!</v>
      </c>
      <c r="H43" s="906" t="e">
        <f>SUM('общ.сводрайон без курсовой '!H43)</f>
        <v>#REF!</v>
      </c>
      <c r="J43" s="8" t="e">
        <f>SUM(#REF!+#REF!+#REF!+#REF!)</f>
        <v>#REF!</v>
      </c>
      <c r="K43" s="8" t="e">
        <f t="shared" si="10"/>
        <v>#REF!</v>
      </c>
    </row>
    <row r="44" spans="1:12">
      <c r="A44" s="80">
        <f t="shared" si="11"/>
        <v>30</v>
      </c>
      <c r="B44" s="803" t="s">
        <v>176</v>
      </c>
      <c r="C44" s="890" t="e">
        <f>SUM('общ.сводрайон без курсовой '!C44)</f>
        <v>#REF!</v>
      </c>
      <c r="D44" s="888" t="e">
        <f>SUM('общ.сводрайон без курсовой '!D44)+G44</f>
        <v>#REF!</v>
      </c>
      <c r="E44" s="890" t="e">
        <f>SUM('общ.сводрайон без курсовой '!E44)+H44</f>
        <v>#REF!</v>
      </c>
      <c r="F44" s="891" t="e">
        <f t="shared" si="9"/>
        <v>#REF!</v>
      </c>
      <c r="G44" s="888" t="e">
        <f>SUM('общ.сводрайон без курсовой '!G44)</f>
        <v>#REF!</v>
      </c>
      <c r="H44" s="906" t="e">
        <f>SUM('общ.сводрайон без курсовой '!H44)</f>
        <v>#REF!</v>
      </c>
      <c r="J44" s="8" t="e">
        <f>SUM(#REF!+#REF!+#REF!+#REF!)</f>
        <v>#REF!</v>
      </c>
      <c r="K44" s="8" t="e">
        <f t="shared" si="10"/>
        <v>#REF!</v>
      </c>
    </row>
    <row r="45" spans="1:12">
      <c r="A45" s="80">
        <f t="shared" si="11"/>
        <v>31</v>
      </c>
      <c r="B45" s="803" t="s">
        <v>177</v>
      </c>
      <c r="C45" s="890" t="e">
        <f>SUM('общ.сводрайон без курсовой '!C45)</f>
        <v>#REF!</v>
      </c>
      <c r="D45" s="888" t="e">
        <f>SUM('общ.сводрайон без курсовой '!D45)+G45</f>
        <v>#REF!</v>
      </c>
      <c r="E45" s="890" t="e">
        <f>SUM('общ.сводрайон без курсовой '!E45)+H45</f>
        <v>#REF!</v>
      </c>
      <c r="F45" s="891" t="e">
        <f t="shared" si="9"/>
        <v>#REF!</v>
      </c>
      <c r="G45" s="888" t="e">
        <f>SUM('общ.сводрайон без курсовой '!G45)</f>
        <v>#REF!</v>
      </c>
      <c r="H45" s="906" t="e">
        <f>SUM('общ.сводрайон без курсовой '!H45)</f>
        <v>#REF!</v>
      </c>
      <c r="J45" s="8" t="e">
        <f>SUM(#REF!+#REF!+#REF!+#REF!)</f>
        <v>#REF!</v>
      </c>
      <c r="K45" s="8" t="e">
        <f t="shared" si="10"/>
        <v>#REF!</v>
      </c>
    </row>
    <row r="46" spans="1:12">
      <c r="A46" s="80">
        <f t="shared" si="11"/>
        <v>32</v>
      </c>
      <c r="B46" s="803" t="s">
        <v>178</v>
      </c>
      <c r="C46" s="890" t="e">
        <f>SUM('общ.сводрайон без курсовой '!C46)</f>
        <v>#REF!</v>
      </c>
      <c r="D46" s="888" t="e">
        <f>SUM('общ.сводрайон без курсовой '!D46)+G46</f>
        <v>#REF!</v>
      </c>
      <c r="E46" s="890" t="e">
        <f>SUM('общ.сводрайон без курсовой '!E46)+H46</f>
        <v>#REF!</v>
      </c>
      <c r="F46" s="891" t="e">
        <f t="shared" si="9"/>
        <v>#REF!</v>
      </c>
      <c r="G46" s="888" t="e">
        <f>SUM('общ.сводрайон без курсовой '!G46)</f>
        <v>#REF!</v>
      </c>
      <c r="H46" s="906" t="e">
        <f>SUM('общ.сводрайон без курсовой '!H46)</f>
        <v>#REF!</v>
      </c>
      <c r="J46" s="8" t="e">
        <f>SUM(#REF!+#REF!+#REF!+#REF!)</f>
        <v>#REF!</v>
      </c>
      <c r="K46" s="8" t="e">
        <f t="shared" si="10"/>
        <v>#REF!</v>
      </c>
    </row>
    <row r="47" spans="1:12">
      <c r="A47" s="80">
        <f t="shared" si="11"/>
        <v>33</v>
      </c>
      <c r="B47" s="803" t="s">
        <v>179</v>
      </c>
      <c r="C47" s="890" t="e">
        <f>SUM('общ.сводрайон без курсовой '!C47)</f>
        <v>#REF!</v>
      </c>
      <c r="D47" s="888" t="e">
        <f>SUM('общ.сводрайон без курсовой '!D47)+G47</f>
        <v>#REF!</v>
      </c>
      <c r="E47" s="890" t="e">
        <f>SUM('общ.сводрайон без курсовой '!E47)+H47</f>
        <v>#REF!</v>
      </c>
      <c r="F47" s="891" t="e">
        <f t="shared" si="9"/>
        <v>#REF!</v>
      </c>
      <c r="G47" s="888" t="e">
        <f>SUM('общ.сводрайон без курсовой '!G47)</f>
        <v>#REF!</v>
      </c>
      <c r="H47" s="906" t="e">
        <f>SUM('общ.сводрайон без курсовой '!H47)</f>
        <v>#REF!</v>
      </c>
      <c r="J47" s="8" t="e">
        <f>SUM(#REF!+#REF!+#REF!+#REF!)</f>
        <v>#REF!</v>
      </c>
    </row>
    <row r="48" spans="1:12">
      <c r="A48" s="80">
        <f t="shared" si="11"/>
        <v>34</v>
      </c>
      <c r="B48" s="803" t="s">
        <v>447</v>
      </c>
      <c r="C48" s="890" t="e">
        <f>SUM('общ.сводрайон без курсовой '!C48)</f>
        <v>#REF!</v>
      </c>
      <c r="D48" s="888" t="e">
        <f>SUM('общ.сводрайон без курсовой '!D48)+G48</f>
        <v>#REF!</v>
      </c>
      <c r="E48" s="890" t="e">
        <f>SUM('общ.сводрайон без курсовой '!E48)+H48</f>
        <v>#REF!</v>
      </c>
      <c r="F48" s="891" t="e">
        <f t="shared" si="9"/>
        <v>#REF!</v>
      </c>
      <c r="G48" s="888" t="e">
        <f>SUM('общ.сводрайон без курсовой '!G48)</f>
        <v>#REF!</v>
      </c>
      <c r="H48" s="906" t="e">
        <f>SUM('общ.сводрайон без курсовой '!H48)</f>
        <v>#REF!</v>
      </c>
      <c r="J48" s="8" t="e">
        <f>SUM(#REF!+#REF!+#REF!+#REF!)</f>
        <v>#REF!</v>
      </c>
    </row>
    <row r="49" spans="1:12">
      <c r="A49" s="80">
        <f t="shared" si="11"/>
        <v>35</v>
      </c>
      <c r="B49" s="803" t="s">
        <v>436</v>
      </c>
      <c r="C49" s="890" t="e">
        <f>SUM('общ.сводрайон без курсовой '!C49)</f>
        <v>#REF!</v>
      </c>
      <c r="D49" s="888" t="e">
        <f>SUM('общ.сводрайон без курсовой '!D49)+G49</f>
        <v>#REF!</v>
      </c>
      <c r="E49" s="890" t="e">
        <f>SUM('общ.сводрайон без курсовой '!E49)+H49</f>
        <v>#REF!</v>
      </c>
      <c r="F49" s="891" t="e">
        <f t="shared" si="9"/>
        <v>#REF!</v>
      </c>
      <c r="G49" s="888" t="e">
        <f>SUM('общ.сводрайон без курсовой '!G49)</f>
        <v>#REF!</v>
      </c>
      <c r="H49" s="906" t="e">
        <f>SUM('общ.сводрайон без курсовой '!H49)</f>
        <v>#REF!</v>
      </c>
      <c r="J49" s="8" t="e">
        <f>SUM(#REF!+#REF!+#REF!+#REF!)</f>
        <v>#REF!</v>
      </c>
    </row>
    <row r="50" spans="1:12">
      <c r="A50" s="80">
        <f t="shared" si="11"/>
        <v>36</v>
      </c>
      <c r="B50" s="803" t="s">
        <v>209</v>
      </c>
      <c r="C50" s="890" t="e">
        <f>SUM('общ.сводрайон без курсовой '!C50)</f>
        <v>#REF!</v>
      </c>
      <c r="D50" s="888" t="e">
        <f>SUM('общ.сводрайон без курсовой '!D50)+G50</f>
        <v>#REF!</v>
      </c>
      <c r="E50" s="890" t="e">
        <f>SUM('общ.сводрайон без курсовой '!E50)+H50</f>
        <v>#REF!</v>
      </c>
      <c r="F50" s="891" t="e">
        <f t="shared" si="9"/>
        <v>#REF!</v>
      </c>
      <c r="G50" s="888" t="e">
        <f>SUM('общ.сводрайон без курсовой '!G50)</f>
        <v>#REF!</v>
      </c>
      <c r="H50" s="906" t="e">
        <f>SUM('общ.сводрайон без курсовой '!H50)</f>
        <v>#REF!</v>
      </c>
      <c r="J50" s="8" t="e">
        <f>SUM(#REF!+#REF!+#REF!+#REF!)</f>
        <v>#REF!</v>
      </c>
    </row>
    <row r="51" spans="1:12">
      <c r="A51" s="80">
        <f t="shared" si="11"/>
        <v>37</v>
      </c>
      <c r="B51" s="803" t="s">
        <v>182</v>
      </c>
      <c r="C51" s="890" t="e">
        <f>SUM('общ.сводрайон без курсовой '!C51)</f>
        <v>#REF!</v>
      </c>
      <c r="D51" s="888" t="e">
        <f>SUM('общ.сводрайон без курсовой '!D51)+G51</f>
        <v>#REF!</v>
      </c>
      <c r="E51" s="890" t="e">
        <f>SUM('общ.сводрайон без курсовой '!E51)+H51</f>
        <v>#REF!</v>
      </c>
      <c r="F51" s="891" t="e">
        <f t="shared" si="9"/>
        <v>#REF!</v>
      </c>
      <c r="G51" s="888" t="e">
        <f>SUM('общ.сводрайон без курсовой '!G51)</f>
        <v>#REF!</v>
      </c>
      <c r="H51" s="906" t="e">
        <f>SUM('общ.сводрайон без курсовой '!H51)</f>
        <v>#REF!</v>
      </c>
      <c r="J51" s="8" t="e">
        <f>SUM(#REF!+#REF!+#REF!+#REF!)</f>
        <v>#REF!</v>
      </c>
    </row>
    <row r="52" spans="1:12">
      <c r="A52" s="80">
        <f t="shared" si="11"/>
        <v>38</v>
      </c>
      <c r="B52" s="803" t="s">
        <v>183</v>
      </c>
      <c r="C52" s="890" t="e">
        <f>SUM('общ.сводрайон без курсовой '!C52)</f>
        <v>#REF!</v>
      </c>
      <c r="D52" s="888" t="e">
        <f>SUM('общ.сводрайон без курсовой '!D52)+G52</f>
        <v>#REF!</v>
      </c>
      <c r="E52" s="890" t="e">
        <f>SUM('общ.сводрайон без курсовой '!E52)+H52</f>
        <v>#REF!</v>
      </c>
      <c r="F52" s="891" t="e">
        <f t="shared" si="9"/>
        <v>#REF!</v>
      </c>
      <c r="G52" s="888" t="e">
        <f>SUM('общ.сводрайон без курсовой '!G52)</f>
        <v>#REF!</v>
      </c>
      <c r="H52" s="906" t="e">
        <f>SUM('общ.сводрайон без курсовой '!H52)</f>
        <v>#REF!</v>
      </c>
      <c r="J52" s="8" t="e">
        <f>SUM(#REF!+#REF!+#REF!+#REF!)</f>
        <v>#REF!</v>
      </c>
    </row>
    <row r="53" spans="1:12">
      <c r="A53" s="80">
        <f t="shared" si="11"/>
        <v>39</v>
      </c>
      <c r="B53" s="803" t="s">
        <v>184</v>
      </c>
      <c r="C53" s="890" t="e">
        <f>SUM('общ.сводрайон без курсовой '!C53)</f>
        <v>#REF!</v>
      </c>
      <c r="D53" s="888" t="e">
        <f>SUM('общ.сводрайон без курсовой '!D53)+G53</f>
        <v>#REF!</v>
      </c>
      <c r="E53" s="890" t="e">
        <f>SUM('общ.сводрайон без курсовой '!E53)+H53</f>
        <v>#REF!</v>
      </c>
      <c r="F53" s="891" t="e">
        <f t="shared" si="9"/>
        <v>#REF!</v>
      </c>
      <c r="G53" s="888" t="e">
        <f>SUM('общ.сводрайон без курсовой '!G53)</f>
        <v>#REF!</v>
      </c>
      <c r="H53" s="906" t="e">
        <f>SUM('общ.сводрайон без курсовой '!H53)</f>
        <v>#REF!</v>
      </c>
      <c r="J53" s="8" t="e">
        <f>SUM(#REF!+#REF!+#REF!+#REF!)</f>
        <v>#REF!</v>
      </c>
    </row>
    <row r="54" spans="1:12">
      <c r="A54" s="80">
        <f t="shared" si="11"/>
        <v>40</v>
      </c>
      <c r="B54" s="803" t="s">
        <v>185</v>
      </c>
      <c r="C54" s="890" t="e">
        <f>SUM('общ.сводрайон без курсовой '!C54)</f>
        <v>#REF!</v>
      </c>
      <c r="D54" s="888" t="e">
        <f>SUM('общ.сводрайон без курсовой '!D54)+G54</f>
        <v>#REF!</v>
      </c>
      <c r="E54" s="890" t="e">
        <f>SUM('общ.сводрайон без курсовой '!E54)+H54</f>
        <v>#REF!</v>
      </c>
      <c r="F54" s="891" t="e">
        <f t="shared" si="9"/>
        <v>#REF!</v>
      </c>
      <c r="G54" s="888" t="e">
        <f>SUM('общ.сводрайон без курсовой '!G54)</f>
        <v>#REF!</v>
      </c>
      <c r="H54" s="906" t="e">
        <f>SUM('общ.сводрайон без курсовой '!H54)</f>
        <v>#REF!</v>
      </c>
      <c r="J54" s="8" t="e">
        <f>SUM(#REF!+#REF!+#REF!+#REF!)</f>
        <v>#REF!</v>
      </c>
    </row>
    <row r="55" spans="1:12">
      <c r="A55" s="80">
        <f t="shared" si="11"/>
        <v>41</v>
      </c>
      <c r="B55" s="803" t="s">
        <v>186</v>
      </c>
      <c r="C55" s="890" t="e">
        <f>SUM('общ.сводрайон без курсовой '!C55)</f>
        <v>#REF!</v>
      </c>
      <c r="D55" s="888" t="e">
        <f>SUM('общ.сводрайон без курсовой '!D55)+G55</f>
        <v>#REF!</v>
      </c>
      <c r="E55" s="890" t="e">
        <f>SUM('общ.сводрайон без курсовой '!E55)+H55</f>
        <v>#REF!</v>
      </c>
      <c r="F55" s="891" t="e">
        <f t="shared" si="9"/>
        <v>#REF!</v>
      </c>
      <c r="G55" s="888" t="e">
        <f>SUM('общ.сводрайон без курсовой '!G55)</f>
        <v>#REF!</v>
      </c>
      <c r="H55" s="906" t="e">
        <f>SUM('общ.сводрайон без курсовой '!H55)</f>
        <v>#REF!</v>
      </c>
      <c r="J55" s="8" t="e">
        <f>SUM(#REF!+#REF!+#REF!+#REF!)</f>
        <v>#REF!</v>
      </c>
    </row>
    <row r="56" spans="1:12">
      <c r="A56" s="80">
        <f t="shared" si="11"/>
        <v>42</v>
      </c>
      <c r="B56" s="803" t="s">
        <v>187</v>
      </c>
      <c r="C56" s="890" t="e">
        <f>SUM('общ.сводрайон без курсовой '!C56)</f>
        <v>#REF!</v>
      </c>
      <c r="D56" s="888" t="e">
        <f>SUM('общ.сводрайон без курсовой '!D56)+G56</f>
        <v>#REF!</v>
      </c>
      <c r="E56" s="890" t="e">
        <f>SUM('общ.сводрайон без курсовой '!E56)+H56</f>
        <v>#REF!</v>
      </c>
      <c r="F56" s="891" t="e">
        <f t="shared" si="9"/>
        <v>#REF!</v>
      </c>
      <c r="G56" s="888" t="e">
        <f>SUM('общ.сводрайон без курсовой '!G56)</f>
        <v>#REF!</v>
      </c>
      <c r="H56" s="906" t="e">
        <f>SUM('общ.сводрайон без курсовой '!H56)</f>
        <v>#REF!</v>
      </c>
      <c r="J56" s="8" t="e">
        <f>SUM(#REF!+#REF!+#REF!+#REF!)</f>
        <v>#REF!</v>
      </c>
    </row>
    <row r="57" spans="1:12">
      <c r="A57" s="80">
        <f t="shared" si="11"/>
        <v>43</v>
      </c>
      <c r="B57" s="803" t="s">
        <v>188</v>
      </c>
      <c r="C57" s="890" t="e">
        <f>SUM('общ.сводрайон без курсовой '!C57)</f>
        <v>#REF!</v>
      </c>
      <c r="D57" s="888" t="e">
        <f>SUM('общ.сводрайон без курсовой '!D57)+G57</f>
        <v>#REF!</v>
      </c>
      <c r="E57" s="890" t="e">
        <f>SUM('общ.сводрайон без курсовой '!E57)+H57</f>
        <v>#REF!</v>
      </c>
      <c r="F57" s="891" t="e">
        <f t="shared" si="9"/>
        <v>#REF!</v>
      </c>
      <c r="G57" s="888" t="e">
        <f>SUM('общ.сводрайон без курсовой '!G57)</f>
        <v>#REF!</v>
      </c>
      <c r="H57" s="906" t="e">
        <f>SUM('общ.сводрайон без курсовой '!H57)</f>
        <v>#REF!</v>
      </c>
      <c r="J57" s="8" t="e">
        <f>SUM(#REF!+#REF!+#REF!+#REF!)</f>
        <v>#REF!</v>
      </c>
    </row>
    <row r="58" spans="1:12">
      <c r="A58" s="80">
        <f t="shared" si="11"/>
        <v>44</v>
      </c>
      <c r="B58" s="803" t="s">
        <v>189</v>
      </c>
      <c r="C58" s="890" t="e">
        <f>SUM('общ.сводрайон без курсовой '!C58)</f>
        <v>#REF!</v>
      </c>
      <c r="D58" s="888" t="e">
        <f>SUM('общ.сводрайон без курсовой '!D58)+G58</f>
        <v>#REF!</v>
      </c>
      <c r="E58" s="890" t="e">
        <f>SUM('общ.сводрайон без курсовой '!E58)+H58</f>
        <v>#REF!</v>
      </c>
      <c r="F58" s="891" t="e">
        <f t="shared" si="9"/>
        <v>#REF!</v>
      </c>
      <c r="G58" s="888" t="e">
        <f>SUM('общ.сводрайон без курсовой '!G58)</f>
        <v>#REF!</v>
      </c>
      <c r="H58" s="906" t="e">
        <f>SUM('общ.сводрайон без курсовой '!H58)</f>
        <v>#REF!</v>
      </c>
      <c r="J58" s="8" t="e">
        <f>SUM(#REF!+#REF!+#REF!+#REF!)</f>
        <v>#REF!</v>
      </c>
    </row>
    <row r="59" spans="1:12">
      <c r="A59" s="80">
        <f t="shared" si="11"/>
        <v>45</v>
      </c>
      <c r="B59" s="803" t="s">
        <v>448</v>
      </c>
      <c r="C59" s="890" t="e">
        <f>SUM('общ.сводрайон без курсовой '!C59)</f>
        <v>#REF!</v>
      </c>
      <c r="D59" s="888" t="e">
        <f>SUM('общ.сводрайон без курсовой '!D59)+G59</f>
        <v>#REF!</v>
      </c>
      <c r="E59" s="890" t="e">
        <f>SUM('общ.сводрайон без курсовой '!E59)+H59</f>
        <v>#REF!</v>
      </c>
      <c r="F59" s="891" t="e">
        <f t="shared" si="9"/>
        <v>#REF!</v>
      </c>
      <c r="G59" s="888" t="e">
        <f>SUM('общ.сводрайон без курсовой '!G59)</f>
        <v>#REF!</v>
      </c>
      <c r="H59" s="906" t="e">
        <f>SUM('общ.сводрайон без курсовой '!H59)</f>
        <v>#REF!</v>
      </c>
      <c r="J59" s="8" t="e">
        <f>SUM(#REF!+#REF!+#REF!+#REF!)</f>
        <v>#REF!</v>
      </c>
    </row>
    <row r="60" spans="1:12">
      <c r="A60" s="80">
        <f t="shared" si="11"/>
        <v>46</v>
      </c>
      <c r="B60" s="803" t="s">
        <v>464</v>
      </c>
      <c r="C60" s="890" t="e">
        <f>SUM('общ.сводрайон без курсовой '!C60)</f>
        <v>#REF!</v>
      </c>
      <c r="D60" s="888" t="e">
        <f>SUM('общ.сводрайон без курсовой '!D60)+G60</f>
        <v>#REF!</v>
      </c>
      <c r="E60" s="890" t="e">
        <f>SUM('общ.сводрайон без курсовой '!E60)+H60</f>
        <v>#REF!</v>
      </c>
      <c r="F60" s="891" t="e">
        <f t="shared" si="9"/>
        <v>#REF!</v>
      </c>
      <c r="G60" s="888" t="e">
        <f>SUM('общ.сводрайон без курсовой '!G60)</f>
        <v>#REF!</v>
      </c>
      <c r="H60" s="906" t="e">
        <f>SUM('общ.сводрайон без курсовой '!H60)</f>
        <v>#REF!</v>
      </c>
      <c r="J60" s="8" t="e">
        <f>SUM(#REF!+#REF!+#REF!+#REF!)</f>
        <v>#REF!</v>
      </c>
    </row>
    <row r="61" spans="1:12" ht="21" customHeight="1">
      <c r="A61" s="1152" t="s">
        <v>50</v>
      </c>
      <c r="B61" s="1148"/>
      <c r="C61" s="892" t="e">
        <f t="shared" ref="C61:H61" si="12">SUM(C36:C60)</f>
        <v>#REF!</v>
      </c>
      <c r="D61" s="892" t="e">
        <f t="shared" si="12"/>
        <v>#REF!</v>
      </c>
      <c r="E61" s="892" t="e">
        <f t="shared" si="12"/>
        <v>#REF!</v>
      </c>
      <c r="F61" s="892" t="e">
        <f t="shared" si="12"/>
        <v>#REF!</v>
      </c>
      <c r="G61" s="892" t="e">
        <f t="shared" si="12"/>
        <v>#REF!</v>
      </c>
      <c r="H61" s="892" t="e">
        <f t="shared" si="12"/>
        <v>#REF!</v>
      </c>
      <c r="I61" s="365" t="e">
        <f>SUM(C61-'общ.сводрайон без курсовой '!C61)</f>
        <v>#REF!</v>
      </c>
      <c r="J61" s="8" t="e">
        <f>SUM(#REF!+#REF!+#REF!+#REF!)</f>
        <v>#REF!</v>
      </c>
      <c r="K61" s="365" t="e">
        <f>SUM(E61-'общ.сводрайон без курсовой '!E61)</f>
        <v>#REF!</v>
      </c>
      <c r="L61" s="365" t="e">
        <f>SUM(F61-'общ.сводрайон без курсовой '!F61)</f>
        <v>#REF!</v>
      </c>
    </row>
    <row r="62" spans="1:12">
      <c r="A62" s="1157" t="s">
        <v>74</v>
      </c>
      <c r="B62" s="1158"/>
      <c r="C62" s="1158"/>
      <c r="D62" s="1158"/>
      <c r="E62" s="1158"/>
      <c r="F62" s="1159"/>
      <c r="J62" s="8" t="e">
        <f>SUM(#REF!+#REF!+#REF!+#REF!)</f>
        <v>#REF!</v>
      </c>
    </row>
    <row r="63" spans="1:12">
      <c r="A63" s="79">
        <v>47</v>
      </c>
      <c r="B63" s="804" t="s">
        <v>164</v>
      </c>
      <c r="C63" s="888" t="e">
        <f>SUM('общ.сводрайон без курсовой '!C63)</f>
        <v>#REF!</v>
      </c>
      <c r="D63" s="888" t="e">
        <f>SUM('общ.сводрайон без курсовой '!D63)+G63</f>
        <v>#REF!</v>
      </c>
      <c r="E63" s="888" t="e">
        <f>SUM('общ.сводрайон без курсовой '!E63)+H63</f>
        <v>#REF!</v>
      </c>
      <c r="F63" s="889" t="e">
        <f t="shared" ref="F63:F80" si="13">SUM(C63+D63-E63)</f>
        <v>#REF!</v>
      </c>
      <c r="G63" s="888" t="e">
        <f>SUM('общ.сводрайон без курсовой '!G63)</f>
        <v>#REF!</v>
      </c>
      <c r="H63" s="906" t="e">
        <f>SUM('общ.сводрайон без курсовой '!H63)</f>
        <v>#REF!</v>
      </c>
      <c r="J63" s="8" t="e">
        <f>SUM(#REF!+#REF!+#REF!+#REF!)</f>
        <v>#REF!</v>
      </c>
    </row>
    <row r="64" spans="1:12">
      <c r="A64" s="80">
        <f t="shared" ref="A64:A80" si="14">A63+1</f>
        <v>48</v>
      </c>
      <c r="B64" s="803" t="s">
        <v>111</v>
      </c>
      <c r="C64" s="890" t="e">
        <f>SUM('общ.сводрайон без курсовой '!C64)</f>
        <v>#REF!</v>
      </c>
      <c r="D64" s="888" t="e">
        <f>SUM('общ.сводрайон без курсовой '!D64)+G64</f>
        <v>#REF!</v>
      </c>
      <c r="E64" s="890" t="e">
        <f>SUM('общ.сводрайон без курсовой '!E64)+H64</f>
        <v>#REF!</v>
      </c>
      <c r="F64" s="891" t="e">
        <f t="shared" si="13"/>
        <v>#REF!</v>
      </c>
      <c r="G64" s="888" t="e">
        <f>SUM('общ.сводрайон без курсовой '!G64)</f>
        <v>#REF!</v>
      </c>
      <c r="H64" s="906" t="e">
        <f>SUM('общ.сводрайон без курсовой '!H64)</f>
        <v>#REF!</v>
      </c>
      <c r="J64" s="8" t="e">
        <f>SUM(#REF!+#REF!+#REF!+#REF!)</f>
        <v>#REF!</v>
      </c>
    </row>
    <row r="65" spans="1:10">
      <c r="A65" s="80">
        <f t="shared" si="14"/>
        <v>49</v>
      </c>
      <c r="B65" s="803" t="s">
        <v>112</v>
      </c>
      <c r="C65" s="890" t="e">
        <f>SUM('общ.сводрайон без курсовой '!C65)</f>
        <v>#REF!</v>
      </c>
      <c r="D65" s="888" t="e">
        <f>SUM('общ.сводрайон без курсовой '!D65)+G65</f>
        <v>#REF!</v>
      </c>
      <c r="E65" s="890" t="e">
        <f>SUM('общ.сводрайон без курсовой '!E65)+H65</f>
        <v>#REF!</v>
      </c>
      <c r="F65" s="891" t="e">
        <f t="shared" si="13"/>
        <v>#REF!</v>
      </c>
      <c r="G65" s="888" t="e">
        <f>SUM('общ.сводрайон без курсовой '!G65)</f>
        <v>#REF!</v>
      </c>
      <c r="H65" s="906" t="e">
        <f>SUM('общ.сводрайон без курсовой '!H65)</f>
        <v>#REF!</v>
      </c>
      <c r="J65" s="8" t="e">
        <f>SUM(#REF!+#REF!+#REF!+#REF!)</f>
        <v>#REF!</v>
      </c>
    </row>
    <row r="66" spans="1:10" ht="22.5">
      <c r="A66" s="80">
        <f t="shared" si="14"/>
        <v>50</v>
      </c>
      <c r="B66" s="805" t="s">
        <v>150</v>
      </c>
      <c r="C66" s="890" t="e">
        <f>SUM('общ.сводрайон без курсовой '!C66)</f>
        <v>#REF!</v>
      </c>
      <c r="D66" s="888" t="e">
        <f>SUM('общ.сводрайон без курсовой '!D66)+G66</f>
        <v>#REF!</v>
      </c>
      <c r="E66" s="890" t="e">
        <f>SUM('общ.сводрайон без курсовой '!E66)+H66</f>
        <v>#REF!</v>
      </c>
      <c r="F66" s="891" t="e">
        <f t="shared" si="13"/>
        <v>#REF!</v>
      </c>
      <c r="G66" s="888" t="e">
        <f>SUM('общ.сводрайон без курсовой '!G66)</f>
        <v>#REF!</v>
      </c>
      <c r="H66" s="906" t="e">
        <f>SUM('общ.сводрайон без курсовой '!H66)</f>
        <v>#REF!</v>
      </c>
      <c r="J66" s="8" t="e">
        <f>SUM(#REF!+#REF!+#REF!+#REF!)</f>
        <v>#REF!</v>
      </c>
    </row>
    <row r="67" spans="1:10">
      <c r="A67" s="80">
        <f t="shared" si="14"/>
        <v>51</v>
      </c>
      <c r="B67" s="803" t="s">
        <v>129</v>
      </c>
      <c r="C67" s="890" t="e">
        <f>SUM('общ.сводрайон без курсовой '!C67)</f>
        <v>#REF!</v>
      </c>
      <c r="D67" s="888" t="e">
        <f>SUM('общ.сводрайон без курсовой '!D67)+G67</f>
        <v>#REF!</v>
      </c>
      <c r="E67" s="890" t="e">
        <f>SUM('общ.сводрайон без курсовой '!E67)+H67</f>
        <v>#REF!</v>
      </c>
      <c r="F67" s="891" t="e">
        <f t="shared" si="13"/>
        <v>#REF!</v>
      </c>
      <c r="G67" s="888" t="e">
        <f>SUM('общ.сводрайон без курсовой '!G67)</f>
        <v>#REF!</v>
      </c>
      <c r="H67" s="906" t="e">
        <f>SUM('общ.сводрайон без курсовой '!H67)</f>
        <v>#REF!</v>
      </c>
      <c r="J67" s="8" t="e">
        <f>SUM(#REF!+#REF!+#REF!+#REF!)</f>
        <v>#REF!</v>
      </c>
    </row>
    <row r="68" spans="1:10">
      <c r="A68" s="80">
        <f t="shared" si="14"/>
        <v>52</v>
      </c>
      <c r="B68" s="803" t="s">
        <v>145</v>
      </c>
      <c r="C68" s="890" t="e">
        <f>SUM('общ.сводрайон без курсовой '!C68)</f>
        <v>#REF!</v>
      </c>
      <c r="D68" s="888" t="e">
        <f>SUM('общ.сводрайон без курсовой '!D68)+G68</f>
        <v>#REF!</v>
      </c>
      <c r="E68" s="890" t="e">
        <f>SUM('общ.сводрайон без курсовой '!E68)+H68</f>
        <v>#REF!</v>
      </c>
      <c r="F68" s="891" t="e">
        <f t="shared" si="13"/>
        <v>#REF!</v>
      </c>
      <c r="G68" s="888" t="e">
        <f>SUM('общ.сводрайон без курсовой '!G68)</f>
        <v>#REF!</v>
      </c>
      <c r="H68" s="906" t="e">
        <f>SUM('общ.сводрайон без курсовой '!H68)</f>
        <v>#REF!</v>
      </c>
      <c r="J68" s="8" t="e">
        <f>SUM(#REF!+#REF!+#REF!+#REF!)</f>
        <v>#REF!</v>
      </c>
    </row>
    <row r="69" spans="1:10">
      <c r="A69" s="80">
        <f t="shared" si="14"/>
        <v>53</v>
      </c>
      <c r="B69" s="803" t="s">
        <v>146</v>
      </c>
      <c r="C69" s="890" t="e">
        <f>SUM('общ.сводрайон без курсовой '!C69)</f>
        <v>#REF!</v>
      </c>
      <c r="D69" s="888" t="e">
        <f>SUM('общ.сводрайон без курсовой '!D69)+G69</f>
        <v>#REF!</v>
      </c>
      <c r="E69" s="890" t="e">
        <f>SUM('общ.сводрайон без курсовой '!E69)+H69</f>
        <v>#REF!</v>
      </c>
      <c r="F69" s="891" t="e">
        <f t="shared" si="13"/>
        <v>#REF!</v>
      </c>
      <c r="G69" s="888" t="e">
        <f>SUM('общ.сводрайон без курсовой '!G69)</f>
        <v>#REF!</v>
      </c>
      <c r="H69" s="906" t="e">
        <f>SUM('общ.сводрайон без курсовой '!H69)</f>
        <v>#REF!</v>
      </c>
      <c r="J69" s="8" t="e">
        <f>SUM(#REF!+#REF!+#REF!+#REF!)</f>
        <v>#REF!</v>
      </c>
    </row>
    <row r="70" spans="1:10">
      <c r="A70" s="80">
        <f t="shared" si="14"/>
        <v>54</v>
      </c>
      <c r="B70" s="803" t="s">
        <v>165</v>
      </c>
      <c r="C70" s="890" t="e">
        <f>SUM('общ.сводрайон без курсовой '!C70)</f>
        <v>#REF!</v>
      </c>
      <c r="D70" s="888" t="e">
        <f>SUM('общ.сводрайон без курсовой '!D70)+G70</f>
        <v>#REF!</v>
      </c>
      <c r="E70" s="890" t="e">
        <f>SUM('общ.сводрайон без курсовой '!E70)+H70</f>
        <v>#REF!</v>
      </c>
      <c r="F70" s="891" t="e">
        <f t="shared" si="13"/>
        <v>#REF!</v>
      </c>
      <c r="G70" s="888" t="e">
        <f>SUM('общ.сводрайон без курсовой '!G70)</f>
        <v>#REF!</v>
      </c>
      <c r="H70" s="906" t="e">
        <f>SUM('общ.сводрайон без курсовой '!H70)</f>
        <v>#REF!</v>
      </c>
      <c r="J70" s="8" t="e">
        <f>SUM(#REF!+#REF!+#REF!+#REF!)</f>
        <v>#REF!</v>
      </c>
    </row>
    <row r="71" spans="1:10">
      <c r="A71" s="80">
        <f t="shared" si="14"/>
        <v>55</v>
      </c>
      <c r="B71" s="803" t="s">
        <v>166</v>
      </c>
      <c r="C71" s="890" t="e">
        <f>SUM('общ.сводрайон без курсовой '!C71)</f>
        <v>#REF!</v>
      </c>
      <c r="D71" s="888" t="e">
        <f>SUM('общ.сводрайон без курсовой '!D71)+G71</f>
        <v>#REF!</v>
      </c>
      <c r="E71" s="890" t="e">
        <f>SUM('общ.сводрайон без курсовой '!E71)+H71</f>
        <v>#REF!</v>
      </c>
      <c r="F71" s="891" t="e">
        <f t="shared" si="13"/>
        <v>#REF!</v>
      </c>
      <c r="G71" s="888" t="e">
        <f>SUM('общ.сводрайон без курсовой '!G71)</f>
        <v>#REF!</v>
      </c>
      <c r="H71" s="906" t="e">
        <f>SUM('общ.сводрайон без курсовой '!H71)</f>
        <v>#REF!</v>
      </c>
      <c r="J71" s="8" t="e">
        <f>SUM(#REF!+#REF!+#REF!+#REF!)</f>
        <v>#REF!</v>
      </c>
    </row>
    <row r="72" spans="1:10">
      <c r="A72" s="80">
        <f t="shared" si="14"/>
        <v>56</v>
      </c>
      <c r="B72" s="803" t="s">
        <v>167</v>
      </c>
      <c r="C72" s="890" t="e">
        <f>SUM('общ.сводрайон без курсовой '!C72)</f>
        <v>#REF!</v>
      </c>
      <c r="D72" s="888" t="e">
        <f>SUM('общ.сводрайон без курсовой '!D72)+G72</f>
        <v>#REF!</v>
      </c>
      <c r="E72" s="890" t="e">
        <f>SUM('общ.сводрайон без курсовой '!E72)+H72</f>
        <v>#REF!</v>
      </c>
      <c r="F72" s="891" t="e">
        <f t="shared" si="13"/>
        <v>#REF!</v>
      </c>
      <c r="G72" s="888" t="e">
        <f>SUM('общ.сводрайон без курсовой '!G72)</f>
        <v>#REF!</v>
      </c>
      <c r="H72" s="906" t="e">
        <f>SUM('общ.сводрайон без курсовой '!H72)</f>
        <v>#REF!</v>
      </c>
      <c r="J72" s="8" t="e">
        <f>SUM(#REF!+#REF!+#REF!+#REF!)</f>
        <v>#REF!</v>
      </c>
    </row>
    <row r="73" spans="1:10">
      <c r="A73" s="80">
        <f t="shared" si="14"/>
        <v>57</v>
      </c>
      <c r="B73" s="803" t="s">
        <v>168</v>
      </c>
      <c r="C73" s="890" t="e">
        <f>SUM('общ.сводрайон без курсовой '!C73)</f>
        <v>#REF!</v>
      </c>
      <c r="D73" s="888" t="e">
        <f>SUM('общ.сводрайон без курсовой '!D73)+G73</f>
        <v>#REF!</v>
      </c>
      <c r="E73" s="890" t="e">
        <f>SUM('общ.сводрайон без курсовой '!E73)+H73</f>
        <v>#REF!</v>
      </c>
      <c r="F73" s="891" t="e">
        <f t="shared" si="13"/>
        <v>#REF!</v>
      </c>
      <c r="G73" s="888" t="e">
        <f>SUM('общ.сводрайон без курсовой '!G73)</f>
        <v>#REF!</v>
      </c>
      <c r="H73" s="906" t="e">
        <f>SUM('общ.сводрайон без курсовой '!H73)</f>
        <v>#REF!</v>
      </c>
      <c r="J73" s="8" t="e">
        <f>SUM(#REF!+#REF!+#REF!+#REF!)</f>
        <v>#REF!</v>
      </c>
    </row>
    <row r="74" spans="1:10">
      <c r="A74" s="80">
        <f t="shared" si="14"/>
        <v>58</v>
      </c>
      <c r="B74" s="803" t="s">
        <v>169</v>
      </c>
      <c r="C74" s="890" t="e">
        <f>SUM('общ.сводрайон без курсовой '!C74)</f>
        <v>#REF!</v>
      </c>
      <c r="D74" s="888" t="e">
        <f>SUM('общ.сводрайон без курсовой '!D74)+G74</f>
        <v>#REF!</v>
      </c>
      <c r="E74" s="890" t="e">
        <f>SUM('общ.сводрайон без курсовой '!E74)+H74</f>
        <v>#REF!</v>
      </c>
      <c r="F74" s="891" t="e">
        <f t="shared" si="13"/>
        <v>#REF!</v>
      </c>
      <c r="G74" s="888" t="e">
        <f>SUM('общ.сводрайон без курсовой '!G74)</f>
        <v>#REF!</v>
      </c>
      <c r="H74" s="906" t="e">
        <f>SUM('общ.сводрайон без курсовой '!H74)</f>
        <v>#REF!</v>
      </c>
      <c r="J74" s="8" t="e">
        <f>SUM(#REF!+#REF!+#REF!+#REF!)</f>
        <v>#REF!</v>
      </c>
    </row>
    <row r="75" spans="1:10">
      <c r="A75" s="80">
        <f t="shared" si="14"/>
        <v>59</v>
      </c>
      <c r="B75" s="803" t="s">
        <v>170</v>
      </c>
      <c r="C75" s="890" t="e">
        <f>SUM('общ.сводрайон без курсовой '!C75)</f>
        <v>#REF!</v>
      </c>
      <c r="D75" s="888" t="e">
        <f>SUM('общ.сводрайон без курсовой '!D75)+G75</f>
        <v>#REF!</v>
      </c>
      <c r="E75" s="890" t="e">
        <f>SUM('общ.сводрайон без курсовой '!E75)+H75</f>
        <v>#REF!</v>
      </c>
      <c r="F75" s="891" t="e">
        <f t="shared" si="13"/>
        <v>#REF!</v>
      </c>
      <c r="G75" s="888" t="e">
        <f>SUM('общ.сводрайон без курсовой '!G75)</f>
        <v>#REF!</v>
      </c>
      <c r="H75" s="906" t="e">
        <f>SUM('общ.сводрайон без курсовой '!H75)</f>
        <v>#REF!</v>
      </c>
      <c r="J75" s="8" t="e">
        <f>SUM(#REF!+#REF!+#REF!+#REF!)</f>
        <v>#REF!</v>
      </c>
    </row>
    <row r="76" spans="1:10">
      <c r="A76" s="80">
        <f t="shared" si="14"/>
        <v>60</v>
      </c>
      <c r="B76" s="803" t="s">
        <v>206</v>
      </c>
      <c r="C76" s="890" t="e">
        <f>SUM('общ.сводрайон без курсовой '!C76)</f>
        <v>#REF!</v>
      </c>
      <c r="D76" s="888" t="e">
        <f>SUM('общ.сводрайон без курсовой '!D76)+G76</f>
        <v>#REF!</v>
      </c>
      <c r="E76" s="890" t="e">
        <f>SUM('общ.сводрайон без курсовой '!E76)+H76</f>
        <v>#REF!</v>
      </c>
      <c r="F76" s="891" t="e">
        <f t="shared" si="13"/>
        <v>#REF!</v>
      </c>
      <c r="G76" s="888" t="e">
        <f>SUM('общ.сводрайон без курсовой '!G76)</f>
        <v>#REF!</v>
      </c>
      <c r="H76" s="906" t="e">
        <f>SUM('общ.сводрайон без курсовой '!H76)</f>
        <v>#REF!</v>
      </c>
      <c r="J76" s="8" t="e">
        <f>SUM(#REF!+#REF!+#REF!+#REF!)</f>
        <v>#REF!</v>
      </c>
    </row>
    <row r="77" spans="1:10">
      <c r="A77" s="80">
        <f t="shared" si="14"/>
        <v>61</v>
      </c>
      <c r="B77" s="803" t="s">
        <v>207</v>
      </c>
      <c r="C77" s="890" t="e">
        <f>SUM('общ.сводрайон без курсовой '!C77)</f>
        <v>#REF!</v>
      </c>
      <c r="D77" s="888" t="e">
        <f>SUM('общ.сводрайон без курсовой '!D77)+G77</f>
        <v>#REF!</v>
      </c>
      <c r="E77" s="890" t="e">
        <f>SUM('общ.сводрайон без курсовой '!E77)+H77</f>
        <v>#REF!</v>
      </c>
      <c r="F77" s="891" t="e">
        <f t="shared" si="13"/>
        <v>#REF!</v>
      </c>
      <c r="G77" s="888" t="e">
        <f>SUM('общ.сводрайон без курсовой '!G77)</f>
        <v>#REF!</v>
      </c>
      <c r="H77" s="906" t="e">
        <f>SUM('общ.сводрайон без курсовой '!H77)</f>
        <v>#REF!</v>
      </c>
      <c r="J77" s="8" t="e">
        <f>SUM(#REF!+#REF!+#REF!+#REF!)</f>
        <v>#REF!</v>
      </c>
    </row>
    <row r="78" spans="1:10">
      <c r="A78" s="80">
        <f t="shared" si="14"/>
        <v>62</v>
      </c>
      <c r="B78" s="803" t="s">
        <v>171</v>
      </c>
      <c r="C78" s="890" t="e">
        <f>SUM('общ.сводрайон без курсовой '!C78)</f>
        <v>#REF!</v>
      </c>
      <c r="D78" s="888" t="e">
        <f>SUM('общ.сводрайон без курсовой '!D78)+G78</f>
        <v>#REF!</v>
      </c>
      <c r="E78" s="890" t="e">
        <f>SUM('общ.сводрайон без курсовой '!E78)+H78</f>
        <v>#REF!</v>
      </c>
      <c r="F78" s="891" t="e">
        <f t="shared" si="13"/>
        <v>#REF!</v>
      </c>
      <c r="G78" s="888" t="e">
        <f>SUM('общ.сводрайон без курсовой '!G78)</f>
        <v>#REF!</v>
      </c>
      <c r="H78" s="906" t="e">
        <f>SUM('общ.сводрайон без курсовой '!H78)</f>
        <v>#REF!</v>
      </c>
      <c r="J78" s="8" t="e">
        <f>SUM(#REF!+#REF!+#REF!+#REF!)</f>
        <v>#REF!</v>
      </c>
    </row>
    <row r="79" spans="1:10">
      <c r="A79" s="80">
        <f t="shared" si="14"/>
        <v>63</v>
      </c>
      <c r="B79" s="803" t="s">
        <v>14</v>
      </c>
      <c r="C79" s="890" t="e">
        <f>SUM('общ.сводрайон без курсовой '!C79)</f>
        <v>#REF!</v>
      </c>
      <c r="D79" s="888" t="e">
        <f>SUM('общ.сводрайон без курсовой '!D79)+G79</f>
        <v>#REF!</v>
      </c>
      <c r="E79" s="890" t="e">
        <f>SUM('общ.сводрайон без курсовой '!E79)+H79</f>
        <v>#REF!</v>
      </c>
      <c r="F79" s="891" t="e">
        <f t="shared" si="13"/>
        <v>#REF!</v>
      </c>
      <c r="G79" s="888" t="e">
        <f>SUM('общ.сводрайон без курсовой '!G79)</f>
        <v>#REF!</v>
      </c>
      <c r="H79" s="906" t="e">
        <f>SUM('общ.сводрайон без курсовой '!H79)</f>
        <v>#REF!</v>
      </c>
      <c r="J79" s="8" t="e">
        <f>SUM(#REF!+#REF!+#REF!+#REF!)</f>
        <v>#REF!</v>
      </c>
    </row>
    <row r="80" spans="1:10">
      <c r="A80" s="80">
        <f t="shared" si="14"/>
        <v>64</v>
      </c>
      <c r="B80" s="803" t="s">
        <v>15</v>
      </c>
      <c r="C80" s="890" t="e">
        <f>SUM('общ.сводрайон без курсовой '!C80)</f>
        <v>#REF!</v>
      </c>
      <c r="D80" s="888" t="e">
        <f>SUM('общ.сводрайон без курсовой '!D80)+G80</f>
        <v>#REF!</v>
      </c>
      <c r="E80" s="890" t="e">
        <f>SUM('общ.сводрайон без курсовой '!E80)+H80</f>
        <v>#REF!</v>
      </c>
      <c r="F80" s="891" t="e">
        <f t="shared" si="13"/>
        <v>#REF!</v>
      </c>
      <c r="G80" s="888" t="e">
        <f>SUM('общ.сводрайон без курсовой '!G80)</f>
        <v>#REF!</v>
      </c>
      <c r="H80" s="906" t="e">
        <f>SUM('общ.сводрайон без курсовой '!H80)</f>
        <v>#REF!</v>
      </c>
      <c r="J80" s="8" t="e">
        <f>SUM(#REF!+#REF!+#REF!+#REF!)</f>
        <v>#REF!</v>
      </c>
    </row>
    <row r="81" spans="1:13">
      <c r="A81" s="1163" t="s">
        <v>73</v>
      </c>
      <c r="B81" s="1148"/>
      <c r="C81" s="896" t="e">
        <f t="shared" ref="C81:H81" si="15">SUM(C63:C80)</f>
        <v>#REF!</v>
      </c>
      <c r="D81" s="896" t="e">
        <f t="shared" si="15"/>
        <v>#REF!</v>
      </c>
      <c r="E81" s="896" t="e">
        <f t="shared" si="15"/>
        <v>#REF!</v>
      </c>
      <c r="F81" s="897" t="e">
        <f t="shared" si="15"/>
        <v>#REF!</v>
      </c>
      <c r="G81" s="913" t="e">
        <f t="shared" si="15"/>
        <v>#REF!</v>
      </c>
      <c r="H81" s="914" t="e">
        <f t="shared" si="15"/>
        <v>#REF!</v>
      </c>
      <c r="I81" s="365" t="e">
        <f>SUM(C81-'общ.сводрайон без курсовой '!C81)</f>
        <v>#REF!</v>
      </c>
      <c r="J81" s="8" t="e">
        <f>SUM(#REF!+#REF!+#REF!+#REF!)</f>
        <v>#REF!</v>
      </c>
      <c r="K81" s="365" t="e">
        <f>SUM(E81-'общ.сводрайон без курсовой '!E81)</f>
        <v>#REF!</v>
      </c>
      <c r="L81" s="365" t="e">
        <f>SUM(F81-'общ.сводрайон без курсовой '!F81)</f>
        <v>#REF!</v>
      </c>
    </row>
    <row r="82" spans="1:13">
      <c r="A82" s="1157" t="s">
        <v>7</v>
      </c>
      <c r="B82" s="1158"/>
      <c r="C82" s="1158"/>
      <c r="D82" s="1158"/>
      <c r="E82" s="1158"/>
      <c r="F82" s="1159"/>
      <c r="J82" s="8" t="e">
        <f>SUM(#REF!+#REF!+#REF!+#REF!)</f>
        <v>#REF!</v>
      </c>
    </row>
    <row r="83" spans="1:13">
      <c r="A83" s="79">
        <v>65</v>
      </c>
      <c r="B83" s="802" t="s">
        <v>161</v>
      </c>
      <c r="C83" s="888" t="e">
        <f>SUM('общ.сводрайон без курсовой '!C83)</f>
        <v>#REF!</v>
      </c>
      <c r="D83" s="888" t="e">
        <f>SUM('общ.сводрайон без курсовой '!D83)+G83</f>
        <v>#REF!</v>
      </c>
      <c r="E83" s="888" t="e">
        <f>SUM('общ.сводрайон без курсовой '!E83)+H83</f>
        <v>#REF!</v>
      </c>
      <c r="F83" s="889" t="e">
        <f>SUM(C83+D83-E83)</f>
        <v>#REF!</v>
      </c>
      <c r="G83" s="888" t="e">
        <f>SUM('общ.сводрайон без курсовой '!G83)</f>
        <v>#REF!</v>
      </c>
      <c r="H83" s="906" t="e">
        <f>SUM('общ.сводрайон без курсовой '!H83)</f>
        <v>#REF!</v>
      </c>
      <c r="J83" s="8" t="e">
        <f>SUM(#REF!+#REF!+#REF!+#REF!)</f>
        <v>#REF!</v>
      </c>
    </row>
    <row r="84" spans="1:13">
      <c r="A84" s="80">
        <f>A83+1</f>
        <v>66</v>
      </c>
      <c r="B84" s="803" t="s">
        <v>162</v>
      </c>
      <c r="C84" s="888" t="e">
        <f>SUM('общ.сводрайон без курсовой '!C84)</f>
        <v>#REF!</v>
      </c>
      <c r="D84" s="888" t="e">
        <f>SUM('общ.сводрайон без курсовой '!D84)+G84</f>
        <v>#REF!</v>
      </c>
      <c r="E84" s="888" t="e">
        <f>SUM('общ.сводрайон без курсовой '!E84)+H84</f>
        <v>#REF!</v>
      </c>
      <c r="F84" s="891" t="e">
        <f>SUM(C84+D84-E84)</f>
        <v>#REF!</v>
      </c>
      <c r="G84" s="888" t="e">
        <f>SUM('общ.сводрайон без курсовой '!G84)</f>
        <v>#REF!</v>
      </c>
      <c r="H84" s="906" t="e">
        <f>SUM('общ.сводрайон без курсовой '!H84)</f>
        <v>#REF!</v>
      </c>
      <c r="J84" s="8" t="e">
        <f>SUM(#REF!+#REF!+#REF!+#REF!)</f>
        <v>#REF!</v>
      </c>
    </row>
    <row r="85" spans="1:13">
      <c r="A85" s="80">
        <f>A84+1</f>
        <v>67</v>
      </c>
      <c r="B85" s="803" t="s">
        <v>24</v>
      </c>
      <c r="C85" s="888" t="e">
        <f>SUM('общ.сводрайон без курсовой '!C85)</f>
        <v>#REF!</v>
      </c>
      <c r="D85" s="888" t="e">
        <f>SUM('общ.сводрайон без курсовой '!D85)+G85</f>
        <v>#REF!</v>
      </c>
      <c r="E85" s="888" t="e">
        <f>SUM('общ.сводрайон без курсовой '!E85)+H85</f>
        <v>#REF!</v>
      </c>
      <c r="F85" s="891" t="e">
        <f>SUM(C85+D85-E85)</f>
        <v>#REF!</v>
      </c>
      <c r="G85" s="888" t="e">
        <f>SUM('общ.сводрайон без курсовой '!G85)</f>
        <v>#REF!</v>
      </c>
      <c r="H85" s="906" t="e">
        <f>SUM('общ.сводрайон без курсовой '!H85)</f>
        <v>#REF!</v>
      </c>
      <c r="J85" s="8" t="e">
        <f>SUM(#REF!+#REF!+#REF!+#REF!)</f>
        <v>#REF!</v>
      </c>
    </row>
    <row r="86" spans="1:13">
      <c r="A86" s="80">
        <f>A85+1</f>
        <v>68</v>
      </c>
      <c r="B86" s="806" t="s">
        <v>163</v>
      </c>
      <c r="C86" s="888" t="e">
        <f>SUM('общ.сводрайон без курсовой '!C86)</f>
        <v>#REF!</v>
      </c>
      <c r="D86" s="888" t="e">
        <f>SUM('общ.сводрайон без курсовой '!D86)+G86</f>
        <v>#REF!</v>
      </c>
      <c r="E86" s="888" t="e">
        <f>SUM('общ.сводрайон без курсовой '!E86)+H86</f>
        <v>#REF!</v>
      </c>
      <c r="F86" s="891" t="e">
        <f>SUM(C86+D86-E86)</f>
        <v>#REF!</v>
      </c>
      <c r="G86" s="888" t="e">
        <f>SUM('общ.сводрайон без курсовой '!G86)</f>
        <v>#REF!</v>
      </c>
      <c r="H86" s="906" t="e">
        <f>SUM('общ.сводрайон без курсовой '!H86)</f>
        <v>#REF!</v>
      </c>
      <c r="J86" s="8" t="e">
        <f>SUM(#REF!+#REF!+#REF!+#REF!)</f>
        <v>#REF!</v>
      </c>
    </row>
    <row r="87" spans="1:13" ht="21" customHeight="1">
      <c r="A87" s="1152" t="s">
        <v>26</v>
      </c>
      <c r="B87" s="1148"/>
      <c r="C87" s="892" t="e">
        <f t="shared" ref="C87:H87" si="16">SUM(C83:C86)</f>
        <v>#REF!</v>
      </c>
      <c r="D87" s="892" t="e">
        <f t="shared" si="16"/>
        <v>#REF!</v>
      </c>
      <c r="E87" s="892" t="e">
        <f t="shared" si="16"/>
        <v>#REF!</v>
      </c>
      <c r="F87" s="893" t="e">
        <f t="shared" si="16"/>
        <v>#REF!</v>
      </c>
      <c r="G87" s="915" t="e">
        <f t="shared" si="16"/>
        <v>#REF!</v>
      </c>
      <c r="H87" s="916" t="e">
        <f t="shared" si="16"/>
        <v>#REF!</v>
      </c>
      <c r="I87" s="365" t="e">
        <f>SUM(C87-'общ.сводрайон без курсовой '!C87)</f>
        <v>#REF!</v>
      </c>
      <c r="J87" s="8" t="e">
        <f>SUM(#REF!+#REF!+#REF!+#REF!)</f>
        <v>#REF!</v>
      </c>
      <c r="K87" s="365" t="e">
        <f>SUM(E87-'общ.сводрайон без курсовой '!E87)</f>
        <v>#REF!</v>
      </c>
      <c r="L87" s="365" t="e">
        <f>SUM(F87-'общ.сводрайон без курсовой '!F87)</f>
        <v>#REF!</v>
      </c>
      <c r="M87" s="790"/>
    </row>
    <row r="88" spans="1:13" ht="21" hidden="1" customHeight="1">
      <c r="A88" s="208"/>
      <c r="B88" s="807"/>
      <c r="C88" s="898"/>
      <c r="D88" s="898"/>
      <c r="E88" s="898"/>
      <c r="F88" s="899"/>
    </row>
    <row r="89" spans="1:13" ht="69" hidden="1" customHeight="1">
      <c r="A89" s="1160" t="s">
        <v>247</v>
      </c>
      <c r="B89" s="1161"/>
      <c r="C89" s="917">
        <v>743909000</v>
      </c>
      <c r="D89" s="917">
        <v>0</v>
      </c>
      <c r="E89" s="917">
        <v>0</v>
      </c>
      <c r="F89" s="918">
        <v>743909000</v>
      </c>
    </row>
    <row r="90" spans="1:13" ht="66" hidden="1" customHeight="1">
      <c r="A90" s="1162" t="s">
        <v>248</v>
      </c>
      <c r="B90" s="1161"/>
      <c r="C90" s="900">
        <v>743909000</v>
      </c>
      <c r="D90" s="900">
        <v>0</v>
      </c>
      <c r="E90" s="900">
        <v>0</v>
      </c>
      <c r="F90" s="901">
        <v>743909000</v>
      </c>
    </row>
    <row r="91" spans="1:13">
      <c r="A91" s="208"/>
      <c r="B91" s="807"/>
      <c r="C91" s="898"/>
      <c r="D91" s="898"/>
      <c r="E91" s="898"/>
      <c r="F91" s="899"/>
      <c r="J91" s="8" t="e">
        <f>SUM(#REF!+#REF!+#REF!+#REF!)</f>
        <v>#REF!</v>
      </c>
    </row>
    <row r="92" spans="1:13">
      <c r="A92" s="1164" t="s">
        <v>77</v>
      </c>
      <c r="B92" s="1161"/>
      <c r="C92" s="900" t="e">
        <f t="shared" ref="C92:H92" si="17">SUM(C87+C81+C61+C34+C17+C24)</f>
        <v>#REF!</v>
      </c>
      <c r="D92" s="900" t="e">
        <f t="shared" si="17"/>
        <v>#REF!</v>
      </c>
      <c r="E92" s="900" t="e">
        <f t="shared" si="17"/>
        <v>#REF!</v>
      </c>
      <c r="F92" s="900" t="e">
        <f t="shared" si="17"/>
        <v>#REF!</v>
      </c>
      <c r="G92" s="900" t="e">
        <f t="shared" si="17"/>
        <v>#REF!</v>
      </c>
      <c r="H92" s="900" t="e">
        <f t="shared" si="17"/>
        <v>#REF!</v>
      </c>
      <c r="J92" s="8" t="e">
        <f>SUM(#REF!+#REF!+#REF!+#REF!)</f>
        <v>#REF!</v>
      </c>
    </row>
    <row r="93" spans="1:13" ht="13.5" customHeight="1"/>
    <row r="94" spans="1:13" ht="21.75" customHeight="1">
      <c r="B94" s="800" t="s">
        <v>260</v>
      </c>
    </row>
    <row r="95" spans="1:13" ht="21" customHeight="1">
      <c r="B95" s="1124" t="s">
        <v>259</v>
      </c>
      <c r="C95" s="1124"/>
      <c r="D95" s="1124"/>
    </row>
    <row r="97" spans="2:8">
      <c r="B97" s="800" t="s">
        <v>380</v>
      </c>
      <c r="C97" s="887" t="e">
        <f>SUM(C92-'общ.сводрайон без курсовой '!C93)</f>
        <v>#REF!</v>
      </c>
      <c r="D97" s="887" t="e">
        <f>SUM(D92-'общ.сводрайон без курсовой '!D93)</f>
        <v>#REF!</v>
      </c>
      <c r="E97" s="887" t="e">
        <f>SUM(E92-'общ.сводрайон без курсовой '!E93)</f>
        <v>#REF!</v>
      </c>
      <c r="F97" s="887" t="e">
        <f>SUM(F92-'общ.сводрайон без курсовой '!F93)</f>
        <v>#REF!</v>
      </c>
      <c r="G97" s="887" t="e">
        <f>SUM(G92-'общ.сводрайон без курсовой '!G93)</f>
        <v>#REF!</v>
      </c>
      <c r="H97" s="887" t="e">
        <f>SUM(H92-'общ.сводрайон без курсовой '!H93)</f>
        <v>#REF!</v>
      </c>
    </row>
    <row r="99" spans="2:8">
      <c r="B99" s="800" t="s">
        <v>371</v>
      </c>
      <c r="C99" s="887" t="e">
        <f>SUM(C92-#REF!)</f>
        <v>#REF!</v>
      </c>
      <c r="D99" s="887" t="e">
        <f>SUM(D92-#REF!)</f>
        <v>#REF!</v>
      </c>
      <c r="E99" s="887" t="e">
        <f>SUM(E92-#REF!)</f>
        <v>#REF!</v>
      </c>
      <c r="F99" s="887" t="e">
        <f>SUM(F92-#REF!)</f>
        <v>#REF!</v>
      </c>
      <c r="G99" s="887" t="e">
        <f>SUM(G92-#REF!)</f>
        <v>#REF!</v>
      </c>
    </row>
  </sheetData>
  <mergeCells count="26">
    <mergeCell ref="A35:F35"/>
    <mergeCell ref="A61:B61"/>
    <mergeCell ref="A62:F62"/>
    <mergeCell ref="A81:B81"/>
    <mergeCell ref="A92:B92"/>
    <mergeCell ref="B95:D95"/>
    <mergeCell ref="A82:F82"/>
    <mergeCell ref="A87:B87"/>
    <mergeCell ref="A89:B89"/>
    <mergeCell ref="A90:B90"/>
    <mergeCell ref="A34:B34"/>
    <mergeCell ref="G5:G6"/>
    <mergeCell ref="A8:F8"/>
    <mergeCell ref="A17:B17"/>
    <mergeCell ref="H5:H6"/>
    <mergeCell ref="E5:E6"/>
    <mergeCell ref="F5:F6"/>
    <mergeCell ref="A18:F18"/>
    <mergeCell ref="A24:B24"/>
    <mergeCell ref="A25:F25"/>
    <mergeCell ref="A2:F2"/>
    <mergeCell ref="A3:F3"/>
    <mergeCell ref="A5:A6"/>
    <mergeCell ref="B5:B6"/>
    <mergeCell ref="C5:C6"/>
    <mergeCell ref="D5:D6"/>
  </mergeCells>
  <phoneticPr fontId="10" type="noConversion"/>
  <printOptions horizontalCentered="1"/>
  <pageMargins left="0.15748031496062992" right="0.15748031496062992" top="0.19685039370078741" bottom="0.39370078740157483" header="0.15748031496062992" footer="0.51181102362204722"/>
  <pageSetup paperSize="9" scale="75" orientation="landscape" r:id="rId1"/>
  <headerFooter alignWithMargins="0">
    <oddFooter>&amp;L&amp;7&amp;P&amp;D&amp;T&amp;Z&amp;F&amp;A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13">
    <tabColor indexed="12"/>
  </sheetPr>
  <dimension ref="A1:M100"/>
  <sheetViews>
    <sheetView zoomScale="60" workbookViewId="0">
      <selection activeCell="A99" sqref="A99"/>
    </sheetView>
  </sheetViews>
  <sheetFormatPr defaultColWidth="9.140625" defaultRowHeight="21"/>
  <cols>
    <col min="1" max="1" width="4.7109375" style="19" bestFit="1" customWidth="1"/>
    <col min="2" max="2" width="42.140625" style="800" customWidth="1"/>
    <col min="3" max="3" width="25.7109375" style="887" customWidth="1"/>
    <col min="4" max="4" width="28.140625" style="887" customWidth="1"/>
    <col min="5" max="5" width="26.5703125" style="887" customWidth="1"/>
    <col min="6" max="6" width="26" style="887" customWidth="1"/>
    <col min="7" max="7" width="18.140625" style="887" customWidth="1"/>
    <col min="8" max="8" width="21" style="902" customWidth="1"/>
    <col min="9" max="9" width="24" style="902" customWidth="1"/>
    <col min="10" max="10" width="36.5703125" style="1" customWidth="1"/>
    <col min="11" max="11" width="27.85546875" style="1" customWidth="1"/>
    <col min="12" max="12" width="11.28515625" style="1" bestFit="1" customWidth="1"/>
    <col min="13" max="13" width="15.42578125" style="1" bestFit="1" customWidth="1"/>
    <col min="14" max="16384" width="9.140625" style="1"/>
  </cols>
  <sheetData>
    <row r="1" spans="1:11">
      <c r="A1" s="1139" t="s">
        <v>234</v>
      </c>
      <c r="B1" s="1139"/>
      <c r="C1" s="1139"/>
      <c r="D1" s="1139"/>
      <c r="E1" s="1139"/>
      <c r="F1" s="1139"/>
    </row>
    <row r="2" spans="1:11" ht="24.75" customHeight="1">
      <c r="A2" s="1182" t="s">
        <v>360</v>
      </c>
      <c r="B2" s="1182"/>
      <c r="C2" s="1182"/>
      <c r="D2" s="1182"/>
      <c r="E2" s="1182"/>
      <c r="F2" s="1182"/>
    </row>
    <row r="3" spans="1:11" ht="24.75" customHeight="1">
      <c r="A3" s="956"/>
      <c r="B3" s="956"/>
      <c r="C3" s="956"/>
      <c r="D3" s="956"/>
      <c r="E3" s="956"/>
      <c r="F3" s="956"/>
    </row>
    <row r="4" spans="1:11">
      <c r="C4" s="887" t="e">
        <f>CLEAN(#REF!)</f>
        <v>#REF!</v>
      </c>
    </row>
    <row r="5" spans="1:11" ht="21" customHeight="1">
      <c r="A5" s="1141" t="s">
        <v>80</v>
      </c>
      <c r="B5" s="1143" t="s">
        <v>245</v>
      </c>
      <c r="C5" s="1145" t="e">
        <f>CLEAN(#REF!)</f>
        <v>#REF!</v>
      </c>
      <c r="D5" s="1145" t="e">
        <f>CLEAN(#REF!)</f>
        <v>#REF!</v>
      </c>
      <c r="E5" s="1145" t="e">
        <f>CLEAN(#REF!)</f>
        <v>#REF!</v>
      </c>
      <c r="F5" s="1145" t="e">
        <f>CLEAN(#REF!)</f>
        <v>#REF!</v>
      </c>
      <c r="G5" s="1149" t="s">
        <v>376</v>
      </c>
      <c r="H5" s="1153" t="s">
        <v>377</v>
      </c>
      <c r="I5" s="1145" t="e">
        <f>#REF!</f>
        <v>#REF!</v>
      </c>
    </row>
    <row r="6" spans="1:11" ht="28.5" customHeight="1">
      <c r="A6" s="1183"/>
      <c r="B6" s="1184"/>
      <c r="C6" s="1181"/>
      <c r="D6" s="1181"/>
      <c r="E6" s="1181"/>
      <c r="F6" s="1181"/>
      <c r="G6" s="1150"/>
      <c r="H6" s="1154"/>
      <c r="I6" s="1181"/>
    </row>
    <row r="7" spans="1:11" ht="15.75" customHeight="1">
      <c r="A7" s="183">
        <v>1</v>
      </c>
      <c r="B7" s="801">
        <v>2</v>
      </c>
      <c r="C7" s="788">
        <v>3</v>
      </c>
      <c r="D7" s="788">
        <v>4</v>
      </c>
      <c r="E7" s="788">
        <v>5</v>
      </c>
      <c r="F7" s="789">
        <v>6</v>
      </c>
      <c r="G7" s="903">
        <v>7</v>
      </c>
      <c r="H7" s="904"/>
      <c r="I7" s="924"/>
    </row>
    <row r="8" spans="1:11">
      <c r="A8" s="1179" t="s">
        <v>76</v>
      </c>
      <c r="B8" s="1179"/>
      <c r="C8" s="1179"/>
      <c r="D8" s="1179"/>
      <c r="E8" s="1179"/>
      <c r="F8" s="1179"/>
      <c r="J8" s="8"/>
      <c r="K8" s="8"/>
    </row>
    <row r="9" spans="1:11">
      <c r="A9" s="79">
        <v>1</v>
      </c>
      <c r="B9" s="802" t="s">
        <v>70</v>
      </c>
      <c r="C9" s="888" t="e">
        <f>SUM('общ.сводрайон без курсовой '!C9/1000)</f>
        <v>#REF!</v>
      </c>
      <c r="D9" s="888" t="e">
        <f>SUM('общ.сводрайон без курсовой '!D9/1000)</f>
        <v>#REF!</v>
      </c>
      <c r="E9" s="888" t="e">
        <f>SUM('общ.сводрайон без курсовой '!E9/1000)</f>
        <v>#REF!</v>
      </c>
      <c r="F9" s="889" t="e">
        <f t="shared" ref="F9:F16" si="0">SUM(C9+D9-E9)</f>
        <v>#REF!</v>
      </c>
      <c r="G9" s="888" t="e">
        <f>(SUM(#REF!+#REF!))/1000</f>
        <v>#REF!</v>
      </c>
      <c r="H9" s="906" t="e">
        <f>(SUM(#REF!))/1000</f>
        <v>#REF!</v>
      </c>
      <c r="I9" s="925" t="e">
        <f>SUM(F9+G9-H9)</f>
        <v>#REF!</v>
      </c>
      <c r="J9" s="8"/>
      <c r="K9" s="8"/>
    </row>
    <row r="10" spans="1:11">
      <c r="A10" s="80">
        <f t="shared" ref="A10:A16" si="1">A9+1</f>
        <v>2</v>
      </c>
      <c r="B10" s="803" t="s">
        <v>200</v>
      </c>
      <c r="C10" s="890" t="e">
        <f>SUM('общ.сводрайон без курсовой '!C10/1000)</f>
        <v>#REF!</v>
      </c>
      <c r="D10" s="890" t="e">
        <f>SUM('общ.сводрайон без курсовой '!D10/1000)</f>
        <v>#REF!</v>
      </c>
      <c r="E10" s="890" t="e">
        <f>SUM('общ.сводрайон без курсовой '!E10/1000)</f>
        <v>#REF!</v>
      </c>
      <c r="F10" s="891" t="e">
        <f t="shared" si="0"/>
        <v>#REF!</v>
      </c>
      <c r="G10" s="888" t="e">
        <f>(SUM(#REF!+#REF!))/1000</f>
        <v>#REF!</v>
      </c>
      <c r="H10" s="906" t="e">
        <f>(SUM(#REF!))/1000</f>
        <v>#REF!</v>
      </c>
      <c r="I10" s="925" t="e">
        <f t="shared" ref="I10:I16" si="2">SUM(F10+G10-H10)</f>
        <v>#REF!</v>
      </c>
      <c r="J10" s="8"/>
      <c r="K10" s="8"/>
    </row>
    <row r="11" spans="1:11">
      <c r="A11" s="80">
        <f t="shared" si="1"/>
        <v>3</v>
      </c>
      <c r="B11" s="803" t="s">
        <v>201</v>
      </c>
      <c r="C11" s="890" t="e">
        <f>SUM('общ.сводрайон без курсовой '!C11/1000)</f>
        <v>#REF!</v>
      </c>
      <c r="D11" s="890" t="e">
        <f>SUM('общ.сводрайон без курсовой '!D11/1000)</f>
        <v>#REF!</v>
      </c>
      <c r="E11" s="890" t="e">
        <f>SUM('общ.сводрайон без курсовой '!E11/1000)</f>
        <v>#REF!</v>
      </c>
      <c r="F11" s="891" t="e">
        <f t="shared" si="0"/>
        <v>#REF!</v>
      </c>
      <c r="G11" s="888" t="e">
        <f>(SUM(#REF!+#REF!))/1000</f>
        <v>#REF!</v>
      </c>
      <c r="H11" s="906" t="e">
        <f>(SUM(#REF!))/1000</f>
        <v>#REF!</v>
      </c>
      <c r="I11" s="925" t="e">
        <f t="shared" si="2"/>
        <v>#REF!</v>
      </c>
      <c r="J11" s="8"/>
      <c r="K11" s="8"/>
    </row>
    <row r="12" spans="1:11">
      <c r="A12" s="80">
        <f t="shared" si="1"/>
        <v>4</v>
      </c>
      <c r="B12" s="803" t="s">
        <v>202</v>
      </c>
      <c r="C12" s="890" t="e">
        <f>SUM('общ.сводрайон без курсовой '!C12/1000)</f>
        <v>#REF!</v>
      </c>
      <c r="D12" s="890" t="e">
        <f>SUM('общ.сводрайон без курсовой '!D12/1000)</f>
        <v>#REF!</v>
      </c>
      <c r="E12" s="890" t="e">
        <f>SUM('общ.сводрайон без курсовой '!E12/1000)</f>
        <v>#REF!</v>
      </c>
      <c r="F12" s="891" t="e">
        <f t="shared" si="0"/>
        <v>#REF!</v>
      </c>
      <c r="G12" s="888" t="e">
        <f>(SUM(#REF!+#REF!))/1000</f>
        <v>#REF!</v>
      </c>
      <c r="H12" s="906" t="e">
        <f>(SUM(#REF!))/1000</f>
        <v>#REF!</v>
      </c>
      <c r="I12" s="925" t="e">
        <f t="shared" si="2"/>
        <v>#REF!</v>
      </c>
      <c r="J12" s="8"/>
      <c r="K12" s="8"/>
    </row>
    <row r="13" spans="1:11">
      <c r="A13" s="80">
        <f t="shared" si="1"/>
        <v>5</v>
      </c>
      <c r="B13" s="803" t="s">
        <v>203</v>
      </c>
      <c r="C13" s="890" t="e">
        <f>SUM('общ.сводрайон без курсовой '!C13/1000)</f>
        <v>#REF!</v>
      </c>
      <c r="D13" s="890" t="e">
        <f>SUM('общ.сводрайон без курсовой '!D13/1000)</f>
        <v>#REF!</v>
      </c>
      <c r="E13" s="890" t="e">
        <f>SUM('общ.сводрайон без курсовой '!E13/1000)</f>
        <v>#REF!</v>
      </c>
      <c r="F13" s="891" t="e">
        <f t="shared" si="0"/>
        <v>#REF!</v>
      </c>
      <c r="G13" s="888" t="e">
        <f>(SUM(#REF!+#REF!))/1000</f>
        <v>#REF!</v>
      </c>
      <c r="H13" s="906" t="e">
        <f>(SUM(#REF!))/1000</f>
        <v>#REF!</v>
      </c>
      <c r="I13" s="925" t="e">
        <f t="shared" si="2"/>
        <v>#REF!</v>
      </c>
      <c r="J13" s="8"/>
      <c r="K13" s="8"/>
    </row>
    <row r="14" spans="1:11">
      <c r="A14" s="80">
        <f t="shared" si="1"/>
        <v>6</v>
      </c>
      <c r="B14" s="803" t="s">
        <v>204</v>
      </c>
      <c r="C14" s="890" t="e">
        <f>SUM('общ.сводрайон без курсовой '!C14/1000)</f>
        <v>#REF!</v>
      </c>
      <c r="D14" s="890" t="e">
        <f>SUM('общ.сводрайон без курсовой '!D14/1000)</f>
        <v>#REF!</v>
      </c>
      <c r="E14" s="890" t="e">
        <f>SUM('общ.сводрайон без курсовой '!E14/1000)</f>
        <v>#REF!</v>
      </c>
      <c r="F14" s="891" t="e">
        <f t="shared" si="0"/>
        <v>#REF!</v>
      </c>
      <c r="G14" s="888" t="e">
        <f>(SUM(#REF!+#REF!))/1000</f>
        <v>#REF!</v>
      </c>
      <c r="H14" s="906" t="e">
        <f>(SUM(#REF!))/1000</f>
        <v>#REF!</v>
      </c>
      <c r="I14" s="925" t="e">
        <f t="shared" si="2"/>
        <v>#REF!</v>
      </c>
      <c r="J14" s="8"/>
      <c r="K14" s="8"/>
    </row>
    <row r="15" spans="1:11">
      <c r="A15" s="80">
        <f t="shared" si="1"/>
        <v>7</v>
      </c>
      <c r="B15" s="803" t="s">
        <v>68</v>
      </c>
      <c r="C15" s="890" t="e">
        <f>SUM('общ.сводрайон без курсовой '!C15/1000)</f>
        <v>#REF!</v>
      </c>
      <c r="D15" s="890" t="e">
        <f>SUM('общ.сводрайон без курсовой '!D15/1000)</f>
        <v>#REF!</v>
      </c>
      <c r="E15" s="890" t="e">
        <f>SUM('общ.сводрайон без курсовой '!E15/1000)</f>
        <v>#REF!</v>
      </c>
      <c r="F15" s="891" t="e">
        <f t="shared" si="0"/>
        <v>#REF!</v>
      </c>
      <c r="G15" s="888" t="e">
        <f>(SUM(#REF!+#REF!))/1000</f>
        <v>#REF!</v>
      </c>
      <c r="H15" s="906" t="e">
        <f>(SUM(#REF!))/1000</f>
        <v>#REF!</v>
      </c>
      <c r="I15" s="925" t="e">
        <f t="shared" si="2"/>
        <v>#REF!</v>
      </c>
      <c r="J15" s="8"/>
      <c r="K15" s="8"/>
    </row>
    <row r="16" spans="1:11">
      <c r="A16" s="80">
        <f t="shared" si="1"/>
        <v>8</v>
      </c>
      <c r="B16" s="803" t="s">
        <v>214</v>
      </c>
      <c r="C16" s="890" t="e">
        <f>SUM('общ.сводрайон без курсовой '!C16/1000)</f>
        <v>#REF!</v>
      </c>
      <c r="D16" s="890" t="e">
        <f>SUM('общ.сводрайон без курсовой '!D16/1000)</f>
        <v>#REF!</v>
      </c>
      <c r="E16" s="890" t="e">
        <f>SUM('общ.сводрайон без курсовой '!E16/1000)</f>
        <v>#REF!</v>
      </c>
      <c r="F16" s="891" t="e">
        <f t="shared" si="0"/>
        <v>#REF!</v>
      </c>
      <c r="G16" s="888" t="e">
        <f>(SUM(#REF!+#REF!))/1000</f>
        <v>#REF!</v>
      </c>
      <c r="H16" s="906" t="e">
        <f>(SUM(#REF!))/1000</f>
        <v>#REF!</v>
      </c>
      <c r="I16" s="925" t="e">
        <f t="shared" si="2"/>
        <v>#REF!</v>
      </c>
      <c r="J16" s="8"/>
      <c r="K16" s="8"/>
    </row>
    <row r="17" spans="1:11">
      <c r="A17" s="1165" t="s">
        <v>71</v>
      </c>
      <c r="B17" s="1166"/>
      <c r="C17" s="892" t="e">
        <f t="shared" ref="C17:I17" si="3">SUM(C9:C16)</f>
        <v>#REF!</v>
      </c>
      <c r="D17" s="892" t="e">
        <f t="shared" si="3"/>
        <v>#REF!</v>
      </c>
      <c r="E17" s="892" t="e">
        <f t="shared" si="3"/>
        <v>#REF!</v>
      </c>
      <c r="F17" s="893" t="e">
        <f t="shared" si="3"/>
        <v>#REF!</v>
      </c>
      <c r="G17" s="926" t="e">
        <f t="shared" si="3"/>
        <v>#REF!</v>
      </c>
      <c r="H17" s="927" t="e">
        <f t="shared" si="3"/>
        <v>#REF!</v>
      </c>
      <c r="I17" s="926" t="e">
        <f t="shared" si="3"/>
        <v>#REF!</v>
      </c>
      <c r="J17" s="8"/>
      <c r="K17" s="8"/>
    </row>
    <row r="18" spans="1:11">
      <c r="A18" s="1178" t="s">
        <v>269</v>
      </c>
      <c r="B18" s="1179"/>
      <c r="C18" s="1179"/>
      <c r="D18" s="1179"/>
      <c r="E18" s="1179"/>
      <c r="F18" s="1180"/>
      <c r="J18" s="8"/>
      <c r="K18" s="8"/>
    </row>
    <row r="19" spans="1:11">
      <c r="A19" s="79">
        <v>9</v>
      </c>
      <c r="B19" s="802" t="s">
        <v>190</v>
      </c>
      <c r="C19" s="888" t="e">
        <f>SUM('общ.сводрайон без курсовой '!C19/1000)</f>
        <v>#REF!</v>
      </c>
      <c r="D19" s="888" t="e">
        <f>SUM('общ.сводрайон без курсовой '!D19/1000)</f>
        <v>#REF!</v>
      </c>
      <c r="E19" s="888" t="e">
        <f>SUM('общ.сводрайон без курсовой '!E19/1000)</f>
        <v>#REF!</v>
      </c>
      <c r="F19" s="889" t="e">
        <f>SUM(C19+D19-E19)</f>
        <v>#REF!</v>
      </c>
      <c r="G19" s="888" t="e">
        <f>(SUM(#REF!+#REF!))/1000</f>
        <v>#REF!</v>
      </c>
      <c r="H19" s="906" t="e">
        <f>(SUM(#REF!))/1000</f>
        <v>#REF!</v>
      </c>
      <c r="I19" s="925" t="e">
        <f>SUM(F19+G19-H19)</f>
        <v>#REF!</v>
      </c>
      <c r="J19" s="8"/>
      <c r="K19" s="8"/>
    </row>
    <row r="20" spans="1:11">
      <c r="A20" s="80">
        <f t="shared" ref="A20:A33" si="4">A19+1</f>
        <v>10</v>
      </c>
      <c r="B20" s="803" t="s">
        <v>191</v>
      </c>
      <c r="C20" s="890" t="e">
        <f>SUM('общ.сводрайон без курсовой '!C20/1000)</f>
        <v>#REF!</v>
      </c>
      <c r="D20" s="890" t="e">
        <f>SUM('общ.сводрайон без курсовой '!D20/1000)</f>
        <v>#REF!</v>
      </c>
      <c r="E20" s="890" t="e">
        <f>SUM('общ.сводрайон без курсовой '!E20/1000)</f>
        <v>#REF!</v>
      </c>
      <c r="F20" s="891" t="e">
        <f>SUM(C20+D20-E20)</f>
        <v>#REF!</v>
      </c>
      <c r="G20" s="888" t="e">
        <f>(SUM(#REF!+#REF!))/1000</f>
        <v>#REF!</v>
      </c>
      <c r="H20" s="906" t="e">
        <f>(SUM(#REF!))/1000</f>
        <v>#REF!</v>
      </c>
      <c r="I20" s="925" t="e">
        <f>SUM(F20+G20-H20)</f>
        <v>#REF!</v>
      </c>
      <c r="J20" s="8"/>
      <c r="K20" s="8"/>
    </row>
    <row r="21" spans="1:11">
      <c r="A21" s="80">
        <f t="shared" si="4"/>
        <v>11</v>
      </c>
      <c r="B21" s="803" t="s">
        <v>192</v>
      </c>
      <c r="C21" s="890" t="e">
        <f>SUM('общ.сводрайон без курсовой '!C21/1000)</f>
        <v>#REF!</v>
      </c>
      <c r="D21" s="890" t="e">
        <f>SUM('общ.сводрайон без курсовой '!D21/1000)</f>
        <v>#REF!</v>
      </c>
      <c r="E21" s="890" t="e">
        <f>SUM('общ.сводрайон без курсовой '!E21/1000)</f>
        <v>#REF!</v>
      </c>
      <c r="F21" s="891" t="e">
        <f>SUM(C21+D21-E21)</f>
        <v>#REF!</v>
      </c>
      <c r="G21" s="888" t="e">
        <f>(SUM(#REF!+#REF!))/1000</f>
        <v>#REF!</v>
      </c>
      <c r="H21" s="906" t="e">
        <f>(SUM(#REF!))/1000</f>
        <v>#REF!</v>
      </c>
      <c r="I21" s="925" t="e">
        <f>SUM(F21+G21-H21)</f>
        <v>#REF!</v>
      </c>
      <c r="J21" s="8"/>
      <c r="K21" s="8"/>
    </row>
    <row r="22" spans="1:11">
      <c r="A22" s="80">
        <f t="shared" si="4"/>
        <v>12</v>
      </c>
      <c r="B22" s="803" t="s">
        <v>193</v>
      </c>
      <c r="C22" s="890" t="e">
        <f>SUM('общ.сводрайон без курсовой '!C22/1000)</f>
        <v>#REF!</v>
      </c>
      <c r="D22" s="890" t="e">
        <f>SUM('общ.сводрайон без курсовой '!D22/1000)</f>
        <v>#REF!</v>
      </c>
      <c r="E22" s="890" t="e">
        <f>SUM('общ.сводрайон без курсовой '!E22/1000)</f>
        <v>#REF!</v>
      </c>
      <c r="F22" s="891" t="e">
        <f>SUM(C22+D22-E22)</f>
        <v>#REF!</v>
      </c>
      <c r="G22" s="888" t="e">
        <f>(SUM(#REF!+#REF!))/1000</f>
        <v>#REF!</v>
      </c>
      <c r="H22" s="906" t="e">
        <f>(SUM(#REF!))/1000</f>
        <v>#REF!</v>
      </c>
      <c r="I22" s="925" t="e">
        <f>SUM(F22+G22-H22)</f>
        <v>#REF!</v>
      </c>
      <c r="J22" s="8"/>
      <c r="K22" s="8"/>
    </row>
    <row r="23" spans="1:11">
      <c r="A23" s="80">
        <f t="shared" si="4"/>
        <v>13</v>
      </c>
      <c r="B23" s="803" t="s">
        <v>205</v>
      </c>
      <c r="C23" s="890" t="e">
        <f>SUM('общ.сводрайон без курсовой '!C23/1000)</f>
        <v>#REF!</v>
      </c>
      <c r="D23" s="890" t="e">
        <f>SUM('общ.сводрайон без курсовой '!D23/1000)</f>
        <v>#REF!</v>
      </c>
      <c r="E23" s="890" t="e">
        <f>SUM('общ.сводрайон без курсовой '!E23/1000)</f>
        <v>#REF!</v>
      </c>
      <c r="F23" s="891" t="e">
        <f>SUM(C23+D23-E23)</f>
        <v>#REF!</v>
      </c>
      <c r="G23" s="888" t="e">
        <f>(SUM(#REF!+#REF!))/1000</f>
        <v>#REF!</v>
      </c>
      <c r="H23" s="906" t="e">
        <f>(SUM(#REF!))/1000</f>
        <v>#REF!</v>
      </c>
      <c r="I23" s="925" t="e">
        <f>SUM(F23+G23-H23)</f>
        <v>#REF!</v>
      </c>
      <c r="J23" s="8"/>
      <c r="K23" s="8"/>
    </row>
    <row r="24" spans="1:11" ht="31.5" customHeight="1">
      <c r="A24" s="1176" t="s">
        <v>267</v>
      </c>
      <c r="B24" s="1177"/>
      <c r="C24" s="894" t="e">
        <f t="shared" ref="C24:I24" si="5">SUM(C19:C23)</f>
        <v>#REF!</v>
      </c>
      <c r="D24" s="894" t="e">
        <f t="shared" si="5"/>
        <v>#REF!</v>
      </c>
      <c r="E24" s="894" t="e">
        <f t="shared" si="5"/>
        <v>#REF!</v>
      </c>
      <c r="F24" s="895" t="e">
        <f t="shared" si="5"/>
        <v>#REF!</v>
      </c>
      <c r="G24" s="909" t="e">
        <f t="shared" si="5"/>
        <v>#REF!</v>
      </c>
      <c r="H24" s="910" t="e">
        <f t="shared" si="5"/>
        <v>#REF!</v>
      </c>
      <c r="I24" s="909" t="e">
        <f t="shared" si="5"/>
        <v>#REF!</v>
      </c>
      <c r="J24" s="8"/>
      <c r="K24" s="8"/>
    </row>
    <row r="25" spans="1:11">
      <c r="A25" s="1178" t="s">
        <v>266</v>
      </c>
      <c r="B25" s="1179"/>
      <c r="C25" s="1179"/>
      <c r="D25" s="1179"/>
      <c r="E25" s="1179"/>
      <c r="F25" s="1180"/>
      <c r="G25" s="911"/>
      <c r="H25" s="912"/>
      <c r="I25" s="912"/>
      <c r="J25" s="8"/>
      <c r="K25" s="8"/>
    </row>
    <row r="26" spans="1:11">
      <c r="A26" s="79">
        <f>A23+1</f>
        <v>14</v>
      </c>
      <c r="B26" s="802" t="s">
        <v>194</v>
      </c>
      <c r="C26" s="888" t="e">
        <f>SUM('общ.сводрайон без курсовой '!C26/1000)</f>
        <v>#REF!</v>
      </c>
      <c r="D26" s="888" t="e">
        <f>SUM('общ.сводрайон без курсовой '!D26/1000)</f>
        <v>#REF!</v>
      </c>
      <c r="E26" s="888" t="e">
        <f>SUM('общ.сводрайон без курсовой '!E26/1000)</f>
        <v>#REF!</v>
      </c>
      <c r="F26" s="889" t="e">
        <f t="shared" ref="F26:F33" si="6">SUM(C26+D26-E26)</f>
        <v>#REF!</v>
      </c>
      <c r="G26" s="888" t="e">
        <f>(SUM(#REF!+#REF!))/1000</f>
        <v>#REF!</v>
      </c>
      <c r="H26" s="906" t="e">
        <f>(SUM(#REF!))/1000</f>
        <v>#REF!</v>
      </c>
      <c r="I26" s="925" t="e">
        <f t="shared" ref="I26:I33" si="7">SUM(F26+G26-H26)</f>
        <v>#REF!</v>
      </c>
      <c r="J26" s="8"/>
      <c r="K26" s="8"/>
    </row>
    <row r="27" spans="1:11">
      <c r="A27" s="80">
        <f t="shared" si="4"/>
        <v>15</v>
      </c>
      <c r="B27" s="803" t="s">
        <v>195</v>
      </c>
      <c r="C27" s="890" t="e">
        <f>SUM('общ.сводрайон без курсовой '!C27/1000)</f>
        <v>#REF!</v>
      </c>
      <c r="D27" s="890" t="e">
        <f>SUM('общ.сводрайон без курсовой '!D27/1000)</f>
        <v>#REF!</v>
      </c>
      <c r="E27" s="890" t="e">
        <f>SUM('общ.сводрайон без курсовой '!E27/1000)</f>
        <v>#REF!</v>
      </c>
      <c r="F27" s="891" t="e">
        <f t="shared" si="6"/>
        <v>#REF!</v>
      </c>
      <c r="G27" s="888" t="e">
        <f>(SUM(#REF!+#REF!))/1000</f>
        <v>#REF!</v>
      </c>
      <c r="H27" s="906" t="e">
        <f>(SUM(#REF!))/1000</f>
        <v>#REF!</v>
      </c>
      <c r="I27" s="925" t="e">
        <f t="shared" si="7"/>
        <v>#REF!</v>
      </c>
      <c r="J27" s="8"/>
      <c r="K27" s="8"/>
    </row>
    <row r="28" spans="1:11">
      <c r="A28" s="80">
        <f t="shared" si="4"/>
        <v>16</v>
      </c>
      <c r="B28" s="803" t="s">
        <v>196</v>
      </c>
      <c r="C28" s="890" t="e">
        <f>SUM('общ.сводрайон без курсовой '!C28/1000)</f>
        <v>#REF!</v>
      </c>
      <c r="D28" s="890" t="e">
        <f>SUM('общ.сводрайон без курсовой '!D28/1000)</f>
        <v>#REF!</v>
      </c>
      <c r="E28" s="890" t="e">
        <f>SUM('общ.сводрайон без курсовой '!E28/1000)</f>
        <v>#REF!</v>
      </c>
      <c r="F28" s="891" t="e">
        <f t="shared" si="6"/>
        <v>#REF!</v>
      </c>
      <c r="G28" s="888" t="e">
        <f>(SUM(#REF!+#REF!))/1000</f>
        <v>#REF!</v>
      </c>
      <c r="H28" s="906" t="e">
        <f>(SUM(#REF!))/1000</f>
        <v>#REF!</v>
      </c>
      <c r="I28" s="925" t="e">
        <f t="shared" si="7"/>
        <v>#REF!</v>
      </c>
      <c r="J28" s="8"/>
      <c r="K28" s="8"/>
    </row>
    <row r="29" spans="1:11">
      <c r="A29" s="80">
        <f t="shared" si="4"/>
        <v>17</v>
      </c>
      <c r="B29" s="803" t="s">
        <v>212</v>
      </c>
      <c r="C29" s="890" t="e">
        <f>SUM('общ.сводрайон без курсовой '!C29/1000)</f>
        <v>#REF!</v>
      </c>
      <c r="D29" s="890" t="e">
        <f>SUM('общ.сводрайон без курсовой '!D29/1000)</f>
        <v>#REF!</v>
      </c>
      <c r="E29" s="890" t="e">
        <f>SUM('общ.сводрайон без курсовой '!E29/1000)</f>
        <v>#REF!</v>
      </c>
      <c r="F29" s="891" t="e">
        <f t="shared" si="6"/>
        <v>#REF!</v>
      </c>
      <c r="G29" s="888" t="e">
        <f>(SUM(#REF!+#REF!))/1000</f>
        <v>#REF!</v>
      </c>
      <c r="H29" s="906" t="e">
        <f>(SUM(#REF!))/1000</f>
        <v>#REF!</v>
      </c>
      <c r="I29" s="925" t="e">
        <f t="shared" si="7"/>
        <v>#REF!</v>
      </c>
      <c r="J29" s="8"/>
      <c r="K29" s="8"/>
    </row>
    <row r="30" spans="1:11">
      <c r="A30" s="80">
        <f t="shared" si="4"/>
        <v>18</v>
      </c>
      <c r="B30" s="803" t="s">
        <v>197</v>
      </c>
      <c r="C30" s="890" t="e">
        <f>SUM('общ.сводрайон без курсовой '!C30/1000)</f>
        <v>#REF!</v>
      </c>
      <c r="D30" s="890" t="e">
        <f>SUM('общ.сводрайон без курсовой '!D30/1000)</f>
        <v>#REF!</v>
      </c>
      <c r="E30" s="890" t="e">
        <f>SUM('общ.сводрайон без курсовой '!E30/1000)</f>
        <v>#REF!</v>
      </c>
      <c r="F30" s="891" t="e">
        <f t="shared" si="6"/>
        <v>#REF!</v>
      </c>
      <c r="G30" s="888" t="e">
        <f>(SUM(#REF!+#REF!))/1000</f>
        <v>#REF!</v>
      </c>
      <c r="H30" s="906" t="e">
        <f>(SUM(#REF!))/1000</f>
        <v>#REF!</v>
      </c>
      <c r="I30" s="925" t="e">
        <f t="shared" si="7"/>
        <v>#REF!</v>
      </c>
      <c r="J30" s="8"/>
      <c r="K30" s="8"/>
    </row>
    <row r="31" spans="1:11">
      <c r="A31" s="80">
        <f t="shared" si="4"/>
        <v>19</v>
      </c>
      <c r="B31" s="803" t="s">
        <v>60</v>
      </c>
      <c r="C31" s="890" t="e">
        <f>SUM('общ.сводрайон без курсовой '!C31/1000)</f>
        <v>#REF!</v>
      </c>
      <c r="D31" s="890" t="e">
        <f>SUM('общ.сводрайон без курсовой '!D31/1000)</f>
        <v>#REF!</v>
      </c>
      <c r="E31" s="890" t="e">
        <f>SUM('общ.сводрайон без курсовой '!E31/1000)</f>
        <v>#REF!</v>
      </c>
      <c r="F31" s="891" t="e">
        <f t="shared" si="6"/>
        <v>#REF!</v>
      </c>
      <c r="G31" s="888" t="e">
        <f>(SUM(#REF!+#REF!))/1000</f>
        <v>#REF!</v>
      </c>
      <c r="H31" s="906" t="e">
        <f>(SUM(#REF!))/1000</f>
        <v>#REF!</v>
      </c>
      <c r="I31" s="925" t="e">
        <f t="shared" si="7"/>
        <v>#REF!</v>
      </c>
      <c r="J31" s="8"/>
      <c r="K31" s="8"/>
    </row>
    <row r="32" spans="1:11">
      <c r="A32" s="80">
        <f t="shared" si="4"/>
        <v>20</v>
      </c>
      <c r="B32" s="803" t="s">
        <v>198</v>
      </c>
      <c r="C32" s="890" t="e">
        <f>SUM('общ.сводрайон без курсовой '!C32/1000)</f>
        <v>#REF!</v>
      </c>
      <c r="D32" s="890" t="e">
        <f>SUM('общ.сводрайон без курсовой '!D32/1000)</f>
        <v>#REF!</v>
      </c>
      <c r="E32" s="890" t="e">
        <f>SUM('общ.сводрайон без курсовой '!E32/1000)</f>
        <v>#REF!</v>
      </c>
      <c r="F32" s="891" t="e">
        <f t="shared" si="6"/>
        <v>#REF!</v>
      </c>
      <c r="G32" s="888" t="e">
        <f>(SUM(#REF!+#REF!))/1000</f>
        <v>#REF!</v>
      </c>
      <c r="H32" s="906" t="e">
        <f>(SUM(#REF!))/1000</f>
        <v>#REF!</v>
      </c>
      <c r="I32" s="925" t="e">
        <f t="shared" si="7"/>
        <v>#REF!</v>
      </c>
      <c r="J32" s="8"/>
      <c r="K32" s="8"/>
    </row>
    <row r="33" spans="1:13">
      <c r="A33" s="80">
        <f t="shared" si="4"/>
        <v>21</v>
      </c>
      <c r="B33" s="803" t="s">
        <v>213</v>
      </c>
      <c r="C33" s="890" t="e">
        <f>SUM('общ.сводрайон без курсовой '!C33/1000)</f>
        <v>#REF!</v>
      </c>
      <c r="D33" s="890" t="e">
        <f>SUM('общ.сводрайон без курсовой '!D33/1000)</f>
        <v>#REF!</v>
      </c>
      <c r="E33" s="890" t="e">
        <f>SUM('общ.сводрайон без курсовой '!E33/1000)</f>
        <v>#REF!</v>
      </c>
      <c r="F33" s="891" t="e">
        <f t="shared" si="6"/>
        <v>#REF!</v>
      </c>
      <c r="G33" s="888" t="e">
        <f>(SUM(#REF!+#REF!))/1000</f>
        <v>#REF!</v>
      </c>
      <c r="H33" s="906" t="e">
        <f>(SUM(#REF!))/1000</f>
        <v>#REF!</v>
      </c>
      <c r="I33" s="925" t="e">
        <f t="shared" si="7"/>
        <v>#REF!</v>
      </c>
      <c r="J33" s="8"/>
      <c r="K33" s="8"/>
    </row>
    <row r="34" spans="1:13" ht="25.5" customHeight="1">
      <c r="A34" s="1176" t="s">
        <v>268</v>
      </c>
      <c r="B34" s="1177"/>
      <c r="C34" s="894" t="e">
        <f t="shared" ref="C34:I34" si="8">SUM(C26:C33)</f>
        <v>#REF!</v>
      </c>
      <c r="D34" s="894" t="e">
        <f t="shared" si="8"/>
        <v>#REF!</v>
      </c>
      <c r="E34" s="894" t="e">
        <f t="shared" si="8"/>
        <v>#REF!</v>
      </c>
      <c r="F34" s="895" t="e">
        <f t="shared" si="8"/>
        <v>#REF!</v>
      </c>
      <c r="G34" s="909" t="e">
        <f t="shared" si="8"/>
        <v>#REF!</v>
      </c>
      <c r="H34" s="910" t="e">
        <f t="shared" si="8"/>
        <v>#REF!</v>
      </c>
      <c r="I34" s="909" t="e">
        <f t="shared" si="8"/>
        <v>#REF!</v>
      </c>
      <c r="J34" s="8"/>
      <c r="K34" s="8"/>
      <c r="M34" s="8"/>
    </row>
    <row r="35" spans="1:13">
      <c r="A35" s="1167" t="s">
        <v>72</v>
      </c>
      <c r="B35" s="1168"/>
      <c r="C35" s="1168"/>
      <c r="D35" s="1168"/>
      <c r="E35" s="1168"/>
      <c r="F35" s="1169"/>
      <c r="J35" s="8"/>
      <c r="K35" s="8"/>
    </row>
    <row r="36" spans="1:13">
      <c r="A36" s="79">
        <v>22</v>
      </c>
      <c r="B36" s="802" t="s">
        <v>444</v>
      </c>
      <c r="C36" s="888" t="e">
        <f>SUM('общ.сводрайон без курсовой '!C36/1000)</f>
        <v>#REF!</v>
      </c>
      <c r="D36" s="888" t="e">
        <f>SUM('общ.сводрайон без курсовой '!D36/1000)</f>
        <v>#REF!</v>
      </c>
      <c r="E36" s="888" t="e">
        <f>SUM('общ.сводрайон без курсовой '!E36/1000)</f>
        <v>#REF!</v>
      </c>
      <c r="F36" s="889" t="e">
        <f t="shared" ref="F36:F60" si="9">SUM(C36+D36-E36)</f>
        <v>#REF!</v>
      </c>
      <c r="G36" s="888" t="e">
        <f>(SUM(#REF!+#REF!))/1000</f>
        <v>#REF!</v>
      </c>
      <c r="H36" s="906" t="e">
        <f>(SUM(#REF!))/1000</f>
        <v>#REF!</v>
      </c>
      <c r="I36" s="925" t="e">
        <f t="shared" ref="I36:I60" si="10">SUM(F36+G36-H36)</f>
        <v>#REF!</v>
      </c>
      <c r="J36" s="8"/>
      <c r="K36" s="8"/>
    </row>
    <row r="37" spans="1:13">
      <c r="A37" s="80">
        <f t="shared" ref="A37:A60" si="11">A36+1</f>
        <v>23</v>
      </c>
      <c r="B37" s="803" t="s">
        <v>172</v>
      </c>
      <c r="C37" s="890" t="e">
        <f>SUM('общ.сводрайон без курсовой '!C37/1000)</f>
        <v>#REF!</v>
      </c>
      <c r="D37" s="890" t="e">
        <f>SUM('общ.сводрайон без курсовой '!D37/1000)</f>
        <v>#REF!</v>
      </c>
      <c r="E37" s="890" t="e">
        <f>SUM('общ.сводрайон без курсовой '!E37/1000)</f>
        <v>#REF!</v>
      </c>
      <c r="F37" s="891" t="e">
        <f t="shared" si="9"/>
        <v>#REF!</v>
      </c>
      <c r="G37" s="888" t="e">
        <f>(SUM(#REF!+#REF!))/1000</f>
        <v>#REF!</v>
      </c>
      <c r="H37" s="906" t="e">
        <f>(SUM(#REF!))/1000</f>
        <v>#REF!</v>
      </c>
      <c r="I37" s="925" t="e">
        <f t="shared" si="10"/>
        <v>#REF!</v>
      </c>
      <c r="J37" s="8"/>
      <c r="K37" s="8"/>
    </row>
    <row r="38" spans="1:13">
      <c r="A38" s="80">
        <f t="shared" si="11"/>
        <v>24</v>
      </c>
      <c r="B38" s="803" t="s">
        <v>445</v>
      </c>
      <c r="C38" s="890" t="e">
        <f>SUM('общ.сводрайон без курсовой '!C38/1000)</f>
        <v>#REF!</v>
      </c>
      <c r="D38" s="890" t="e">
        <f>SUM('общ.сводрайон без курсовой '!D38/1000)</f>
        <v>#REF!</v>
      </c>
      <c r="E38" s="890" t="e">
        <f>SUM('общ.сводрайон без курсовой '!E38/1000)</f>
        <v>#REF!</v>
      </c>
      <c r="F38" s="891" t="e">
        <f t="shared" si="9"/>
        <v>#REF!</v>
      </c>
      <c r="G38" s="888" t="e">
        <f>(SUM(#REF!+#REF!))/1000</f>
        <v>#REF!</v>
      </c>
      <c r="H38" s="906" t="e">
        <f>(SUM(#REF!))/1000</f>
        <v>#REF!</v>
      </c>
      <c r="I38" s="925" t="e">
        <f t="shared" si="10"/>
        <v>#REF!</v>
      </c>
      <c r="J38" s="8"/>
      <c r="K38" s="8"/>
    </row>
    <row r="39" spans="1:13">
      <c r="A39" s="80">
        <f t="shared" si="11"/>
        <v>25</v>
      </c>
      <c r="B39" s="803" t="s">
        <v>173</v>
      </c>
      <c r="C39" s="890" t="e">
        <f>SUM('общ.сводрайон без курсовой '!C39/1000)</f>
        <v>#REF!</v>
      </c>
      <c r="D39" s="890" t="e">
        <f>SUM('общ.сводрайон без курсовой '!D39/1000)</f>
        <v>#REF!</v>
      </c>
      <c r="E39" s="890" t="e">
        <f>SUM('общ.сводрайон без курсовой '!E39/1000)</f>
        <v>#REF!</v>
      </c>
      <c r="F39" s="891" t="e">
        <f t="shared" si="9"/>
        <v>#REF!</v>
      </c>
      <c r="G39" s="888" t="e">
        <f>(SUM(#REF!+#REF!))/1000</f>
        <v>#REF!</v>
      </c>
      <c r="H39" s="906" t="e">
        <f>(SUM(#REF!))/1000</f>
        <v>#REF!</v>
      </c>
      <c r="I39" s="925" t="e">
        <f t="shared" si="10"/>
        <v>#REF!</v>
      </c>
      <c r="J39" s="8"/>
      <c r="K39" s="8"/>
    </row>
    <row r="40" spans="1:13">
      <c r="A40" s="80">
        <f t="shared" si="11"/>
        <v>26</v>
      </c>
      <c r="B40" s="803" t="s">
        <v>174</v>
      </c>
      <c r="C40" s="890" t="e">
        <f>SUM('общ.сводрайон без курсовой '!C40/1000)</f>
        <v>#REF!</v>
      </c>
      <c r="D40" s="890" t="e">
        <f>SUM('общ.сводрайон без курсовой '!D40/1000)</f>
        <v>#REF!</v>
      </c>
      <c r="E40" s="890" t="e">
        <f>SUM('общ.сводрайон без курсовой '!E40/1000)</f>
        <v>#REF!</v>
      </c>
      <c r="F40" s="891" t="e">
        <f t="shared" si="9"/>
        <v>#REF!</v>
      </c>
      <c r="G40" s="888" t="e">
        <f>(SUM(#REF!+#REF!))/1000</f>
        <v>#REF!</v>
      </c>
      <c r="H40" s="906" t="e">
        <f>(SUM(#REF!))/1000</f>
        <v>#REF!</v>
      </c>
      <c r="I40" s="925" t="e">
        <f t="shared" si="10"/>
        <v>#REF!</v>
      </c>
      <c r="J40" s="8"/>
      <c r="K40" s="8"/>
    </row>
    <row r="41" spans="1:13">
      <c r="A41" s="80">
        <f t="shared" si="11"/>
        <v>27</v>
      </c>
      <c r="B41" s="803" t="s">
        <v>446</v>
      </c>
      <c r="C41" s="890" t="e">
        <f>SUM('общ.сводрайон без курсовой '!C41/1000)</f>
        <v>#REF!</v>
      </c>
      <c r="D41" s="890" t="e">
        <f>SUM('общ.сводрайон без курсовой '!D41/1000)</f>
        <v>#REF!</v>
      </c>
      <c r="E41" s="890" t="e">
        <f>SUM('общ.сводрайон без курсовой '!E41/1000)</f>
        <v>#REF!</v>
      </c>
      <c r="F41" s="891" t="e">
        <f t="shared" si="9"/>
        <v>#REF!</v>
      </c>
      <c r="G41" s="888" t="e">
        <f>(SUM(#REF!+#REF!))/1000</f>
        <v>#REF!</v>
      </c>
      <c r="H41" s="906" t="e">
        <f>(SUM(#REF!))/1000</f>
        <v>#REF!</v>
      </c>
      <c r="I41" s="925" t="e">
        <f t="shared" si="10"/>
        <v>#REF!</v>
      </c>
      <c r="J41" s="8"/>
      <c r="K41" s="8"/>
    </row>
    <row r="42" spans="1:13">
      <c r="A42" s="80">
        <f t="shared" si="11"/>
        <v>28</v>
      </c>
      <c r="B42" s="803" t="s">
        <v>142</v>
      </c>
      <c r="C42" s="890" t="e">
        <f>SUM('общ.сводрайон без курсовой '!C42/1000)</f>
        <v>#REF!</v>
      </c>
      <c r="D42" s="890" t="e">
        <f>SUM('общ.сводрайон без курсовой '!D42/1000)</f>
        <v>#REF!</v>
      </c>
      <c r="E42" s="890" t="e">
        <f>SUM('общ.сводрайон без курсовой '!E42/1000)</f>
        <v>#REF!</v>
      </c>
      <c r="F42" s="891" t="e">
        <f t="shared" si="9"/>
        <v>#REF!</v>
      </c>
      <c r="G42" s="888" t="e">
        <f>(SUM(#REF!+#REF!))/1000</f>
        <v>#REF!</v>
      </c>
      <c r="H42" s="906" t="e">
        <f>(SUM(#REF!))/1000</f>
        <v>#REF!</v>
      </c>
      <c r="I42" s="925" t="e">
        <f t="shared" si="10"/>
        <v>#REF!</v>
      </c>
      <c r="J42" s="8"/>
      <c r="K42" s="8"/>
    </row>
    <row r="43" spans="1:13">
      <c r="A43" s="80">
        <f t="shared" si="11"/>
        <v>29</v>
      </c>
      <c r="B43" s="803" t="s">
        <v>208</v>
      </c>
      <c r="C43" s="890" t="e">
        <f>SUM('общ.сводрайон без курсовой '!C43/1000)</f>
        <v>#REF!</v>
      </c>
      <c r="D43" s="890" t="e">
        <f>SUM('общ.сводрайон без курсовой '!D43/1000)</f>
        <v>#REF!</v>
      </c>
      <c r="E43" s="890" t="e">
        <f>SUM('общ.сводрайон без курсовой '!E43/1000)</f>
        <v>#REF!</v>
      </c>
      <c r="F43" s="891" t="e">
        <f t="shared" si="9"/>
        <v>#REF!</v>
      </c>
      <c r="G43" s="888" t="e">
        <f>(SUM(#REF!+#REF!))/1000</f>
        <v>#REF!</v>
      </c>
      <c r="H43" s="906" t="e">
        <f>(SUM(#REF!))/1000</f>
        <v>#REF!</v>
      </c>
      <c r="I43" s="925" t="e">
        <f t="shared" si="10"/>
        <v>#REF!</v>
      </c>
      <c r="J43" s="8"/>
      <c r="K43" s="8"/>
    </row>
    <row r="44" spans="1:13">
      <c r="A44" s="80">
        <f t="shared" si="11"/>
        <v>30</v>
      </c>
      <c r="B44" s="803" t="s">
        <v>176</v>
      </c>
      <c r="C44" s="890" t="e">
        <f>SUM('общ.сводрайон без курсовой '!C44/1000)</f>
        <v>#REF!</v>
      </c>
      <c r="D44" s="890" t="e">
        <f>SUM('общ.сводрайон без курсовой '!D44/1000)</f>
        <v>#REF!</v>
      </c>
      <c r="E44" s="890" t="e">
        <f>SUM('общ.сводрайон без курсовой '!E44/1000)</f>
        <v>#REF!</v>
      </c>
      <c r="F44" s="891" t="e">
        <f t="shared" si="9"/>
        <v>#REF!</v>
      </c>
      <c r="G44" s="888" t="e">
        <f>(SUM(#REF!+#REF!))/1000</f>
        <v>#REF!</v>
      </c>
      <c r="H44" s="906" t="e">
        <f>(SUM(#REF!))/1000</f>
        <v>#REF!</v>
      </c>
      <c r="I44" s="925" t="e">
        <f t="shared" si="10"/>
        <v>#REF!</v>
      </c>
      <c r="J44" s="8"/>
      <c r="K44" s="8"/>
    </row>
    <row r="45" spans="1:13">
      <c r="A45" s="80">
        <f t="shared" si="11"/>
        <v>31</v>
      </c>
      <c r="B45" s="803" t="s">
        <v>177</v>
      </c>
      <c r="C45" s="890" t="e">
        <f>SUM('общ.сводрайон без курсовой '!C45/1000)</f>
        <v>#REF!</v>
      </c>
      <c r="D45" s="890" t="e">
        <f>SUM('общ.сводрайон без курсовой '!D45/1000)</f>
        <v>#REF!</v>
      </c>
      <c r="E45" s="890" t="e">
        <f>SUM('общ.сводрайон без курсовой '!E45/1000)</f>
        <v>#REF!</v>
      </c>
      <c r="F45" s="891" t="e">
        <f t="shared" si="9"/>
        <v>#REF!</v>
      </c>
      <c r="G45" s="888" t="e">
        <f>(SUM(#REF!+#REF!))/1000</f>
        <v>#REF!</v>
      </c>
      <c r="H45" s="906" t="e">
        <f>(SUM(#REF!))/1000</f>
        <v>#REF!</v>
      </c>
      <c r="I45" s="925" t="e">
        <f t="shared" si="10"/>
        <v>#REF!</v>
      </c>
      <c r="J45" s="8"/>
      <c r="K45" s="8"/>
    </row>
    <row r="46" spans="1:13">
      <c r="A46" s="80">
        <f t="shared" si="11"/>
        <v>32</v>
      </c>
      <c r="B46" s="803" t="s">
        <v>178</v>
      </c>
      <c r="C46" s="890" t="e">
        <f>SUM('общ.сводрайон без курсовой '!C46/1000)</f>
        <v>#REF!</v>
      </c>
      <c r="D46" s="890" t="e">
        <f>SUM('общ.сводрайон без курсовой '!D46/1000)</f>
        <v>#REF!</v>
      </c>
      <c r="E46" s="890" t="e">
        <f>SUM('общ.сводрайон без курсовой '!E46/1000)</f>
        <v>#REF!</v>
      </c>
      <c r="F46" s="891" t="e">
        <f t="shared" si="9"/>
        <v>#REF!</v>
      </c>
      <c r="G46" s="888" t="e">
        <f>(SUM(#REF!+#REF!))/1000</f>
        <v>#REF!</v>
      </c>
      <c r="H46" s="906" t="e">
        <f>(SUM(#REF!))/1000</f>
        <v>#REF!</v>
      </c>
      <c r="I46" s="925" t="e">
        <f t="shared" si="10"/>
        <v>#REF!</v>
      </c>
      <c r="J46" s="8"/>
      <c r="K46" s="8"/>
    </row>
    <row r="47" spans="1:13">
      <c r="A47" s="80">
        <f t="shared" si="11"/>
        <v>33</v>
      </c>
      <c r="B47" s="803" t="s">
        <v>179</v>
      </c>
      <c r="C47" s="890" t="e">
        <f>SUM('общ.сводрайон без курсовой '!C47/1000)</f>
        <v>#REF!</v>
      </c>
      <c r="D47" s="890" t="e">
        <f>SUM('общ.сводрайон без курсовой '!D47/1000)</f>
        <v>#REF!</v>
      </c>
      <c r="E47" s="890" t="e">
        <f>SUM('общ.сводрайон без курсовой '!E47/1000)</f>
        <v>#REF!</v>
      </c>
      <c r="F47" s="891" t="e">
        <f t="shared" si="9"/>
        <v>#REF!</v>
      </c>
      <c r="G47" s="888" t="e">
        <f>(SUM(#REF!+#REF!))/1000</f>
        <v>#REF!</v>
      </c>
      <c r="H47" s="906" t="e">
        <f>(SUM(#REF!))/1000</f>
        <v>#REF!</v>
      </c>
      <c r="I47" s="925" t="e">
        <f t="shared" si="10"/>
        <v>#REF!</v>
      </c>
      <c r="J47" s="8"/>
      <c r="K47" s="8"/>
    </row>
    <row r="48" spans="1:13">
      <c r="A48" s="80">
        <f t="shared" si="11"/>
        <v>34</v>
      </c>
      <c r="B48" s="803" t="s">
        <v>447</v>
      </c>
      <c r="C48" s="890" t="e">
        <f>SUM('общ.сводрайон без курсовой '!C48/1000)</f>
        <v>#REF!</v>
      </c>
      <c r="D48" s="890" t="e">
        <f>SUM('общ.сводрайон без курсовой '!D48/1000)</f>
        <v>#REF!</v>
      </c>
      <c r="E48" s="890" t="e">
        <f>SUM('общ.сводрайон без курсовой '!E48/1000)</f>
        <v>#REF!</v>
      </c>
      <c r="F48" s="891" t="e">
        <f t="shared" si="9"/>
        <v>#REF!</v>
      </c>
      <c r="G48" s="888" t="e">
        <f>(SUM(#REF!+#REF!))/1000</f>
        <v>#REF!</v>
      </c>
      <c r="H48" s="906" t="e">
        <f>(SUM(#REF!))/1000</f>
        <v>#REF!</v>
      </c>
      <c r="I48" s="925" t="e">
        <f t="shared" si="10"/>
        <v>#REF!</v>
      </c>
      <c r="J48" s="8"/>
      <c r="K48" s="8"/>
    </row>
    <row r="49" spans="1:11">
      <c r="A49" s="80">
        <f t="shared" si="11"/>
        <v>35</v>
      </c>
      <c r="B49" s="803" t="s">
        <v>436</v>
      </c>
      <c r="C49" s="890" t="e">
        <f>SUM('общ.сводрайон без курсовой '!C49/1000)</f>
        <v>#REF!</v>
      </c>
      <c r="D49" s="890" t="e">
        <f>SUM('общ.сводрайон без курсовой '!D49/1000)</f>
        <v>#REF!</v>
      </c>
      <c r="E49" s="890" t="e">
        <f>SUM('общ.сводрайон без курсовой '!E49/1000)</f>
        <v>#REF!</v>
      </c>
      <c r="F49" s="891" t="e">
        <f t="shared" si="9"/>
        <v>#REF!</v>
      </c>
      <c r="G49" s="888" t="e">
        <f>(SUM(#REF!+#REF!))/1000</f>
        <v>#REF!</v>
      </c>
      <c r="H49" s="906" t="e">
        <f>(SUM(#REF!))/1000</f>
        <v>#REF!</v>
      </c>
      <c r="I49" s="925" t="e">
        <f t="shared" si="10"/>
        <v>#REF!</v>
      </c>
      <c r="J49" s="8"/>
      <c r="K49" s="8"/>
    </row>
    <row r="50" spans="1:11">
      <c r="A50" s="80">
        <f t="shared" si="11"/>
        <v>36</v>
      </c>
      <c r="B50" s="803" t="s">
        <v>209</v>
      </c>
      <c r="C50" s="890" t="e">
        <f>SUM('общ.сводрайон без курсовой '!C50/1000)</f>
        <v>#REF!</v>
      </c>
      <c r="D50" s="890" t="e">
        <f>SUM('общ.сводрайон без курсовой '!D50/1000)</f>
        <v>#REF!</v>
      </c>
      <c r="E50" s="890" t="e">
        <f>SUM('общ.сводрайон без курсовой '!E50/1000)</f>
        <v>#REF!</v>
      </c>
      <c r="F50" s="891" t="e">
        <f t="shared" si="9"/>
        <v>#REF!</v>
      </c>
      <c r="G50" s="888" t="e">
        <f>(SUM(#REF!+#REF!))/1000</f>
        <v>#REF!</v>
      </c>
      <c r="H50" s="906" t="e">
        <f>(SUM(#REF!))/1000</f>
        <v>#REF!</v>
      </c>
      <c r="I50" s="925" t="e">
        <f t="shared" si="10"/>
        <v>#REF!</v>
      </c>
      <c r="J50" s="8"/>
      <c r="K50" s="8"/>
    </row>
    <row r="51" spans="1:11">
      <c r="A51" s="80">
        <f t="shared" si="11"/>
        <v>37</v>
      </c>
      <c r="B51" s="803" t="s">
        <v>182</v>
      </c>
      <c r="C51" s="890" t="e">
        <f>SUM('общ.сводрайон без курсовой '!C51/1000)</f>
        <v>#REF!</v>
      </c>
      <c r="D51" s="890" t="e">
        <f>SUM('общ.сводрайон без курсовой '!D51/1000)</f>
        <v>#REF!</v>
      </c>
      <c r="E51" s="890" t="e">
        <f>SUM('общ.сводрайон без курсовой '!E51/1000)</f>
        <v>#REF!</v>
      </c>
      <c r="F51" s="891" t="e">
        <f t="shared" si="9"/>
        <v>#REF!</v>
      </c>
      <c r="G51" s="888" t="e">
        <f>(SUM(#REF!+#REF!))/1000</f>
        <v>#REF!</v>
      </c>
      <c r="H51" s="906" t="e">
        <f>(SUM(#REF!))/1000</f>
        <v>#REF!</v>
      </c>
      <c r="I51" s="925" t="e">
        <f t="shared" si="10"/>
        <v>#REF!</v>
      </c>
      <c r="J51" s="8"/>
      <c r="K51" s="8"/>
    </row>
    <row r="52" spans="1:11">
      <c r="A52" s="80">
        <f t="shared" si="11"/>
        <v>38</v>
      </c>
      <c r="B52" s="803" t="s">
        <v>183</v>
      </c>
      <c r="C52" s="890" t="e">
        <f>SUM('общ.сводрайон без курсовой '!C52/1000)</f>
        <v>#REF!</v>
      </c>
      <c r="D52" s="890" t="e">
        <f>SUM('общ.сводрайон без курсовой '!D52/1000)</f>
        <v>#REF!</v>
      </c>
      <c r="E52" s="890" t="e">
        <f>SUM('общ.сводрайон без курсовой '!E52/1000)</f>
        <v>#REF!</v>
      </c>
      <c r="F52" s="891" t="e">
        <f t="shared" si="9"/>
        <v>#REF!</v>
      </c>
      <c r="G52" s="888" t="e">
        <f>(SUM(#REF!+#REF!))/1000</f>
        <v>#REF!</v>
      </c>
      <c r="H52" s="906" t="e">
        <f>(SUM(#REF!))/1000</f>
        <v>#REF!</v>
      </c>
      <c r="I52" s="925" t="e">
        <f t="shared" si="10"/>
        <v>#REF!</v>
      </c>
      <c r="J52" s="8"/>
      <c r="K52" s="8"/>
    </row>
    <row r="53" spans="1:11">
      <c r="A53" s="80">
        <f t="shared" si="11"/>
        <v>39</v>
      </c>
      <c r="B53" s="803" t="s">
        <v>184</v>
      </c>
      <c r="C53" s="890" t="e">
        <f>SUM('общ.сводрайон без курсовой '!C53/1000)</f>
        <v>#REF!</v>
      </c>
      <c r="D53" s="890" t="e">
        <f>SUM('общ.сводрайон без курсовой '!D53/1000)</f>
        <v>#REF!</v>
      </c>
      <c r="E53" s="890" t="e">
        <f>SUM('общ.сводрайон без курсовой '!E53/1000)</f>
        <v>#REF!</v>
      </c>
      <c r="F53" s="891" t="e">
        <f t="shared" si="9"/>
        <v>#REF!</v>
      </c>
      <c r="G53" s="888" t="e">
        <f>(SUM(#REF!+#REF!))/1000</f>
        <v>#REF!</v>
      </c>
      <c r="H53" s="906" t="e">
        <f>(SUM(#REF!))/1000</f>
        <v>#REF!</v>
      </c>
      <c r="I53" s="925" t="e">
        <f t="shared" si="10"/>
        <v>#REF!</v>
      </c>
      <c r="J53" s="8"/>
      <c r="K53" s="8"/>
    </row>
    <row r="54" spans="1:11">
      <c r="A54" s="80">
        <f t="shared" si="11"/>
        <v>40</v>
      </c>
      <c r="B54" s="803" t="s">
        <v>185</v>
      </c>
      <c r="C54" s="890" t="e">
        <f>SUM('общ.сводрайон без курсовой '!C54/1000)</f>
        <v>#REF!</v>
      </c>
      <c r="D54" s="890" t="e">
        <f>SUM('общ.сводрайон без курсовой '!D54/1000)</f>
        <v>#REF!</v>
      </c>
      <c r="E54" s="890" t="e">
        <f>SUM('общ.сводрайон без курсовой '!E54/1000)</f>
        <v>#REF!</v>
      </c>
      <c r="F54" s="891" t="e">
        <f t="shared" si="9"/>
        <v>#REF!</v>
      </c>
      <c r="G54" s="888" t="e">
        <f>(SUM(#REF!+#REF!))/1000</f>
        <v>#REF!</v>
      </c>
      <c r="H54" s="906" t="e">
        <f>(SUM(#REF!))/1000</f>
        <v>#REF!</v>
      </c>
      <c r="I54" s="925" t="e">
        <f t="shared" si="10"/>
        <v>#REF!</v>
      </c>
      <c r="J54" s="8"/>
      <c r="K54" s="8"/>
    </row>
    <row r="55" spans="1:11">
      <c r="A55" s="80">
        <f t="shared" si="11"/>
        <v>41</v>
      </c>
      <c r="B55" s="803" t="s">
        <v>186</v>
      </c>
      <c r="C55" s="890" t="e">
        <f>SUM('общ.сводрайон без курсовой '!C55/1000)</f>
        <v>#REF!</v>
      </c>
      <c r="D55" s="890" t="e">
        <f>SUM('общ.сводрайон без курсовой '!D55/1000)</f>
        <v>#REF!</v>
      </c>
      <c r="E55" s="890" t="e">
        <f>SUM('общ.сводрайон без курсовой '!E55/1000)</f>
        <v>#REF!</v>
      </c>
      <c r="F55" s="891" t="e">
        <f t="shared" si="9"/>
        <v>#REF!</v>
      </c>
      <c r="G55" s="888" t="e">
        <f>(SUM(#REF!+#REF!))/1000</f>
        <v>#REF!</v>
      </c>
      <c r="H55" s="906" t="e">
        <f>(SUM(#REF!))/1000</f>
        <v>#REF!</v>
      </c>
      <c r="I55" s="925" t="e">
        <f t="shared" si="10"/>
        <v>#REF!</v>
      </c>
      <c r="J55" s="8"/>
      <c r="K55" s="8"/>
    </row>
    <row r="56" spans="1:11">
      <c r="A56" s="80">
        <f t="shared" si="11"/>
        <v>42</v>
      </c>
      <c r="B56" s="803" t="s">
        <v>187</v>
      </c>
      <c r="C56" s="890" t="e">
        <f>SUM('общ.сводрайон без курсовой '!C56/1000)</f>
        <v>#REF!</v>
      </c>
      <c r="D56" s="890" t="e">
        <f>SUM('общ.сводрайон без курсовой '!D56/1000)</f>
        <v>#REF!</v>
      </c>
      <c r="E56" s="890" t="e">
        <f>SUM('общ.сводрайон без курсовой '!E56/1000)</f>
        <v>#REF!</v>
      </c>
      <c r="F56" s="891" t="e">
        <f t="shared" si="9"/>
        <v>#REF!</v>
      </c>
      <c r="G56" s="888" t="e">
        <f>(SUM(#REF!+#REF!))/1000</f>
        <v>#REF!</v>
      </c>
      <c r="H56" s="906" t="e">
        <f>(SUM(#REF!))/1000</f>
        <v>#REF!</v>
      </c>
      <c r="I56" s="925" t="e">
        <f t="shared" si="10"/>
        <v>#REF!</v>
      </c>
      <c r="J56" s="8"/>
      <c r="K56" s="8"/>
    </row>
    <row r="57" spans="1:11">
      <c r="A57" s="80">
        <f t="shared" si="11"/>
        <v>43</v>
      </c>
      <c r="B57" s="803" t="s">
        <v>188</v>
      </c>
      <c r="C57" s="890" t="e">
        <f>SUM('общ.сводрайон без курсовой '!C57/1000)</f>
        <v>#REF!</v>
      </c>
      <c r="D57" s="890" t="e">
        <f>SUM('общ.сводрайон без курсовой '!D57/1000)</f>
        <v>#REF!</v>
      </c>
      <c r="E57" s="890" t="e">
        <f>SUM('общ.сводрайон без курсовой '!E57/1000)</f>
        <v>#REF!</v>
      </c>
      <c r="F57" s="891" t="e">
        <f t="shared" si="9"/>
        <v>#REF!</v>
      </c>
      <c r="G57" s="888" t="e">
        <f>(SUM(#REF!+#REF!))/1000</f>
        <v>#REF!</v>
      </c>
      <c r="H57" s="906" t="e">
        <f>(SUM(#REF!))/1000</f>
        <v>#REF!</v>
      </c>
      <c r="I57" s="925" t="e">
        <f t="shared" si="10"/>
        <v>#REF!</v>
      </c>
      <c r="J57" s="8"/>
      <c r="K57" s="8"/>
    </row>
    <row r="58" spans="1:11">
      <c r="A58" s="80">
        <f t="shared" si="11"/>
        <v>44</v>
      </c>
      <c r="B58" s="803" t="s">
        <v>189</v>
      </c>
      <c r="C58" s="890" t="e">
        <f>SUM('общ.сводрайон без курсовой '!C58/1000)</f>
        <v>#REF!</v>
      </c>
      <c r="D58" s="890" t="e">
        <f>SUM('общ.сводрайон без курсовой '!D58/1000)</f>
        <v>#REF!</v>
      </c>
      <c r="E58" s="890" t="e">
        <f>SUM('общ.сводрайон без курсовой '!E58/1000)</f>
        <v>#REF!</v>
      </c>
      <c r="F58" s="891" t="e">
        <f t="shared" si="9"/>
        <v>#REF!</v>
      </c>
      <c r="G58" s="888" t="e">
        <f>(SUM(#REF!+#REF!))/1000</f>
        <v>#REF!</v>
      </c>
      <c r="H58" s="906" t="e">
        <f>(SUM(#REF!))/1000</f>
        <v>#REF!</v>
      </c>
      <c r="I58" s="925" t="e">
        <f t="shared" si="10"/>
        <v>#REF!</v>
      </c>
      <c r="J58" s="8"/>
      <c r="K58" s="8"/>
    </row>
    <row r="59" spans="1:11">
      <c r="A59" s="80">
        <f t="shared" si="11"/>
        <v>45</v>
      </c>
      <c r="B59" s="803" t="s">
        <v>448</v>
      </c>
      <c r="C59" s="890" t="e">
        <f>SUM('общ.сводрайон без курсовой '!C59/1000)</f>
        <v>#REF!</v>
      </c>
      <c r="D59" s="890" t="e">
        <f>SUM('общ.сводрайон без курсовой '!D59/1000)</f>
        <v>#REF!</v>
      </c>
      <c r="E59" s="890" t="e">
        <f>SUM('общ.сводрайон без курсовой '!E59/1000)</f>
        <v>#REF!</v>
      </c>
      <c r="F59" s="891" t="e">
        <f t="shared" si="9"/>
        <v>#REF!</v>
      </c>
      <c r="G59" s="888" t="e">
        <f>(SUM(#REF!+#REF!))/1000</f>
        <v>#REF!</v>
      </c>
      <c r="H59" s="906" t="e">
        <f>(SUM(#REF!))/1000</f>
        <v>#REF!</v>
      </c>
      <c r="I59" s="925" t="e">
        <f t="shared" si="10"/>
        <v>#REF!</v>
      </c>
      <c r="J59" s="8"/>
      <c r="K59" s="8"/>
    </row>
    <row r="60" spans="1:11">
      <c r="A60" s="80">
        <f t="shared" si="11"/>
        <v>46</v>
      </c>
      <c r="B60" s="803" t="s">
        <v>211</v>
      </c>
      <c r="C60" s="890" t="e">
        <f>SUM('общ.сводрайон без курсовой '!C60/1000)</f>
        <v>#REF!</v>
      </c>
      <c r="D60" s="890" t="e">
        <f>SUM('общ.сводрайон без курсовой '!D60/1000)</f>
        <v>#REF!</v>
      </c>
      <c r="E60" s="890" t="e">
        <f>SUM('общ.сводрайон без курсовой '!E60/1000)</f>
        <v>#REF!</v>
      </c>
      <c r="F60" s="891" t="e">
        <f t="shared" si="9"/>
        <v>#REF!</v>
      </c>
      <c r="G60" s="888" t="e">
        <f>(SUM(#REF!+#REF!))/1000</f>
        <v>#REF!</v>
      </c>
      <c r="H60" s="906" t="e">
        <f>(SUM(#REF!))/1000</f>
        <v>#REF!</v>
      </c>
      <c r="I60" s="925" t="e">
        <f t="shared" si="10"/>
        <v>#REF!</v>
      </c>
      <c r="J60" s="8"/>
      <c r="K60" s="8"/>
    </row>
    <row r="61" spans="1:11">
      <c r="A61" s="1165" t="s">
        <v>50</v>
      </c>
      <c r="B61" s="1166"/>
      <c r="C61" s="892" t="e">
        <f t="shared" ref="C61:I61" si="12">SUM(C36:C60)</f>
        <v>#REF!</v>
      </c>
      <c r="D61" s="892" t="e">
        <f t="shared" si="12"/>
        <v>#REF!</v>
      </c>
      <c r="E61" s="892" t="e">
        <f t="shared" si="12"/>
        <v>#REF!</v>
      </c>
      <c r="F61" s="893" t="e">
        <f t="shared" si="12"/>
        <v>#REF!</v>
      </c>
      <c r="G61" s="915" t="e">
        <f t="shared" si="12"/>
        <v>#REF!</v>
      </c>
      <c r="H61" s="906" t="e">
        <f>SUM(H36:H60)</f>
        <v>#REF!</v>
      </c>
      <c r="I61" s="915" t="e">
        <f t="shared" si="12"/>
        <v>#REF!</v>
      </c>
      <c r="J61" s="8"/>
      <c r="K61" s="8"/>
    </row>
    <row r="62" spans="1:11">
      <c r="A62" s="1167" t="s">
        <v>74</v>
      </c>
      <c r="B62" s="1168"/>
      <c r="C62" s="1168"/>
      <c r="D62" s="1168"/>
      <c r="E62" s="1168"/>
      <c r="F62" s="1169"/>
      <c r="J62" s="8"/>
      <c r="K62" s="8"/>
    </row>
    <row r="63" spans="1:11">
      <c r="A63" s="79">
        <v>47</v>
      </c>
      <c r="B63" s="804" t="s">
        <v>164</v>
      </c>
      <c r="C63" s="888" t="e">
        <f>SUM('общ.сводрайон без курсовой '!C63/1000)</f>
        <v>#REF!</v>
      </c>
      <c r="D63" s="888" t="e">
        <f>SUM('общ.сводрайон без курсовой '!D63/1000)</f>
        <v>#REF!</v>
      </c>
      <c r="E63" s="888" t="e">
        <f>SUM('общ.сводрайон без курсовой '!E63/1000)</f>
        <v>#REF!</v>
      </c>
      <c r="F63" s="889" t="e">
        <f t="shared" ref="F63:F80" si="13">SUM(C63+D63-E63)</f>
        <v>#REF!</v>
      </c>
      <c r="G63" s="888" t="e">
        <f>(SUM(#REF!+#REF!))/1000</f>
        <v>#REF!</v>
      </c>
      <c r="H63" s="906" t="e">
        <f>(SUM(#REF!))/1000</f>
        <v>#REF!</v>
      </c>
      <c r="I63" s="925" t="e">
        <f t="shared" ref="I63:I80" si="14">SUM(F63+G63-H63)</f>
        <v>#REF!</v>
      </c>
      <c r="J63" s="8"/>
      <c r="K63" s="8"/>
    </row>
    <row r="64" spans="1:11">
      <c r="A64" s="80">
        <f t="shared" ref="A64:A80" si="15">A63+1</f>
        <v>48</v>
      </c>
      <c r="B64" s="803" t="s">
        <v>111</v>
      </c>
      <c r="C64" s="890" t="e">
        <f>SUM('общ.сводрайон без курсовой '!C64/1000)</f>
        <v>#REF!</v>
      </c>
      <c r="D64" s="890" t="e">
        <f>SUM('общ.сводрайон без курсовой '!D64/1000)</f>
        <v>#REF!</v>
      </c>
      <c r="E64" s="890" t="e">
        <f>SUM('общ.сводрайон без курсовой '!E64/1000)</f>
        <v>#REF!</v>
      </c>
      <c r="F64" s="891" t="e">
        <f t="shared" si="13"/>
        <v>#REF!</v>
      </c>
      <c r="G64" s="888" t="e">
        <f>(SUM(#REF!+#REF!))/1000</f>
        <v>#REF!</v>
      </c>
      <c r="H64" s="906" t="e">
        <f>(SUM(#REF!))/1000</f>
        <v>#REF!</v>
      </c>
      <c r="I64" s="925" t="e">
        <f t="shared" si="14"/>
        <v>#REF!</v>
      </c>
      <c r="J64" s="8"/>
      <c r="K64" s="8"/>
    </row>
    <row r="65" spans="1:11">
      <c r="A65" s="80">
        <f t="shared" si="15"/>
        <v>49</v>
      </c>
      <c r="B65" s="803" t="s">
        <v>112</v>
      </c>
      <c r="C65" s="890" t="e">
        <f>SUM('общ.сводрайон без курсовой '!C65/1000)</f>
        <v>#REF!</v>
      </c>
      <c r="D65" s="890" t="e">
        <f>SUM('общ.сводрайон без курсовой '!D65/1000)</f>
        <v>#REF!</v>
      </c>
      <c r="E65" s="890" t="e">
        <f>SUM('общ.сводрайон без курсовой '!E65/1000)</f>
        <v>#REF!</v>
      </c>
      <c r="F65" s="891" t="e">
        <f t="shared" si="13"/>
        <v>#REF!</v>
      </c>
      <c r="G65" s="888" t="e">
        <f>(SUM(#REF!+#REF!))/1000</f>
        <v>#REF!</v>
      </c>
      <c r="H65" s="906" t="e">
        <f>(SUM(#REF!))/1000</f>
        <v>#REF!</v>
      </c>
      <c r="I65" s="925" t="e">
        <f t="shared" si="14"/>
        <v>#REF!</v>
      </c>
      <c r="J65" s="8"/>
      <c r="K65" s="8"/>
    </row>
    <row r="66" spans="1:11" ht="22.5">
      <c r="A66" s="80">
        <f t="shared" si="15"/>
        <v>50</v>
      </c>
      <c r="B66" s="805" t="s">
        <v>150</v>
      </c>
      <c r="C66" s="890" t="e">
        <f>SUM('общ.сводрайон без курсовой '!C66/1000)</f>
        <v>#REF!</v>
      </c>
      <c r="D66" s="890" t="e">
        <f>SUM('общ.сводрайон без курсовой '!D66/1000)</f>
        <v>#REF!</v>
      </c>
      <c r="E66" s="890" t="e">
        <f>SUM('общ.сводрайон без курсовой '!E66/1000)</f>
        <v>#REF!</v>
      </c>
      <c r="F66" s="891" t="e">
        <f t="shared" si="13"/>
        <v>#REF!</v>
      </c>
      <c r="G66" s="888" t="e">
        <f>(SUM(#REF!+#REF!))/1000</f>
        <v>#REF!</v>
      </c>
      <c r="H66" s="906" t="e">
        <f>(SUM(#REF!))/1000</f>
        <v>#REF!</v>
      </c>
      <c r="I66" s="925" t="e">
        <f t="shared" si="14"/>
        <v>#REF!</v>
      </c>
      <c r="J66" s="8"/>
      <c r="K66" s="8"/>
    </row>
    <row r="67" spans="1:11">
      <c r="A67" s="80">
        <f t="shared" si="15"/>
        <v>51</v>
      </c>
      <c r="B67" s="803" t="s">
        <v>129</v>
      </c>
      <c r="C67" s="890" t="e">
        <f>SUM('общ.сводрайон без курсовой '!C67/1000)</f>
        <v>#REF!</v>
      </c>
      <c r="D67" s="890" t="e">
        <f>SUM('общ.сводрайон без курсовой '!D67/1000)</f>
        <v>#REF!</v>
      </c>
      <c r="E67" s="890" t="e">
        <f>SUM('общ.сводрайон без курсовой '!E67/1000)</f>
        <v>#REF!</v>
      </c>
      <c r="F67" s="891" t="e">
        <f t="shared" si="13"/>
        <v>#REF!</v>
      </c>
      <c r="G67" s="888" t="e">
        <f>(SUM(#REF!+#REF!))/1000</f>
        <v>#REF!</v>
      </c>
      <c r="H67" s="906" t="e">
        <f>(SUM(#REF!))/1000</f>
        <v>#REF!</v>
      </c>
      <c r="I67" s="925" t="e">
        <f t="shared" si="14"/>
        <v>#REF!</v>
      </c>
      <c r="J67" s="8"/>
      <c r="K67" s="8"/>
    </row>
    <row r="68" spans="1:11">
      <c r="A68" s="80">
        <f t="shared" si="15"/>
        <v>52</v>
      </c>
      <c r="B68" s="803" t="s">
        <v>145</v>
      </c>
      <c r="C68" s="890" t="e">
        <f>SUM('общ.сводрайон без курсовой '!C68/1000)</f>
        <v>#REF!</v>
      </c>
      <c r="D68" s="890" t="e">
        <f>SUM('общ.сводрайон без курсовой '!D68/1000)</f>
        <v>#REF!</v>
      </c>
      <c r="E68" s="890" t="e">
        <f>SUM('общ.сводрайон без курсовой '!E68/1000)</f>
        <v>#REF!</v>
      </c>
      <c r="F68" s="891" t="e">
        <f t="shared" si="13"/>
        <v>#REF!</v>
      </c>
      <c r="G68" s="888" t="e">
        <f>(SUM(#REF!+#REF!))/1000</f>
        <v>#REF!</v>
      </c>
      <c r="H68" s="906" t="e">
        <f>(SUM(#REF!))/1000</f>
        <v>#REF!</v>
      </c>
      <c r="I68" s="925" t="e">
        <f t="shared" si="14"/>
        <v>#REF!</v>
      </c>
      <c r="J68" s="8"/>
      <c r="K68" s="8"/>
    </row>
    <row r="69" spans="1:11">
      <c r="A69" s="80">
        <f t="shared" si="15"/>
        <v>53</v>
      </c>
      <c r="B69" s="803" t="s">
        <v>146</v>
      </c>
      <c r="C69" s="890" t="e">
        <f>SUM('общ.сводрайон без курсовой '!C69/1000)</f>
        <v>#REF!</v>
      </c>
      <c r="D69" s="890" t="e">
        <f>SUM('общ.сводрайон без курсовой '!D69/1000)</f>
        <v>#REF!</v>
      </c>
      <c r="E69" s="890" t="e">
        <f>SUM('общ.сводрайон без курсовой '!E69/1000)</f>
        <v>#REF!</v>
      </c>
      <c r="F69" s="891" t="e">
        <f t="shared" si="13"/>
        <v>#REF!</v>
      </c>
      <c r="G69" s="888" t="e">
        <f>(SUM(#REF!+#REF!))/1000</f>
        <v>#REF!</v>
      </c>
      <c r="H69" s="906" t="e">
        <f>(SUM(#REF!))/1000</f>
        <v>#REF!</v>
      </c>
      <c r="I69" s="925" t="e">
        <f t="shared" si="14"/>
        <v>#REF!</v>
      </c>
      <c r="J69" s="8"/>
      <c r="K69" s="8"/>
    </row>
    <row r="70" spans="1:11">
      <c r="A70" s="80">
        <f t="shared" si="15"/>
        <v>54</v>
      </c>
      <c r="B70" s="803" t="s">
        <v>165</v>
      </c>
      <c r="C70" s="890" t="e">
        <f>SUM('общ.сводрайон без курсовой '!C70/1000)</f>
        <v>#REF!</v>
      </c>
      <c r="D70" s="890" t="e">
        <f>SUM('общ.сводрайон без курсовой '!D70/1000)</f>
        <v>#REF!</v>
      </c>
      <c r="E70" s="890" t="e">
        <f>SUM('общ.сводрайон без курсовой '!E70/1000)</f>
        <v>#REF!</v>
      </c>
      <c r="F70" s="891" t="e">
        <f t="shared" si="13"/>
        <v>#REF!</v>
      </c>
      <c r="G70" s="888" t="e">
        <f>(SUM(#REF!+#REF!))/1000</f>
        <v>#REF!</v>
      </c>
      <c r="H70" s="906" t="e">
        <f>(SUM(#REF!))/1000</f>
        <v>#REF!</v>
      </c>
      <c r="I70" s="925" t="e">
        <f t="shared" si="14"/>
        <v>#REF!</v>
      </c>
      <c r="J70" s="8"/>
      <c r="K70" s="8"/>
    </row>
    <row r="71" spans="1:11">
      <c r="A71" s="80">
        <f t="shared" si="15"/>
        <v>55</v>
      </c>
      <c r="B71" s="803" t="s">
        <v>166</v>
      </c>
      <c r="C71" s="890" t="e">
        <f>SUM('общ.сводрайон без курсовой '!C71/1000)</f>
        <v>#REF!</v>
      </c>
      <c r="D71" s="890" t="e">
        <f>SUM('общ.сводрайон без курсовой '!D71/1000)</f>
        <v>#REF!</v>
      </c>
      <c r="E71" s="890" t="e">
        <f>SUM('общ.сводрайон без курсовой '!E71/1000)</f>
        <v>#REF!</v>
      </c>
      <c r="F71" s="891" t="e">
        <f t="shared" si="13"/>
        <v>#REF!</v>
      </c>
      <c r="G71" s="888" t="e">
        <f>(SUM(#REF!+#REF!))/1000</f>
        <v>#REF!</v>
      </c>
      <c r="H71" s="906" t="e">
        <f>(SUM(#REF!))/1000</f>
        <v>#REF!</v>
      </c>
      <c r="I71" s="925" t="e">
        <f t="shared" si="14"/>
        <v>#REF!</v>
      </c>
      <c r="J71" s="8"/>
      <c r="K71" s="8"/>
    </row>
    <row r="72" spans="1:11">
      <c r="A72" s="80">
        <f t="shared" si="15"/>
        <v>56</v>
      </c>
      <c r="B72" s="803" t="s">
        <v>167</v>
      </c>
      <c r="C72" s="890" t="e">
        <f>SUM('общ.сводрайон без курсовой '!C72/1000)</f>
        <v>#REF!</v>
      </c>
      <c r="D72" s="890" t="e">
        <f>SUM('общ.сводрайон без курсовой '!D72/1000)</f>
        <v>#REF!</v>
      </c>
      <c r="E72" s="890" t="e">
        <f>SUM('общ.сводрайон без курсовой '!E72/1000)</f>
        <v>#REF!</v>
      </c>
      <c r="F72" s="891" t="e">
        <f t="shared" si="13"/>
        <v>#REF!</v>
      </c>
      <c r="G72" s="888" t="e">
        <f>(SUM(#REF!+#REF!))/1000</f>
        <v>#REF!</v>
      </c>
      <c r="H72" s="906" t="e">
        <f>(SUM(#REF!))/1000</f>
        <v>#REF!</v>
      </c>
      <c r="I72" s="925" t="e">
        <f t="shared" si="14"/>
        <v>#REF!</v>
      </c>
      <c r="J72" s="8"/>
      <c r="K72" s="8"/>
    </row>
    <row r="73" spans="1:11">
      <c r="A73" s="80">
        <f t="shared" si="15"/>
        <v>57</v>
      </c>
      <c r="B73" s="803" t="s">
        <v>168</v>
      </c>
      <c r="C73" s="890" t="e">
        <f>SUM('общ.сводрайон без курсовой '!C73/1000)</f>
        <v>#REF!</v>
      </c>
      <c r="D73" s="890" t="e">
        <f>SUM('общ.сводрайон без курсовой '!D73/1000)</f>
        <v>#REF!</v>
      </c>
      <c r="E73" s="890" t="e">
        <f>SUM('общ.сводрайон без курсовой '!E73/1000)</f>
        <v>#REF!</v>
      </c>
      <c r="F73" s="891" t="e">
        <f t="shared" si="13"/>
        <v>#REF!</v>
      </c>
      <c r="G73" s="888" t="e">
        <f>(SUM(#REF!+#REF!))/1000</f>
        <v>#REF!</v>
      </c>
      <c r="H73" s="906" t="e">
        <f>(SUM(#REF!))/1000</f>
        <v>#REF!</v>
      </c>
      <c r="I73" s="925" t="e">
        <f t="shared" si="14"/>
        <v>#REF!</v>
      </c>
      <c r="J73" s="8"/>
      <c r="K73" s="8"/>
    </row>
    <row r="74" spans="1:11">
      <c r="A74" s="80">
        <f t="shared" si="15"/>
        <v>58</v>
      </c>
      <c r="B74" s="803" t="s">
        <v>169</v>
      </c>
      <c r="C74" s="890" t="e">
        <f>SUM('общ.сводрайон без курсовой '!C74/1000)</f>
        <v>#REF!</v>
      </c>
      <c r="D74" s="890" t="e">
        <f>SUM('общ.сводрайон без курсовой '!D74/1000)</f>
        <v>#REF!</v>
      </c>
      <c r="E74" s="890" t="e">
        <f>SUM('общ.сводрайон без курсовой '!E74/1000)</f>
        <v>#REF!</v>
      </c>
      <c r="F74" s="891" t="e">
        <f t="shared" si="13"/>
        <v>#REF!</v>
      </c>
      <c r="G74" s="888" t="e">
        <f>(SUM(#REF!+#REF!))/1000</f>
        <v>#REF!</v>
      </c>
      <c r="H74" s="906" t="e">
        <f>(SUM(#REF!))/1000</f>
        <v>#REF!</v>
      </c>
      <c r="I74" s="925" t="e">
        <f t="shared" si="14"/>
        <v>#REF!</v>
      </c>
      <c r="J74" s="8"/>
      <c r="K74" s="8"/>
    </row>
    <row r="75" spans="1:11">
      <c r="A75" s="80">
        <f t="shared" si="15"/>
        <v>59</v>
      </c>
      <c r="B75" s="803" t="s">
        <v>170</v>
      </c>
      <c r="C75" s="890" t="e">
        <f>SUM('общ.сводрайон без курсовой '!C75/1000)</f>
        <v>#REF!</v>
      </c>
      <c r="D75" s="890" t="e">
        <f>SUM('общ.сводрайон без курсовой '!D75/1000)</f>
        <v>#REF!</v>
      </c>
      <c r="E75" s="890" t="e">
        <f>SUM('общ.сводрайон без курсовой '!E75/1000)</f>
        <v>#REF!</v>
      </c>
      <c r="F75" s="891" t="e">
        <f t="shared" si="13"/>
        <v>#REF!</v>
      </c>
      <c r="G75" s="888" t="e">
        <f>(SUM(#REF!+#REF!))/1000</f>
        <v>#REF!</v>
      </c>
      <c r="H75" s="906" t="e">
        <f>(SUM(#REF!))/1000</f>
        <v>#REF!</v>
      </c>
      <c r="I75" s="925" t="e">
        <f t="shared" si="14"/>
        <v>#REF!</v>
      </c>
      <c r="J75" s="8"/>
      <c r="K75" s="8"/>
    </row>
    <row r="76" spans="1:11">
      <c r="A76" s="80">
        <f t="shared" si="15"/>
        <v>60</v>
      </c>
      <c r="B76" s="803" t="s">
        <v>206</v>
      </c>
      <c r="C76" s="890" t="e">
        <f>SUM('общ.сводрайон без курсовой '!C76/1000)</f>
        <v>#REF!</v>
      </c>
      <c r="D76" s="890" t="e">
        <f>SUM('общ.сводрайон без курсовой '!D76/1000)</f>
        <v>#REF!</v>
      </c>
      <c r="E76" s="890" t="e">
        <f>SUM('общ.сводрайон без курсовой '!E76/1000)</f>
        <v>#REF!</v>
      </c>
      <c r="F76" s="891" t="e">
        <f t="shared" si="13"/>
        <v>#REF!</v>
      </c>
      <c r="G76" s="888" t="e">
        <f>(SUM(#REF!+#REF!))/1000</f>
        <v>#REF!</v>
      </c>
      <c r="H76" s="906" t="e">
        <f>(SUM(#REF!))/1000</f>
        <v>#REF!</v>
      </c>
      <c r="I76" s="925" t="e">
        <f t="shared" si="14"/>
        <v>#REF!</v>
      </c>
      <c r="J76" s="8"/>
      <c r="K76" s="8"/>
    </row>
    <row r="77" spans="1:11">
      <c r="A77" s="80">
        <f t="shared" si="15"/>
        <v>61</v>
      </c>
      <c r="B77" s="803" t="s">
        <v>207</v>
      </c>
      <c r="C77" s="890" t="e">
        <f>SUM('общ.сводрайон без курсовой '!C77/1000)</f>
        <v>#REF!</v>
      </c>
      <c r="D77" s="890" t="e">
        <f>SUM('общ.сводрайон без курсовой '!D77/1000)</f>
        <v>#REF!</v>
      </c>
      <c r="E77" s="890" t="e">
        <f>SUM('общ.сводрайон без курсовой '!E77/1000)</f>
        <v>#REF!</v>
      </c>
      <c r="F77" s="891" t="e">
        <f t="shared" si="13"/>
        <v>#REF!</v>
      </c>
      <c r="G77" s="888" t="e">
        <f>(SUM(#REF!+#REF!))/1000</f>
        <v>#REF!</v>
      </c>
      <c r="H77" s="906" t="e">
        <f>(SUM(#REF!))/1000</f>
        <v>#REF!</v>
      </c>
      <c r="I77" s="925" t="e">
        <f t="shared" si="14"/>
        <v>#REF!</v>
      </c>
      <c r="J77" s="8"/>
      <c r="K77" s="8"/>
    </row>
    <row r="78" spans="1:11">
      <c r="A78" s="80">
        <f t="shared" si="15"/>
        <v>62</v>
      </c>
      <c r="B78" s="803" t="s">
        <v>171</v>
      </c>
      <c r="C78" s="890" t="e">
        <f>SUM('общ.сводрайон без курсовой '!C78/1000)</f>
        <v>#REF!</v>
      </c>
      <c r="D78" s="890" t="e">
        <f>SUM('общ.сводрайон без курсовой '!D78/1000)</f>
        <v>#REF!</v>
      </c>
      <c r="E78" s="890" t="e">
        <f>SUM('общ.сводрайон без курсовой '!E78/1000)</f>
        <v>#REF!</v>
      </c>
      <c r="F78" s="891" t="e">
        <f t="shared" si="13"/>
        <v>#REF!</v>
      </c>
      <c r="G78" s="888" t="e">
        <f>(SUM(#REF!+#REF!))/1000</f>
        <v>#REF!</v>
      </c>
      <c r="H78" s="906" t="e">
        <f>(SUM(#REF!))/1000</f>
        <v>#REF!</v>
      </c>
      <c r="I78" s="925" t="e">
        <f t="shared" si="14"/>
        <v>#REF!</v>
      </c>
      <c r="J78" s="8"/>
      <c r="K78" s="8"/>
    </row>
    <row r="79" spans="1:11">
      <c r="A79" s="80">
        <f t="shared" si="15"/>
        <v>63</v>
      </c>
      <c r="B79" s="803" t="s">
        <v>14</v>
      </c>
      <c r="C79" s="890" t="e">
        <f>SUM('общ.сводрайон без курсовой '!C79/1000)</f>
        <v>#REF!</v>
      </c>
      <c r="D79" s="890" t="e">
        <f>SUM('общ.сводрайон без курсовой '!D79/1000)</f>
        <v>#REF!</v>
      </c>
      <c r="E79" s="890" t="e">
        <f>SUM('общ.сводрайон без курсовой '!E79/1000)</f>
        <v>#REF!</v>
      </c>
      <c r="F79" s="891" t="e">
        <f t="shared" si="13"/>
        <v>#REF!</v>
      </c>
      <c r="G79" s="888" t="e">
        <f>(SUM(#REF!+#REF!))/1000</f>
        <v>#REF!</v>
      </c>
      <c r="H79" s="906" t="e">
        <f>(SUM(#REF!))/1000</f>
        <v>#REF!</v>
      </c>
      <c r="I79" s="925" t="e">
        <f t="shared" si="14"/>
        <v>#REF!</v>
      </c>
      <c r="J79" s="8"/>
      <c r="K79" s="8"/>
    </row>
    <row r="80" spans="1:11">
      <c r="A80" s="80">
        <f t="shared" si="15"/>
        <v>64</v>
      </c>
      <c r="B80" s="803" t="s">
        <v>15</v>
      </c>
      <c r="C80" s="890" t="e">
        <f>SUM('общ.сводрайон без курсовой '!C80/1000)</f>
        <v>#REF!</v>
      </c>
      <c r="D80" s="890" t="e">
        <f>SUM('общ.сводрайон без курсовой '!D80/1000)</f>
        <v>#REF!</v>
      </c>
      <c r="E80" s="890" t="e">
        <f>SUM('общ.сводрайон без курсовой '!E80/1000)</f>
        <v>#REF!</v>
      </c>
      <c r="F80" s="891" t="e">
        <f t="shared" si="13"/>
        <v>#REF!</v>
      </c>
      <c r="G80" s="888" t="e">
        <f>(SUM(#REF!+#REF!))/1000</f>
        <v>#REF!</v>
      </c>
      <c r="H80" s="906" t="e">
        <f>(SUM(#REF!))/1000</f>
        <v>#REF!</v>
      </c>
      <c r="I80" s="925" t="e">
        <f t="shared" si="14"/>
        <v>#REF!</v>
      </c>
      <c r="J80" s="8"/>
      <c r="K80" s="8"/>
    </row>
    <row r="81" spans="1:11">
      <c r="A81" s="1170" t="s">
        <v>73</v>
      </c>
      <c r="B81" s="1171"/>
      <c r="C81" s="896" t="e">
        <f t="shared" ref="C81:I81" si="16">SUM(C63:C80)</f>
        <v>#REF!</v>
      </c>
      <c r="D81" s="896" t="e">
        <f t="shared" si="16"/>
        <v>#REF!</v>
      </c>
      <c r="E81" s="896" t="e">
        <f t="shared" si="16"/>
        <v>#REF!</v>
      </c>
      <c r="F81" s="897" t="e">
        <f t="shared" si="16"/>
        <v>#REF!</v>
      </c>
      <c r="G81" s="913" t="e">
        <f t="shared" si="16"/>
        <v>#REF!</v>
      </c>
      <c r="H81" s="913" t="e">
        <f t="shared" si="16"/>
        <v>#REF!</v>
      </c>
      <c r="I81" s="913" t="e">
        <f t="shared" si="16"/>
        <v>#REF!</v>
      </c>
      <c r="J81" s="8"/>
      <c r="K81" s="8"/>
    </row>
    <row r="82" spans="1:11">
      <c r="A82" s="1167" t="s">
        <v>7</v>
      </c>
      <c r="B82" s="1168"/>
      <c r="C82" s="1168"/>
      <c r="D82" s="1168"/>
      <c r="E82" s="1168"/>
      <c r="F82" s="1169"/>
    </row>
    <row r="83" spans="1:11">
      <c r="A83" s="79">
        <v>65</v>
      </c>
      <c r="B83" s="802" t="s">
        <v>161</v>
      </c>
      <c r="C83" s="888" t="e">
        <f>SUM('общ.сводрайон без курсовой '!C83/1000)</f>
        <v>#REF!</v>
      </c>
      <c r="D83" s="888" t="e">
        <f>SUM('общ.сводрайон без курсовой '!D83/1000)</f>
        <v>#REF!</v>
      </c>
      <c r="E83" s="888" t="e">
        <f>SUM('общ.сводрайон без курсовой '!E83/1000)</f>
        <v>#REF!</v>
      </c>
      <c r="F83" s="889" t="e">
        <f>SUM(C83+D83-E83)</f>
        <v>#REF!</v>
      </c>
      <c r="G83" s="888" t="e">
        <f>(SUM(#REF!+#REF!))/1000</f>
        <v>#REF!</v>
      </c>
      <c r="H83" s="906" t="e">
        <f>(SUM(#REF!))/1000</f>
        <v>#REF!</v>
      </c>
      <c r="I83" s="925" t="e">
        <f>SUM(F83+G83-H83)</f>
        <v>#REF!</v>
      </c>
      <c r="J83" s="8"/>
      <c r="K83" s="8"/>
    </row>
    <row r="84" spans="1:11">
      <c r="A84" s="80">
        <f>A83+1</f>
        <v>66</v>
      </c>
      <c r="B84" s="803" t="s">
        <v>162</v>
      </c>
      <c r="C84" s="890" t="e">
        <f>SUM('общ.сводрайон без курсовой '!C84/1000)</f>
        <v>#REF!</v>
      </c>
      <c r="D84" s="890" t="e">
        <f>SUM('общ.сводрайон без курсовой '!D84/1000)</f>
        <v>#REF!</v>
      </c>
      <c r="E84" s="890" t="e">
        <f>SUM('общ.сводрайон без курсовой '!E84/1000)</f>
        <v>#REF!</v>
      </c>
      <c r="F84" s="891" t="e">
        <f>SUM(C84+D84-E84)</f>
        <v>#REF!</v>
      </c>
      <c r="G84" s="888" t="e">
        <f>(SUM(#REF!+#REF!))/1000</f>
        <v>#REF!</v>
      </c>
      <c r="H84" s="906" t="e">
        <f>(SUM(#REF!))/1000</f>
        <v>#REF!</v>
      </c>
      <c r="I84" s="925" t="e">
        <f>SUM(F84+G84-H84)</f>
        <v>#REF!</v>
      </c>
      <c r="J84" s="8"/>
      <c r="K84" s="8"/>
    </row>
    <row r="85" spans="1:11">
      <c r="A85" s="80">
        <f>A84+1</f>
        <v>67</v>
      </c>
      <c r="B85" s="803" t="s">
        <v>24</v>
      </c>
      <c r="C85" s="890" t="e">
        <f>SUM('общ.сводрайон без курсовой '!C85/1000)</f>
        <v>#REF!</v>
      </c>
      <c r="D85" s="890" t="e">
        <f>SUM('общ.сводрайон без курсовой '!D85/1000)</f>
        <v>#REF!</v>
      </c>
      <c r="E85" s="890" t="e">
        <f>SUM('общ.сводрайон без курсовой '!E85/1000)</f>
        <v>#REF!</v>
      </c>
      <c r="F85" s="891" t="e">
        <f>SUM(C85+D85-E85)</f>
        <v>#REF!</v>
      </c>
      <c r="G85" s="888" t="e">
        <f>(SUM(#REF!+#REF!))/1000</f>
        <v>#REF!</v>
      </c>
      <c r="H85" s="906" t="e">
        <f>(SUM(#REF!))/1000</f>
        <v>#REF!</v>
      </c>
      <c r="I85" s="925" t="e">
        <f>SUM(F85+G85-H85)</f>
        <v>#REF!</v>
      </c>
      <c r="J85" s="8"/>
      <c r="K85" s="8"/>
    </row>
    <row r="86" spans="1:11">
      <c r="A86" s="80">
        <f>A85+1</f>
        <v>68</v>
      </c>
      <c r="B86" s="806" t="s">
        <v>163</v>
      </c>
      <c r="C86" s="890" t="e">
        <f>SUM('общ.сводрайон без курсовой '!C86/1000)</f>
        <v>#REF!</v>
      </c>
      <c r="D86" s="890" t="e">
        <f>SUM('общ.сводрайон без курсовой '!D86/1000)</f>
        <v>#REF!</v>
      </c>
      <c r="E86" s="890" t="e">
        <f>SUM('общ.сводрайон без курсовой '!E86/1000)</f>
        <v>#REF!</v>
      </c>
      <c r="F86" s="891" t="e">
        <f>SUM(C86+D86-E86)</f>
        <v>#REF!</v>
      </c>
      <c r="G86" s="888" t="e">
        <f>(SUM(#REF!+#REF!))/1000</f>
        <v>#REF!</v>
      </c>
      <c r="H86" s="906" t="e">
        <f>(SUM(#REF!))/1000</f>
        <v>#REF!</v>
      </c>
      <c r="I86" s="925" t="e">
        <f>SUM(F86+G86-H86)</f>
        <v>#REF!</v>
      </c>
      <c r="J86" s="8"/>
      <c r="K86" s="8"/>
    </row>
    <row r="87" spans="1:11">
      <c r="A87" s="1165" t="s">
        <v>26</v>
      </c>
      <c r="B87" s="1166"/>
      <c r="C87" s="892" t="e">
        <f t="shared" ref="C87:I87" si="17">SUM(C83:C86)</f>
        <v>#REF!</v>
      </c>
      <c r="D87" s="892" t="e">
        <f t="shared" si="17"/>
        <v>#REF!</v>
      </c>
      <c r="E87" s="892" t="e">
        <f t="shared" si="17"/>
        <v>#REF!</v>
      </c>
      <c r="F87" s="893" t="e">
        <f t="shared" si="17"/>
        <v>#REF!</v>
      </c>
      <c r="G87" s="915" t="e">
        <f t="shared" si="17"/>
        <v>#REF!</v>
      </c>
      <c r="H87" s="915" t="e">
        <f t="shared" si="17"/>
        <v>#REF!</v>
      </c>
      <c r="I87" s="915" t="e">
        <f t="shared" si="17"/>
        <v>#REF!</v>
      </c>
      <c r="J87" s="8"/>
      <c r="K87" s="8"/>
    </row>
    <row r="88" spans="1:11" ht="21" hidden="1" customHeight="1">
      <c r="A88" s="208"/>
      <c r="B88" s="807"/>
      <c r="C88" s="898"/>
      <c r="D88" s="898"/>
      <c r="E88" s="898"/>
      <c r="F88" s="899"/>
      <c r="J88" s="8"/>
      <c r="K88" s="8"/>
    </row>
    <row r="89" spans="1:11" ht="69" hidden="1" customHeight="1">
      <c r="A89" s="1160" t="s">
        <v>247</v>
      </c>
      <c r="B89" s="1174"/>
      <c r="C89" s="917">
        <v>743909000</v>
      </c>
      <c r="D89" s="917">
        <v>0</v>
      </c>
      <c r="E89" s="917">
        <v>0</v>
      </c>
      <c r="F89" s="918">
        <v>743909000</v>
      </c>
      <c r="J89" s="8"/>
      <c r="K89" s="8"/>
    </row>
    <row r="90" spans="1:11" ht="66" hidden="1" customHeight="1">
      <c r="A90" s="1162" t="s">
        <v>248</v>
      </c>
      <c r="B90" s="1175"/>
      <c r="C90" s="900">
        <v>743909000</v>
      </c>
      <c r="D90" s="900">
        <v>0</v>
      </c>
      <c r="E90" s="900">
        <v>0</v>
      </c>
      <c r="F90" s="901">
        <v>743909000</v>
      </c>
      <c r="J90" s="8"/>
      <c r="K90" s="8"/>
    </row>
    <row r="91" spans="1:11">
      <c r="A91" s="208"/>
      <c r="B91" s="807"/>
      <c r="C91" s="898"/>
      <c r="D91" s="898"/>
      <c r="E91" s="898"/>
      <c r="F91" s="899"/>
    </row>
    <row r="92" spans="1:11">
      <c r="A92" s="208"/>
      <c r="B92" s="807"/>
      <c r="C92" s="898"/>
      <c r="D92" s="898"/>
      <c r="E92" s="898"/>
      <c r="F92" s="899"/>
    </row>
    <row r="93" spans="1:11">
      <c r="A93" s="1172" t="s">
        <v>77</v>
      </c>
      <c r="B93" s="1173"/>
      <c r="C93" s="900" t="e">
        <f t="shared" ref="C93:I93" si="18">SUM(C87+C81+C61+C34+C17+C24)</f>
        <v>#REF!</v>
      </c>
      <c r="D93" s="900" t="e">
        <f t="shared" si="18"/>
        <v>#REF!</v>
      </c>
      <c r="E93" s="900" t="e">
        <f t="shared" si="18"/>
        <v>#REF!</v>
      </c>
      <c r="F93" s="901" t="e">
        <f t="shared" si="18"/>
        <v>#REF!</v>
      </c>
      <c r="G93" s="928" t="e">
        <f t="shared" si="18"/>
        <v>#REF!</v>
      </c>
      <c r="H93" s="928" t="e">
        <f t="shared" si="18"/>
        <v>#REF!</v>
      </c>
      <c r="I93" s="928" t="e">
        <f t="shared" si="18"/>
        <v>#REF!</v>
      </c>
    </row>
    <row r="94" spans="1:11" ht="13.5" customHeight="1"/>
    <row r="95" spans="1:11" ht="21.75" customHeight="1">
      <c r="B95" s="800" t="s">
        <v>260</v>
      </c>
      <c r="J95" s="8"/>
    </row>
    <row r="96" spans="1:11">
      <c r="B96" s="1124" t="s">
        <v>259</v>
      </c>
      <c r="C96" s="1124"/>
      <c r="D96" s="1124"/>
    </row>
    <row r="98" spans="3:9">
      <c r="F98" s="887" t="e">
        <f>SUM(C93+D93-E93)</f>
        <v>#REF!</v>
      </c>
      <c r="G98" s="887" t="e">
        <f>SUM(G93-#REF!)</f>
        <v>#REF!</v>
      </c>
      <c r="H98" s="902" t="e">
        <f>SUM(H93-#REF!)</f>
        <v>#REF!</v>
      </c>
      <c r="I98" s="887"/>
    </row>
    <row r="99" spans="3:9">
      <c r="C99" s="887" t="e">
        <f>SUM(C93-#REF!)</f>
        <v>#REF!</v>
      </c>
      <c r="D99" s="887" t="e">
        <f>SUM(D93-#REF!)</f>
        <v>#REF!</v>
      </c>
      <c r="E99" s="887" t="e">
        <f>SUM(E93-#REF!)</f>
        <v>#REF!</v>
      </c>
      <c r="F99" s="887" t="e">
        <f>SUM(F93-#REF!)</f>
        <v>#REF!</v>
      </c>
      <c r="G99" s="887" t="e">
        <f>SUM(G93-#REF!)</f>
        <v>#REF!</v>
      </c>
      <c r="H99" s="887" t="e">
        <f>SUM(H93-#REF!)</f>
        <v>#REF!</v>
      </c>
      <c r="I99" s="887"/>
    </row>
    <row r="100" spans="3:9">
      <c r="C100" s="887" t="e">
        <f>SUM(C93-'общ.сводрайон без курсовой '!C93/1000)</f>
        <v>#REF!</v>
      </c>
      <c r="D100" s="887" t="e">
        <f>SUM(D93-'общ.сводрайон без курсовой '!D93/1000)</f>
        <v>#REF!</v>
      </c>
      <c r="E100" s="887" t="e">
        <f>SUM(E93-'общ.сводрайон без курсовой '!E93/1000)</f>
        <v>#REF!</v>
      </c>
      <c r="F100" s="887" t="e">
        <f>SUM(F93-'общ.сводрайон без курсовой '!F93/1000)</f>
        <v>#REF!</v>
      </c>
      <c r="G100" s="887" t="e">
        <f>SUM(G93-'общ.сводрайон без курсовой '!G93/1000)</f>
        <v>#REF!</v>
      </c>
      <c r="H100" s="902" t="e">
        <f>SUM(H93-'общ.сводрайон без курсовой '!H93/1000)</f>
        <v>#REF!</v>
      </c>
      <c r="I100" s="887" t="e">
        <f>SUM(I93-'общ.сводрайон без курсовой '!I93/1000)</f>
        <v>#REF!</v>
      </c>
    </row>
  </sheetData>
  <mergeCells count="27">
    <mergeCell ref="I5:I6"/>
    <mergeCell ref="A1:F1"/>
    <mergeCell ref="A2:F2"/>
    <mergeCell ref="A5:A6"/>
    <mergeCell ref="B5:B6"/>
    <mergeCell ref="C5:C6"/>
    <mergeCell ref="D5:D6"/>
    <mergeCell ref="E5:E6"/>
    <mergeCell ref="F5:F6"/>
    <mergeCell ref="G5:G6"/>
    <mergeCell ref="A24:B24"/>
    <mergeCell ref="A25:F25"/>
    <mergeCell ref="A34:B34"/>
    <mergeCell ref="A35:F35"/>
    <mergeCell ref="H5:H6"/>
    <mergeCell ref="A8:F8"/>
    <mergeCell ref="A17:B17"/>
    <mergeCell ref="A18:F18"/>
    <mergeCell ref="A61:B61"/>
    <mergeCell ref="A62:F62"/>
    <mergeCell ref="A81:B81"/>
    <mergeCell ref="A93:B93"/>
    <mergeCell ref="B96:D96"/>
    <mergeCell ref="A82:F82"/>
    <mergeCell ref="A87:B87"/>
    <mergeCell ref="A89:B89"/>
    <mergeCell ref="A90:B90"/>
  </mergeCells>
  <phoneticPr fontId="10" type="noConversion"/>
  <printOptions horizontalCentered="1"/>
  <pageMargins left="0.15748031496062992" right="0.27559055118110237" top="0.15748031496062992" bottom="0.35433070866141736" header="0.19685039370078741" footer="0.26"/>
  <pageSetup paperSize="9" scale="6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14">
    <tabColor indexed="10"/>
  </sheetPr>
  <dimension ref="A1:M108"/>
  <sheetViews>
    <sheetView zoomScale="75" workbookViewId="0">
      <selection activeCell="E14" sqref="E14"/>
    </sheetView>
  </sheetViews>
  <sheetFormatPr defaultColWidth="9.140625" defaultRowHeight="21"/>
  <cols>
    <col min="1" max="1" width="4.42578125" style="19" bestFit="1" customWidth="1"/>
    <col min="2" max="2" width="42.140625" style="800" customWidth="1"/>
    <col min="3" max="3" width="25.7109375" style="887" customWidth="1"/>
    <col min="4" max="4" width="28.140625" style="887" customWidth="1"/>
    <col min="5" max="5" width="27.28515625" style="887" customWidth="1"/>
    <col min="6" max="6" width="24.28515625" style="887" customWidth="1"/>
    <col min="7" max="7" width="19" style="887" customWidth="1"/>
    <col min="8" max="8" width="19" style="902" customWidth="1"/>
    <col min="9" max="9" width="22.85546875" style="887" customWidth="1"/>
    <col min="10" max="10" width="36.5703125" style="1" customWidth="1"/>
    <col min="11" max="11" width="27.85546875" style="1" customWidth="1"/>
    <col min="12" max="12" width="18.7109375" style="1" customWidth="1"/>
    <col min="13" max="13" width="17.7109375" style="1" customWidth="1"/>
    <col min="14" max="16384" width="9.140625" style="1"/>
  </cols>
  <sheetData>
    <row r="1" spans="1:12">
      <c r="A1" s="1139" t="s">
        <v>234</v>
      </c>
      <c r="B1" s="1139"/>
      <c r="C1" s="1139"/>
      <c r="D1" s="1139"/>
      <c r="E1" s="1139"/>
      <c r="F1" s="1139"/>
    </row>
    <row r="2" spans="1:12" ht="14.25" customHeight="1">
      <c r="A2" s="1140" t="s">
        <v>251</v>
      </c>
      <c r="B2" s="1140"/>
      <c r="C2" s="1140"/>
      <c r="D2" s="1140"/>
      <c r="E2" s="1140"/>
      <c r="F2" s="1140"/>
    </row>
    <row r="3" spans="1:12" ht="14.25" customHeight="1">
      <c r="A3" s="885"/>
      <c r="B3" s="885"/>
      <c r="C3" s="919"/>
      <c r="D3" s="919"/>
      <c r="E3" s="919"/>
      <c r="F3" s="919"/>
    </row>
    <row r="4" spans="1:12">
      <c r="C4" s="887" t="e">
        <f>CLEAN(#REF!)</f>
        <v>#REF!</v>
      </c>
      <c r="I4" s="886" t="s">
        <v>160</v>
      </c>
    </row>
    <row r="5" spans="1:12" ht="21" customHeight="1">
      <c r="A5" s="1141" t="s">
        <v>80</v>
      </c>
      <c r="B5" s="1143" t="s">
        <v>245</v>
      </c>
      <c r="C5" s="1145" t="e">
        <f>CLEAN(#REF!)</f>
        <v>#REF!</v>
      </c>
      <c r="D5" s="1145" t="e">
        <f>CLEAN(#REF!)</f>
        <v>#REF!</v>
      </c>
      <c r="E5" s="1145" t="e">
        <f>CLEAN(#REF!)</f>
        <v>#REF!</v>
      </c>
      <c r="F5" s="1145" t="e">
        <f>CLEAN(#REF!)</f>
        <v>#REF!</v>
      </c>
      <c r="G5" s="1149" t="s">
        <v>376</v>
      </c>
      <c r="H5" s="1153" t="s">
        <v>377</v>
      </c>
      <c r="I5" s="1185" t="s">
        <v>429</v>
      </c>
    </row>
    <row r="6" spans="1:12" ht="35.25" customHeight="1">
      <c r="A6" s="1183"/>
      <c r="B6" s="1184"/>
      <c r="C6" s="1181"/>
      <c r="D6" s="1181"/>
      <c r="E6" s="1181"/>
      <c r="F6" s="1181"/>
      <c r="G6" s="1150"/>
      <c r="H6" s="1154"/>
      <c r="I6" s="1186"/>
    </row>
    <row r="7" spans="1:12" s="19" customFormat="1" ht="15.75" customHeight="1">
      <c r="A7" s="183">
        <v>1</v>
      </c>
      <c r="B7" s="153">
        <v>2</v>
      </c>
      <c r="C7" s="788">
        <v>3</v>
      </c>
      <c r="D7" s="788">
        <v>4</v>
      </c>
      <c r="E7" s="788">
        <v>5</v>
      </c>
      <c r="F7" s="789">
        <v>6</v>
      </c>
      <c r="G7" s="903">
        <v>7</v>
      </c>
      <c r="H7" s="904"/>
      <c r="I7" s="789">
        <v>7</v>
      </c>
    </row>
    <row r="8" spans="1:12">
      <c r="A8" s="1179" t="s">
        <v>76</v>
      </c>
      <c r="B8" s="1179"/>
      <c r="C8" s="1179"/>
      <c r="D8" s="1179"/>
      <c r="E8" s="1179"/>
      <c r="F8" s="1179"/>
      <c r="J8" s="8"/>
      <c r="K8" s="8"/>
    </row>
    <row r="9" spans="1:12">
      <c r="A9" s="79">
        <v>1</v>
      </c>
      <c r="B9" s="802" t="s">
        <v>70</v>
      </c>
      <c r="C9" s="888" t="e">
        <f>SUM(#REF!+#REF!)</f>
        <v>#REF!</v>
      </c>
      <c r="D9" s="888" t="e">
        <f>SUM(#REF!+#REF!)</f>
        <v>#REF!</v>
      </c>
      <c r="E9" s="888" t="e">
        <f>SUM(#REF!+#REF!)</f>
        <v>#REF!</v>
      </c>
      <c r="F9" s="889" t="e">
        <f t="shared" ref="F9:F16" si="0">SUM(C9+D9-E9)</f>
        <v>#REF!</v>
      </c>
      <c r="G9" s="888" t="e">
        <f>SUM(#REF!+#REF!)</f>
        <v>#REF!</v>
      </c>
      <c r="H9" s="906" t="e">
        <f>#REF!</f>
        <v>#REF!</v>
      </c>
      <c r="I9" s="888" t="e">
        <f>SUM(F9+G9-H9)</f>
        <v>#REF!</v>
      </c>
      <c r="J9" s="8" t="e">
        <f t="shared" ref="J9:J41" si="1">SUM(C9+D9-E9)</f>
        <v>#REF!</v>
      </c>
      <c r="K9" s="8" t="e">
        <f>SUM(F9-I9)</f>
        <v>#REF!</v>
      </c>
      <c r="L9" s="8" t="e">
        <f t="shared" ref="L9:L17" si="2">SUM(K9+G9-H9)</f>
        <v>#REF!</v>
      </c>
    </row>
    <row r="10" spans="1:12">
      <c r="A10" s="80">
        <f t="shared" ref="A10:A16" si="3">A9+1</f>
        <v>2</v>
      </c>
      <c r="B10" s="803" t="s">
        <v>200</v>
      </c>
      <c r="C10" s="890" t="e">
        <f>SUM(#REF!+#REF!)</f>
        <v>#REF!</v>
      </c>
      <c r="D10" s="890" t="e">
        <f>SUM(#REF!+#REF!)</f>
        <v>#REF!</v>
      </c>
      <c r="E10" s="888" t="e">
        <f>SUM(#REF!+#REF!)</f>
        <v>#REF!</v>
      </c>
      <c r="F10" s="891" t="e">
        <f t="shared" si="0"/>
        <v>#REF!</v>
      </c>
      <c r="G10" s="888" t="e">
        <f>SUM(#REF!+#REF!)</f>
        <v>#REF!</v>
      </c>
      <c r="H10" s="906" t="e">
        <f>#REF!</f>
        <v>#REF!</v>
      </c>
      <c r="I10" s="888" t="e">
        <f>SUM(F10+G10-H10)</f>
        <v>#REF!</v>
      </c>
      <c r="J10" s="8" t="e">
        <f t="shared" si="1"/>
        <v>#REF!</v>
      </c>
      <c r="K10" s="8" t="e">
        <f t="shared" ref="K10:K73" si="4">SUM(F10-I10)</f>
        <v>#REF!</v>
      </c>
      <c r="L10" s="8" t="e">
        <f t="shared" si="2"/>
        <v>#REF!</v>
      </c>
    </row>
    <row r="11" spans="1:12">
      <c r="A11" s="80">
        <f t="shared" si="3"/>
        <v>3</v>
      </c>
      <c r="B11" s="803" t="s">
        <v>201</v>
      </c>
      <c r="C11" s="890" t="e">
        <f>SUM(#REF!+#REF!)</f>
        <v>#REF!</v>
      </c>
      <c r="D11" s="890" t="e">
        <f>SUM(#REF!+#REF!)</f>
        <v>#REF!</v>
      </c>
      <c r="E11" s="888" t="e">
        <f>SUM(#REF!+#REF!)</f>
        <v>#REF!</v>
      </c>
      <c r="F11" s="891" t="e">
        <f t="shared" si="0"/>
        <v>#REF!</v>
      </c>
      <c r="G11" s="888" t="e">
        <f>SUM(#REF!+#REF!)</f>
        <v>#REF!</v>
      </c>
      <c r="H11" s="906" t="e">
        <f>#REF!</f>
        <v>#REF!</v>
      </c>
      <c r="I11" s="888" t="e">
        <f t="shared" ref="I11:I16" si="5">SUM(F11+G11-H11)</f>
        <v>#REF!</v>
      </c>
      <c r="J11" s="8" t="e">
        <f t="shared" si="1"/>
        <v>#REF!</v>
      </c>
      <c r="K11" s="8" t="e">
        <f t="shared" si="4"/>
        <v>#REF!</v>
      </c>
      <c r="L11" s="8" t="e">
        <f t="shared" si="2"/>
        <v>#REF!</v>
      </c>
    </row>
    <row r="12" spans="1:12">
      <c r="A12" s="80">
        <f t="shared" si="3"/>
        <v>4</v>
      </c>
      <c r="B12" s="803" t="s">
        <v>202</v>
      </c>
      <c r="C12" s="890" t="e">
        <f>SUM(#REF!+#REF!)</f>
        <v>#REF!</v>
      </c>
      <c r="D12" s="890" t="e">
        <f>SUM(#REF!+#REF!)</f>
        <v>#REF!</v>
      </c>
      <c r="E12" s="888" t="e">
        <f>SUM(#REF!+#REF!)</f>
        <v>#REF!</v>
      </c>
      <c r="F12" s="891" t="e">
        <f t="shared" si="0"/>
        <v>#REF!</v>
      </c>
      <c r="G12" s="888" t="e">
        <f>SUM(#REF!+#REF!)</f>
        <v>#REF!</v>
      </c>
      <c r="H12" s="906" t="e">
        <f>#REF!</f>
        <v>#REF!</v>
      </c>
      <c r="I12" s="888" t="e">
        <f t="shared" si="5"/>
        <v>#REF!</v>
      </c>
      <c r="J12" s="8" t="e">
        <f t="shared" si="1"/>
        <v>#REF!</v>
      </c>
      <c r="K12" s="8" t="e">
        <f t="shared" si="4"/>
        <v>#REF!</v>
      </c>
      <c r="L12" s="8" t="e">
        <f t="shared" si="2"/>
        <v>#REF!</v>
      </c>
    </row>
    <row r="13" spans="1:12">
      <c r="A13" s="80">
        <f t="shared" si="3"/>
        <v>5</v>
      </c>
      <c r="B13" s="803" t="s">
        <v>203</v>
      </c>
      <c r="C13" s="890" t="e">
        <f>SUM(#REF!+#REF!)</f>
        <v>#REF!</v>
      </c>
      <c r="D13" s="890" t="e">
        <f>SUM(#REF!+#REF!)</f>
        <v>#REF!</v>
      </c>
      <c r="E13" s="888" t="e">
        <f>SUM(#REF!+#REF!)</f>
        <v>#REF!</v>
      </c>
      <c r="F13" s="891" t="e">
        <f t="shared" si="0"/>
        <v>#REF!</v>
      </c>
      <c r="G13" s="888" t="e">
        <f>SUM(#REF!+#REF!)</f>
        <v>#REF!</v>
      </c>
      <c r="H13" s="906" t="e">
        <f>#REF!</f>
        <v>#REF!</v>
      </c>
      <c r="I13" s="888" t="e">
        <f t="shared" si="5"/>
        <v>#REF!</v>
      </c>
      <c r="J13" s="8" t="e">
        <f t="shared" si="1"/>
        <v>#REF!</v>
      </c>
      <c r="K13" s="8" t="e">
        <f t="shared" si="4"/>
        <v>#REF!</v>
      </c>
      <c r="L13" s="8" t="e">
        <f t="shared" si="2"/>
        <v>#REF!</v>
      </c>
    </row>
    <row r="14" spans="1:12">
      <c r="A14" s="80">
        <f t="shared" si="3"/>
        <v>6</v>
      </c>
      <c r="B14" s="803" t="s">
        <v>461</v>
      </c>
      <c r="C14" s="890" t="e">
        <f>SUM(#REF!+#REF!)</f>
        <v>#REF!</v>
      </c>
      <c r="D14" s="890" t="e">
        <f>SUM(#REF!+#REF!)</f>
        <v>#REF!</v>
      </c>
      <c r="E14" s="888" t="e">
        <f>SUM(#REF!+#REF!)</f>
        <v>#REF!</v>
      </c>
      <c r="F14" s="891" t="e">
        <f t="shared" si="0"/>
        <v>#REF!</v>
      </c>
      <c r="G14" s="888" t="e">
        <f>SUM(#REF!+#REF!)</f>
        <v>#REF!</v>
      </c>
      <c r="H14" s="906" t="e">
        <f>#REF!</f>
        <v>#REF!</v>
      </c>
      <c r="I14" s="888" t="e">
        <f t="shared" si="5"/>
        <v>#REF!</v>
      </c>
      <c r="J14" s="8" t="e">
        <f t="shared" si="1"/>
        <v>#REF!</v>
      </c>
      <c r="K14" s="8" t="e">
        <f t="shared" si="4"/>
        <v>#REF!</v>
      </c>
      <c r="L14" s="8" t="e">
        <f t="shared" si="2"/>
        <v>#REF!</v>
      </c>
    </row>
    <row r="15" spans="1:12">
      <c r="A15" s="80">
        <f t="shared" si="3"/>
        <v>7</v>
      </c>
      <c r="B15" s="803" t="s">
        <v>462</v>
      </c>
      <c r="C15" s="890" t="e">
        <f>SUM(#REF!+#REF!)</f>
        <v>#REF!</v>
      </c>
      <c r="D15" s="890" t="e">
        <f>SUM(#REF!+#REF!)</f>
        <v>#REF!</v>
      </c>
      <c r="E15" s="888" t="e">
        <f>SUM(#REF!+#REF!)</f>
        <v>#REF!</v>
      </c>
      <c r="F15" s="891" t="e">
        <f t="shared" si="0"/>
        <v>#REF!</v>
      </c>
      <c r="G15" s="888" t="e">
        <f>SUM(#REF!+#REF!)</f>
        <v>#REF!</v>
      </c>
      <c r="H15" s="906" t="e">
        <f>#REF!</f>
        <v>#REF!</v>
      </c>
      <c r="I15" s="888" t="e">
        <f t="shared" si="5"/>
        <v>#REF!</v>
      </c>
      <c r="J15" s="8" t="e">
        <f t="shared" si="1"/>
        <v>#REF!</v>
      </c>
      <c r="K15" s="8" t="e">
        <f t="shared" si="4"/>
        <v>#REF!</v>
      </c>
      <c r="L15" s="8" t="e">
        <f t="shared" si="2"/>
        <v>#REF!</v>
      </c>
    </row>
    <row r="16" spans="1:12">
      <c r="A16" s="80">
        <f t="shared" si="3"/>
        <v>8</v>
      </c>
      <c r="B16" s="803" t="s">
        <v>214</v>
      </c>
      <c r="C16" s="890" t="e">
        <f>SUM(#REF!+#REF!)</f>
        <v>#REF!</v>
      </c>
      <c r="D16" s="890" t="e">
        <f>SUM(#REF!+#REF!)</f>
        <v>#REF!</v>
      </c>
      <c r="E16" s="888" t="e">
        <f>SUM(#REF!+#REF!)</f>
        <v>#REF!</v>
      </c>
      <c r="F16" s="891" t="e">
        <f t="shared" si="0"/>
        <v>#REF!</v>
      </c>
      <c r="G16" s="888" t="e">
        <f>SUM(#REF!+#REF!)</f>
        <v>#REF!</v>
      </c>
      <c r="H16" s="906" t="e">
        <f>#REF!</f>
        <v>#REF!</v>
      </c>
      <c r="I16" s="888" t="e">
        <f t="shared" si="5"/>
        <v>#REF!</v>
      </c>
      <c r="J16" s="8" t="e">
        <f t="shared" si="1"/>
        <v>#REF!</v>
      </c>
      <c r="K16" s="8" t="e">
        <f t="shared" si="4"/>
        <v>#REF!</v>
      </c>
      <c r="L16" s="8" t="e">
        <f t="shared" si="2"/>
        <v>#REF!</v>
      </c>
    </row>
    <row r="17" spans="1:12">
      <c r="A17" s="1165" t="s">
        <v>71</v>
      </c>
      <c r="B17" s="1166"/>
      <c r="C17" s="892" t="e">
        <f t="shared" ref="C17:I17" si="6">SUM(C9:C16)</f>
        <v>#REF!</v>
      </c>
      <c r="D17" s="892" t="e">
        <f t="shared" si="6"/>
        <v>#REF!</v>
      </c>
      <c r="E17" s="892" t="e">
        <f t="shared" si="6"/>
        <v>#REF!</v>
      </c>
      <c r="F17" s="893" t="e">
        <f t="shared" si="6"/>
        <v>#REF!</v>
      </c>
      <c r="G17" s="907" t="e">
        <f t="shared" si="6"/>
        <v>#REF!</v>
      </c>
      <c r="H17" s="907" t="e">
        <f t="shared" si="6"/>
        <v>#REF!</v>
      </c>
      <c r="I17" s="920" t="e">
        <f t="shared" si="6"/>
        <v>#REF!</v>
      </c>
      <c r="J17" s="8" t="e">
        <f>SUM(J9:J16)</f>
        <v>#REF!</v>
      </c>
      <c r="K17" s="8" t="e">
        <f t="shared" si="4"/>
        <v>#REF!</v>
      </c>
      <c r="L17" s="8" t="e">
        <f t="shared" si="2"/>
        <v>#REF!</v>
      </c>
    </row>
    <row r="18" spans="1:12">
      <c r="A18" s="1178" t="s">
        <v>269</v>
      </c>
      <c r="B18" s="1179"/>
      <c r="C18" s="1179"/>
      <c r="D18" s="1179"/>
      <c r="E18" s="1179"/>
      <c r="F18" s="1180"/>
      <c r="H18" s="906"/>
      <c r="J18" s="8"/>
      <c r="K18" s="8"/>
    </row>
    <row r="19" spans="1:12">
      <c r="A19" s="79">
        <v>9</v>
      </c>
      <c r="B19" s="802" t="s">
        <v>190</v>
      </c>
      <c r="C19" s="888" t="e">
        <f>SUM(#REF!+#REF!)</f>
        <v>#REF!</v>
      </c>
      <c r="D19" s="888" t="e">
        <f>SUM(#REF!+#REF!)</f>
        <v>#REF!</v>
      </c>
      <c r="E19" s="888" t="e">
        <f>SUM(#REF!+#REF!)</f>
        <v>#REF!</v>
      </c>
      <c r="F19" s="889" t="e">
        <f>SUM(C19+D19-E19)</f>
        <v>#REF!</v>
      </c>
      <c r="G19" s="888" t="e">
        <f>SUM(#REF!+#REF!)</f>
        <v>#REF!</v>
      </c>
      <c r="H19" s="906" t="e">
        <f>#REF!</f>
        <v>#REF!</v>
      </c>
      <c r="I19" s="891" t="e">
        <f>SUM(F19+G19-H19)</f>
        <v>#REF!</v>
      </c>
      <c r="J19" s="8" t="e">
        <f t="shared" si="1"/>
        <v>#REF!</v>
      </c>
      <c r="K19" s="8" t="e">
        <f t="shared" si="4"/>
        <v>#REF!</v>
      </c>
      <c r="L19" s="8" t="e">
        <f t="shared" ref="L19:L50" si="7">SUM(K19+G19-H19)</f>
        <v>#REF!</v>
      </c>
    </row>
    <row r="20" spans="1:12">
      <c r="A20" s="80">
        <f t="shared" ref="A20:A33" si="8">A19+1</f>
        <v>10</v>
      </c>
      <c r="B20" s="803" t="s">
        <v>191</v>
      </c>
      <c r="C20" s="890" t="e">
        <f>SUM(#REF!+#REF!)</f>
        <v>#REF!</v>
      </c>
      <c r="D20" s="890" t="e">
        <f>SUM(#REF!+#REF!)</f>
        <v>#REF!</v>
      </c>
      <c r="E20" s="888" t="e">
        <f>SUM(#REF!+#REF!)</f>
        <v>#REF!</v>
      </c>
      <c r="F20" s="891" t="e">
        <f>SUM(C20+D20-E20)</f>
        <v>#REF!</v>
      </c>
      <c r="G20" s="888" t="e">
        <f>SUM(#REF!+#REF!)</f>
        <v>#REF!</v>
      </c>
      <c r="H20" s="906" t="e">
        <f>#REF!</f>
        <v>#REF!</v>
      </c>
      <c r="I20" s="891" t="e">
        <f>SUM(F20+G20-H20)</f>
        <v>#REF!</v>
      </c>
      <c r="J20" s="8" t="e">
        <f t="shared" si="1"/>
        <v>#REF!</v>
      </c>
      <c r="K20" s="8" t="e">
        <f t="shared" si="4"/>
        <v>#REF!</v>
      </c>
      <c r="L20" s="8" t="e">
        <f t="shared" si="7"/>
        <v>#REF!</v>
      </c>
    </row>
    <row r="21" spans="1:12">
      <c r="A21" s="80">
        <f t="shared" si="8"/>
        <v>11</v>
      </c>
      <c r="B21" s="803" t="s">
        <v>192</v>
      </c>
      <c r="C21" s="890" t="e">
        <f>SUM(#REF!+#REF!)</f>
        <v>#REF!</v>
      </c>
      <c r="D21" s="890" t="e">
        <f>SUM(#REF!+#REF!)</f>
        <v>#REF!</v>
      </c>
      <c r="E21" s="888" t="e">
        <f>SUM(#REF!+#REF!)</f>
        <v>#REF!</v>
      </c>
      <c r="F21" s="891" t="e">
        <f>SUM(C21+D21-E21)</f>
        <v>#REF!</v>
      </c>
      <c r="G21" s="888" t="e">
        <f>SUM(#REF!+#REF!)</f>
        <v>#REF!</v>
      </c>
      <c r="H21" s="906" t="e">
        <f>#REF!</f>
        <v>#REF!</v>
      </c>
      <c r="I21" s="891" t="e">
        <f>SUM(F21+G21-H21)</f>
        <v>#REF!</v>
      </c>
      <c r="J21" s="8" t="e">
        <f t="shared" si="1"/>
        <v>#REF!</v>
      </c>
      <c r="K21" s="8" t="e">
        <f t="shared" si="4"/>
        <v>#REF!</v>
      </c>
      <c r="L21" s="8" t="e">
        <f t="shared" si="7"/>
        <v>#REF!</v>
      </c>
    </row>
    <row r="22" spans="1:12">
      <c r="A22" s="80">
        <f t="shared" si="8"/>
        <v>12</v>
      </c>
      <c r="B22" s="803" t="s">
        <v>193</v>
      </c>
      <c r="C22" s="890" t="e">
        <f>SUM(#REF!+#REF!)</f>
        <v>#REF!</v>
      </c>
      <c r="D22" s="890" t="e">
        <f>SUM(#REF!+#REF!)</f>
        <v>#REF!</v>
      </c>
      <c r="E22" s="888" t="e">
        <f>SUM(#REF!+#REF!)</f>
        <v>#REF!</v>
      </c>
      <c r="F22" s="891" t="e">
        <f>SUM(C22+D22-E22)</f>
        <v>#REF!</v>
      </c>
      <c r="G22" s="888" t="e">
        <f>SUM(#REF!+#REF!)</f>
        <v>#REF!</v>
      </c>
      <c r="H22" s="906" t="e">
        <f>#REF!</f>
        <v>#REF!</v>
      </c>
      <c r="I22" s="891" t="e">
        <f>SUM(F22+G22-H22)</f>
        <v>#REF!</v>
      </c>
      <c r="J22" s="8" t="e">
        <f t="shared" si="1"/>
        <v>#REF!</v>
      </c>
      <c r="K22" s="8" t="e">
        <f t="shared" si="4"/>
        <v>#REF!</v>
      </c>
      <c r="L22" s="8" t="e">
        <f t="shared" si="7"/>
        <v>#REF!</v>
      </c>
    </row>
    <row r="23" spans="1:12">
      <c r="A23" s="80">
        <f t="shared" si="8"/>
        <v>13</v>
      </c>
      <c r="B23" s="803" t="s">
        <v>205</v>
      </c>
      <c r="C23" s="890" t="e">
        <f>SUM(#REF!+#REF!)</f>
        <v>#REF!</v>
      </c>
      <c r="D23" s="890" t="e">
        <f>SUM(#REF!+#REF!)</f>
        <v>#REF!</v>
      </c>
      <c r="E23" s="888" t="e">
        <f>SUM(#REF!+#REF!)</f>
        <v>#REF!</v>
      </c>
      <c r="F23" s="891" t="e">
        <f>SUM(C23+D23-E23)</f>
        <v>#REF!</v>
      </c>
      <c r="G23" s="888" t="e">
        <f>SUM(#REF!+#REF!)</f>
        <v>#REF!</v>
      </c>
      <c r="H23" s="906" t="e">
        <f>#REF!</f>
        <v>#REF!</v>
      </c>
      <c r="I23" s="891" t="e">
        <f>SUM(F23+G23-H23)</f>
        <v>#REF!</v>
      </c>
      <c r="J23" s="8" t="e">
        <f t="shared" si="1"/>
        <v>#REF!</v>
      </c>
      <c r="K23" s="8" t="e">
        <f t="shared" si="4"/>
        <v>#REF!</v>
      </c>
      <c r="L23" s="8" t="e">
        <f t="shared" si="7"/>
        <v>#REF!</v>
      </c>
    </row>
    <row r="24" spans="1:12" ht="31.5" customHeight="1">
      <c r="A24" s="1176" t="s">
        <v>267</v>
      </c>
      <c r="B24" s="1177"/>
      <c r="C24" s="894" t="e">
        <f t="shared" ref="C24:I24" si="9">SUM(C19:C23)</f>
        <v>#REF!</v>
      </c>
      <c r="D24" s="894" t="e">
        <f t="shared" si="9"/>
        <v>#REF!</v>
      </c>
      <c r="E24" s="894" t="e">
        <f t="shared" si="9"/>
        <v>#REF!</v>
      </c>
      <c r="F24" s="895" t="e">
        <f t="shared" si="9"/>
        <v>#REF!</v>
      </c>
      <c r="G24" s="909" t="e">
        <f t="shared" si="9"/>
        <v>#REF!</v>
      </c>
      <c r="H24" s="909" t="e">
        <f t="shared" si="9"/>
        <v>#REF!</v>
      </c>
      <c r="I24" s="921" t="e">
        <f t="shared" si="9"/>
        <v>#REF!</v>
      </c>
      <c r="J24" s="8" t="e">
        <f>SUM(C24+D24-E24)</f>
        <v>#REF!</v>
      </c>
      <c r="K24" s="8" t="e">
        <f t="shared" si="4"/>
        <v>#REF!</v>
      </c>
      <c r="L24" s="8" t="e">
        <f t="shared" si="7"/>
        <v>#REF!</v>
      </c>
    </row>
    <row r="25" spans="1:12">
      <c r="A25" s="1178" t="s">
        <v>266</v>
      </c>
      <c r="B25" s="1179"/>
      <c r="C25" s="1179"/>
      <c r="D25" s="1179"/>
      <c r="E25" s="1179"/>
      <c r="F25" s="1180"/>
      <c r="G25" s="911"/>
      <c r="H25" s="906"/>
      <c r="I25" s="898"/>
      <c r="J25" s="8"/>
      <c r="K25" s="8"/>
      <c r="L25" s="8"/>
    </row>
    <row r="26" spans="1:12">
      <c r="A26" s="79">
        <f>A23+1</f>
        <v>14</v>
      </c>
      <c r="B26" s="802" t="s">
        <v>194</v>
      </c>
      <c r="C26" s="888" t="e">
        <f>SUM(#REF!+#REF!)</f>
        <v>#REF!</v>
      </c>
      <c r="D26" s="888" t="e">
        <f>SUM(#REF!+#REF!)</f>
        <v>#REF!</v>
      </c>
      <c r="E26" s="888" t="e">
        <f>SUM(#REF!+#REF!)</f>
        <v>#REF!</v>
      </c>
      <c r="F26" s="889" t="e">
        <f t="shared" ref="F26:F33" si="10">SUM(C26+D26-E26)</f>
        <v>#REF!</v>
      </c>
      <c r="G26" s="888" t="e">
        <f>SUM(#REF!+#REF!)</f>
        <v>#REF!</v>
      </c>
      <c r="H26" s="906" t="e">
        <f>#REF!</f>
        <v>#REF!</v>
      </c>
      <c r="I26" s="888" t="e">
        <f t="shared" ref="I26:I33" si="11">SUM(F26+G26-H26)</f>
        <v>#REF!</v>
      </c>
      <c r="J26" s="8" t="e">
        <f t="shared" si="1"/>
        <v>#REF!</v>
      </c>
      <c r="K26" s="8" t="e">
        <f t="shared" si="4"/>
        <v>#REF!</v>
      </c>
      <c r="L26" s="8" t="e">
        <f t="shared" si="7"/>
        <v>#REF!</v>
      </c>
    </row>
    <row r="27" spans="1:12">
      <c r="A27" s="80">
        <f t="shared" si="8"/>
        <v>15</v>
      </c>
      <c r="B27" s="803" t="s">
        <v>195</v>
      </c>
      <c r="C27" s="890" t="e">
        <f>SUM(#REF!+#REF!)</f>
        <v>#REF!</v>
      </c>
      <c r="D27" s="890" t="e">
        <f>SUM(#REF!+#REF!)</f>
        <v>#REF!</v>
      </c>
      <c r="E27" s="888" t="e">
        <f>SUM(#REF!+#REF!)</f>
        <v>#REF!</v>
      </c>
      <c r="F27" s="891" t="e">
        <f t="shared" si="10"/>
        <v>#REF!</v>
      </c>
      <c r="G27" s="888" t="e">
        <f>SUM(#REF!+#REF!)</f>
        <v>#REF!</v>
      </c>
      <c r="H27" s="906" t="e">
        <f>#REF!</f>
        <v>#REF!</v>
      </c>
      <c r="I27" s="888" t="e">
        <f t="shared" si="11"/>
        <v>#REF!</v>
      </c>
      <c r="J27" s="8" t="e">
        <f t="shared" si="1"/>
        <v>#REF!</v>
      </c>
      <c r="K27" s="8" t="e">
        <f t="shared" si="4"/>
        <v>#REF!</v>
      </c>
      <c r="L27" s="8" t="e">
        <f t="shared" si="7"/>
        <v>#REF!</v>
      </c>
    </row>
    <row r="28" spans="1:12">
      <c r="A28" s="80">
        <f t="shared" si="8"/>
        <v>16</v>
      </c>
      <c r="B28" s="803" t="s">
        <v>196</v>
      </c>
      <c r="C28" s="890" t="e">
        <f>SUM(#REF!+#REF!)</f>
        <v>#REF!</v>
      </c>
      <c r="D28" s="890" t="e">
        <f>SUM(#REF!+#REF!)</f>
        <v>#REF!</v>
      </c>
      <c r="E28" s="888" t="e">
        <f>SUM(#REF!+#REF!)</f>
        <v>#REF!</v>
      </c>
      <c r="F28" s="891" t="e">
        <f t="shared" si="10"/>
        <v>#REF!</v>
      </c>
      <c r="G28" s="888" t="e">
        <f>SUM(#REF!+#REF!)</f>
        <v>#REF!</v>
      </c>
      <c r="H28" s="906" t="e">
        <f>#REF!</f>
        <v>#REF!</v>
      </c>
      <c r="I28" s="888" t="e">
        <f t="shared" si="11"/>
        <v>#REF!</v>
      </c>
      <c r="J28" s="8" t="e">
        <f t="shared" si="1"/>
        <v>#REF!</v>
      </c>
      <c r="K28" s="8" t="e">
        <f t="shared" si="4"/>
        <v>#REF!</v>
      </c>
      <c r="L28" s="8" t="e">
        <f t="shared" si="7"/>
        <v>#REF!</v>
      </c>
    </row>
    <row r="29" spans="1:12">
      <c r="A29" s="80">
        <f t="shared" si="8"/>
        <v>17</v>
      </c>
      <c r="B29" s="803" t="s">
        <v>212</v>
      </c>
      <c r="C29" s="890" t="e">
        <f>SUM(#REF!+#REF!)</f>
        <v>#REF!</v>
      </c>
      <c r="D29" s="890" t="e">
        <f>SUM(#REF!+#REF!)</f>
        <v>#REF!</v>
      </c>
      <c r="E29" s="888" t="e">
        <f>SUM(#REF!+#REF!)</f>
        <v>#REF!</v>
      </c>
      <c r="F29" s="891" t="e">
        <f t="shared" si="10"/>
        <v>#REF!</v>
      </c>
      <c r="G29" s="888" t="e">
        <f>SUM(#REF!+#REF!)</f>
        <v>#REF!</v>
      </c>
      <c r="H29" s="906" t="e">
        <f>#REF!</f>
        <v>#REF!</v>
      </c>
      <c r="I29" s="888" t="e">
        <f t="shared" si="11"/>
        <v>#REF!</v>
      </c>
      <c r="J29" s="8" t="e">
        <f t="shared" si="1"/>
        <v>#REF!</v>
      </c>
      <c r="K29" s="8" t="e">
        <f t="shared" si="4"/>
        <v>#REF!</v>
      </c>
      <c r="L29" s="8" t="e">
        <f t="shared" si="7"/>
        <v>#REF!</v>
      </c>
    </row>
    <row r="30" spans="1:12">
      <c r="A30" s="80">
        <f t="shared" si="8"/>
        <v>18</v>
      </c>
      <c r="B30" s="803" t="s">
        <v>197</v>
      </c>
      <c r="C30" s="890" t="e">
        <f>SUM(#REF!+#REF!)</f>
        <v>#REF!</v>
      </c>
      <c r="D30" s="890" t="e">
        <f>SUM(#REF!+#REF!)</f>
        <v>#REF!</v>
      </c>
      <c r="E30" s="888" t="e">
        <f>SUM(#REF!+#REF!)</f>
        <v>#REF!</v>
      </c>
      <c r="F30" s="891" t="e">
        <f t="shared" si="10"/>
        <v>#REF!</v>
      </c>
      <c r="G30" s="888" t="e">
        <f>SUM(#REF!+#REF!)</f>
        <v>#REF!</v>
      </c>
      <c r="H30" s="906" t="e">
        <f>#REF!</f>
        <v>#REF!</v>
      </c>
      <c r="I30" s="888" t="e">
        <f t="shared" si="11"/>
        <v>#REF!</v>
      </c>
      <c r="J30" s="8" t="e">
        <f t="shared" si="1"/>
        <v>#REF!</v>
      </c>
      <c r="K30" s="8" t="e">
        <f t="shared" si="4"/>
        <v>#REF!</v>
      </c>
      <c r="L30" s="8" t="e">
        <f t="shared" si="7"/>
        <v>#REF!</v>
      </c>
    </row>
    <row r="31" spans="1:12">
      <c r="A31" s="80">
        <f t="shared" si="8"/>
        <v>19</v>
      </c>
      <c r="B31" s="803" t="s">
        <v>60</v>
      </c>
      <c r="C31" s="890" t="e">
        <f>SUM(#REF!+#REF!)</f>
        <v>#REF!</v>
      </c>
      <c r="D31" s="890" t="e">
        <f>SUM(#REF!+#REF!)</f>
        <v>#REF!</v>
      </c>
      <c r="E31" s="888" t="e">
        <f>SUM(#REF!+#REF!)</f>
        <v>#REF!</v>
      </c>
      <c r="F31" s="891" t="e">
        <f t="shared" si="10"/>
        <v>#REF!</v>
      </c>
      <c r="G31" s="888" t="e">
        <f>SUM(#REF!+#REF!)</f>
        <v>#REF!</v>
      </c>
      <c r="H31" s="906" t="e">
        <f>#REF!</f>
        <v>#REF!</v>
      </c>
      <c r="I31" s="888" t="e">
        <f t="shared" si="11"/>
        <v>#REF!</v>
      </c>
      <c r="J31" s="8" t="e">
        <f t="shared" si="1"/>
        <v>#REF!</v>
      </c>
      <c r="K31" s="8" t="e">
        <f t="shared" si="4"/>
        <v>#REF!</v>
      </c>
      <c r="L31" s="8" t="e">
        <f t="shared" si="7"/>
        <v>#REF!</v>
      </c>
    </row>
    <row r="32" spans="1:12">
      <c r="A32" s="80">
        <f t="shared" si="8"/>
        <v>20</v>
      </c>
      <c r="B32" s="803" t="s">
        <v>198</v>
      </c>
      <c r="C32" s="890" t="e">
        <f>SUM(#REF!+#REF!)</f>
        <v>#REF!</v>
      </c>
      <c r="D32" s="890" t="e">
        <f>SUM(#REF!+#REF!)</f>
        <v>#REF!</v>
      </c>
      <c r="E32" s="888" t="e">
        <f>SUM(#REF!+#REF!)</f>
        <v>#REF!</v>
      </c>
      <c r="F32" s="891" t="e">
        <f t="shared" si="10"/>
        <v>#REF!</v>
      </c>
      <c r="G32" s="888" t="e">
        <f>SUM(#REF!+#REF!)</f>
        <v>#REF!</v>
      </c>
      <c r="H32" s="906" t="e">
        <f>#REF!</f>
        <v>#REF!</v>
      </c>
      <c r="I32" s="888" t="e">
        <f t="shared" si="11"/>
        <v>#REF!</v>
      </c>
      <c r="J32" s="8" t="e">
        <f t="shared" si="1"/>
        <v>#REF!</v>
      </c>
      <c r="K32" s="8" t="e">
        <f t="shared" si="4"/>
        <v>#REF!</v>
      </c>
      <c r="L32" s="8" t="e">
        <f t="shared" si="7"/>
        <v>#REF!</v>
      </c>
    </row>
    <row r="33" spans="1:13">
      <c r="A33" s="80">
        <f t="shared" si="8"/>
        <v>21</v>
      </c>
      <c r="B33" s="803" t="s">
        <v>213</v>
      </c>
      <c r="C33" s="890" t="e">
        <f>SUM(#REF!+#REF!)</f>
        <v>#REF!</v>
      </c>
      <c r="D33" s="890" t="e">
        <f>SUM(#REF!+#REF!)</f>
        <v>#REF!</v>
      </c>
      <c r="E33" s="888" t="e">
        <f>SUM(#REF!+#REF!)</f>
        <v>#REF!</v>
      </c>
      <c r="F33" s="891" t="e">
        <f t="shared" si="10"/>
        <v>#REF!</v>
      </c>
      <c r="G33" s="888" t="e">
        <f>SUM(#REF!+#REF!)</f>
        <v>#REF!</v>
      </c>
      <c r="H33" s="906" t="e">
        <f>#REF!</f>
        <v>#REF!</v>
      </c>
      <c r="I33" s="888" t="e">
        <f t="shared" si="11"/>
        <v>#REF!</v>
      </c>
      <c r="J33" s="8" t="e">
        <f t="shared" si="1"/>
        <v>#REF!</v>
      </c>
      <c r="K33" s="8" t="e">
        <f t="shared" si="4"/>
        <v>#REF!</v>
      </c>
      <c r="L33" s="8" t="e">
        <f t="shared" si="7"/>
        <v>#REF!</v>
      </c>
    </row>
    <row r="34" spans="1:13" ht="25.5" customHeight="1">
      <c r="A34" s="1176" t="s">
        <v>268</v>
      </c>
      <c r="B34" s="1177"/>
      <c r="C34" s="894" t="e">
        <f t="shared" ref="C34:I34" si="12">SUM(C26:C33)</f>
        <v>#REF!</v>
      </c>
      <c r="D34" s="894" t="e">
        <f t="shared" si="12"/>
        <v>#REF!</v>
      </c>
      <c r="E34" s="894" t="e">
        <f t="shared" si="12"/>
        <v>#REF!</v>
      </c>
      <c r="F34" s="895" t="e">
        <f t="shared" si="12"/>
        <v>#REF!</v>
      </c>
      <c r="G34" s="909" t="e">
        <f t="shared" si="12"/>
        <v>#REF!</v>
      </c>
      <c r="H34" s="909" t="e">
        <f t="shared" si="12"/>
        <v>#REF!</v>
      </c>
      <c r="I34" s="921" t="e">
        <f t="shared" si="12"/>
        <v>#REF!</v>
      </c>
      <c r="J34" s="8" t="e">
        <f t="shared" si="1"/>
        <v>#REF!</v>
      </c>
      <c r="K34" s="8" t="e">
        <f t="shared" si="4"/>
        <v>#REF!</v>
      </c>
      <c r="L34" s="8" t="e">
        <f t="shared" si="7"/>
        <v>#REF!</v>
      </c>
      <c r="M34" s="8"/>
    </row>
    <row r="35" spans="1:13">
      <c r="A35" s="1167" t="s">
        <v>72</v>
      </c>
      <c r="B35" s="1168"/>
      <c r="C35" s="1168"/>
      <c r="D35" s="1168"/>
      <c r="E35" s="1168"/>
      <c r="F35" s="1169"/>
      <c r="H35" s="906"/>
      <c r="J35" s="8"/>
      <c r="K35" s="8"/>
      <c r="L35" s="8"/>
    </row>
    <row r="36" spans="1:13">
      <c r="A36" s="79">
        <v>22</v>
      </c>
      <c r="B36" s="802" t="s">
        <v>444</v>
      </c>
      <c r="C36" s="888" t="e">
        <f>SUM(#REF!+#REF!)</f>
        <v>#REF!</v>
      </c>
      <c r="D36" s="888" t="e">
        <f>SUM(#REF!+#REF!)</f>
        <v>#REF!</v>
      </c>
      <c r="E36" s="888" t="e">
        <f>SUM(#REF!+#REF!)</f>
        <v>#REF!</v>
      </c>
      <c r="F36" s="889" t="e">
        <f t="shared" ref="F36:F60" si="13">SUM(C36+D36-E36)</f>
        <v>#REF!</v>
      </c>
      <c r="G36" s="888" t="e">
        <f>SUM(#REF!+#REF!)</f>
        <v>#REF!</v>
      </c>
      <c r="H36" s="906" t="e">
        <f>#REF!</f>
        <v>#REF!</v>
      </c>
      <c r="I36" s="888" t="e">
        <f t="shared" ref="I36:I60" si="14">SUM(F36+G36-H36)</f>
        <v>#REF!</v>
      </c>
      <c r="J36" s="8" t="e">
        <f t="shared" si="1"/>
        <v>#REF!</v>
      </c>
      <c r="K36" s="8" t="e">
        <f t="shared" si="4"/>
        <v>#REF!</v>
      </c>
      <c r="L36" s="8" t="e">
        <f t="shared" si="7"/>
        <v>#REF!</v>
      </c>
    </row>
    <row r="37" spans="1:13">
      <c r="A37" s="80">
        <f t="shared" ref="A37:A60" si="15">A36+1</f>
        <v>23</v>
      </c>
      <c r="B37" s="803" t="s">
        <v>172</v>
      </c>
      <c r="C37" s="890" t="e">
        <f>SUM(#REF!+#REF!)</f>
        <v>#REF!</v>
      </c>
      <c r="D37" s="890" t="e">
        <f>SUM(#REF!+#REF!)</f>
        <v>#REF!</v>
      </c>
      <c r="E37" s="888" t="e">
        <f>SUM(#REF!+#REF!)</f>
        <v>#REF!</v>
      </c>
      <c r="F37" s="891" t="e">
        <f t="shared" si="13"/>
        <v>#REF!</v>
      </c>
      <c r="G37" s="888" t="e">
        <f>SUM(#REF!+#REF!)</f>
        <v>#REF!</v>
      </c>
      <c r="H37" s="906" t="e">
        <f>#REF!</f>
        <v>#REF!</v>
      </c>
      <c r="I37" s="888" t="e">
        <f t="shared" si="14"/>
        <v>#REF!</v>
      </c>
      <c r="J37" s="8" t="e">
        <f t="shared" si="1"/>
        <v>#REF!</v>
      </c>
      <c r="K37" s="8" t="e">
        <f t="shared" si="4"/>
        <v>#REF!</v>
      </c>
      <c r="L37" s="8" t="e">
        <f t="shared" si="7"/>
        <v>#REF!</v>
      </c>
    </row>
    <row r="38" spans="1:13">
      <c r="A38" s="80">
        <f t="shared" si="15"/>
        <v>24</v>
      </c>
      <c r="B38" s="803" t="s">
        <v>463</v>
      </c>
      <c r="C38" s="890" t="e">
        <f>SUM(#REF!+#REF!)</f>
        <v>#REF!</v>
      </c>
      <c r="D38" s="890" t="e">
        <f>SUM(#REF!+#REF!)</f>
        <v>#REF!</v>
      </c>
      <c r="E38" s="888" t="e">
        <f>SUM(#REF!+#REF!)</f>
        <v>#REF!</v>
      </c>
      <c r="F38" s="891" t="e">
        <f t="shared" si="13"/>
        <v>#REF!</v>
      </c>
      <c r="G38" s="888" t="e">
        <f>SUM(#REF!+#REF!)</f>
        <v>#REF!</v>
      </c>
      <c r="H38" s="906" t="e">
        <f>#REF!</f>
        <v>#REF!</v>
      </c>
      <c r="I38" s="888" t="e">
        <f t="shared" si="14"/>
        <v>#REF!</v>
      </c>
      <c r="J38" s="8" t="e">
        <f t="shared" si="1"/>
        <v>#REF!</v>
      </c>
      <c r="K38" s="8" t="e">
        <f t="shared" si="4"/>
        <v>#REF!</v>
      </c>
      <c r="L38" s="8" t="e">
        <f t="shared" si="7"/>
        <v>#REF!</v>
      </c>
    </row>
    <row r="39" spans="1:13">
      <c r="A39" s="80">
        <f t="shared" si="15"/>
        <v>25</v>
      </c>
      <c r="B39" s="803" t="s">
        <v>173</v>
      </c>
      <c r="C39" s="890" t="e">
        <f>SUM(#REF!+#REF!)</f>
        <v>#REF!</v>
      </c>
      <c r="D39" s="890" t="e">
        <f>SUM(#REF!+#REF!)</f>
        <v>#REF!</v>
      </c>
      <c r="E39" s="888" t="e">
        <f>SUM(#REF!+#REF!)</f>
        <v>#REF!</v>
      </c>
      <c r="F39" s="891" t="e">
        <f t="shared" si="13"/>
        <v>#REF!</v>
      </c>
      <c r="G39" s="888" t="e">
        <f>SUM(#REF!+#REF!)</f>
        <v>#REF!</v>
      </c>
      <c r="H39" s="906" t="e">
        <f>#REF!</f>
        <v>#REF!</v>
      </c>
      <c r="I39" s="888" t="e">
        <f t="shared" si="14"/>
        <v>#REF!</v>
      </c>
      <c r="J39" s="8" t="e">
        <f t="shared" si="1"/>
        <v>#REF!</v>
      </c>
      <c r="K39" s="8" t="e">
        <f t="shared" si="4"/>
        <v>#REF!</v>
      </c>
      <c r="L39" s="8" t="e">
        <f t="shared" si="7"/>
        <v>#REF!</v>
      </c>
    </row>
    <row r="40" spans="1:13">
      <c r="A40" s="80">
        <f t="shared" si="15"/>
        <v>26</v>
      </c>
      <c r="B40" s="803" t="s">
        <v>174</v>
      </c>
      <c r="C40" s="890" t="e">
        <f>SUM(#REF!+#REF!)</f>
        <v>#REF!</v>
      </c>
      <c r="D40" s="890" t="e">
        <f>SUM(#REF!+#REF!)</f>
        <v>#REF!</v>
      </c>
      <c r="E40" s="888" t="e">
        <f>SUM(#REF!+#REF!)</f>
        <v>#REF!</v>
      </c>
      <c r="F40" s="891" t="e">
        <f t="shared" si="13"/>
        <v>#REF!</v>
      </c>
      <c r="G40" s="888" t="e">
        <f>SUM(#REF!+#REF!)</f>
        <v>#REF!</v>
      </c>
      <c r="H40" s="906" t="e">
        <f>#REF!</f>
        <v>#REF!</v>
      </c>
      <c r="I40" s="888" t="e">
        <f t="shared" si="14"/>
        <v>#REF!</v>
      </c>
      <c r="J40" s="8" t="e">
        <f t="shared" si="1"/>
        <v>#REF!</v>
      </c>
      <c r="K40" s="8" t="e">
        <f t="shared" si="4"/>
        <v>#REF!</v>
      </c>
      <c r="L40" s="8" t="e">
        <f t="shared" si="7"/>
        <v>#REF!</v>
      </c>
    </row>
    <row r="41" spans="1:13">
      <c r="A41" s="80">
        <f t="shared" si="15"/>
        <v>27</v>
      </c>
      <c r="B41" s="803" t="s">
        <v>446</v>
      </c>
      <c r="C41" s="890" t="e">
        <f>SUM(#REF!+#REF!)</f>
        <v>#REF!</v>
      </c>
      <c r="D41" s="890" t="e">
        <f>SUM(#REF!+#REF!)</f>
        <v>#REF!</v>
      </c>
      <c r="E41" s="888" t="e">
        <f>SUM(#REF!+#REF!)</f>
        <v>#REF!</v>
      </c>
      <c r="F41" s="891" t="e">
        <f t="shared" si="13"/>
        <v>#REF!</v>
      </c>
      <c r="G41" s="888" t="e">
        <f>SUM(#REF!+#REF!)</f>
        <v>#REF!</v>
      </c>
      <c r="H41" s="906" t="e">
        <f>#REF!</f>
        <v>#REF!</v>
      </c>
      <c r="I41" s="888" t="e">
        <f t="shared" si="14"/>
        <v>#REF!</v>
      </c>
      <c r="J41" s="8" t="e">
        <f t="shared" si="1"/>
        <v>#REF!</v>
      </c>
      <c r="K41" s="8" t="e">
        <f t="shared" si="4"/>
        <v>#REF!</v>
      </c>
      <c r="L41" s="8" t="e">
        <f t="shared" si="7"/>
        <v>#REF!</v>
      </c>
    </row>
    <row r="42" spans="1:13">
      <c r="A42" s="80">
        <f t="shared" si="15"/>
        <v>28</v>
      </c>
      <c r="B42" s="803" t="s">
        <v>142</v>
      </c>
      <c r="C42" s="890" t="e">
        <f>SUM(#REF!+#REF!)</f>
        <v>#REF!</v>
      </c>
      <c r="D42" s="890" t="e">
        <f>SUM(#REF!+#REF!)</f>
        <v>#REF!</v>
      </c>
      <c r="E42" s="888" t="e">
        <f>SUM(#REF!+#REF!)</f>
        <v>#REF!</v>
      </c>
      <c r="F42" s="891" t="e">
        <f t="shared" si="13"/>
        <v>#REF!</v>
      </c>
      <c r="G42" s="888" t="e">
        <f>SUM(#REF!+#REF!)</f>
        <v>#REF!</v>
      </c>
      <c r="H42" s="906" t="e">
        <f>#REF!</f>
        <v>#REF!</v>
      </c>
      <c r="I42" s="888" t="e">
        <f t="shared" si="14"/>
        <v>#REF!</v>
      </c>
      <c r="J42" s="8" t="e">
        <f t="shared" ref="J42:J73" si="16">SUM(C42+D42-E42)</f>
        <v>#REF!</v>
      </c>
      <c r="K42" s="8" t="e">
        <f t="shared" si="4"/>
        <v>#REF!</v>
      </c>
      <c r="L42" s="8" t="e">
        <f t="shared" si="7"/>
        <v>#REF!</v>
      </c>
    </row>
    <row r="43" spans="1:13">
      <c r="A43" s="80">
        <f t="shared" si="15"/>
        <v>29</v>
      </c>
      <c r="B43" s="803" t="s">
        <v>175</v>
      </c>
      <c r="C43" s="890" t="e">
        <f>SUM(#REF!+#REF!)</f>
        <v>#REF!</v>
      </c>
      <c r="D43" s="890" t="e">
        <f>SUM(#REF!+#REF!)</f>
        <v>#REF!</v>
      </c>
      <c r="E43" s="888" t="e">
        <f>SUM(#REF!+#REF!)</f>
        <v>#REF!</v>
      </c>
      <c r="F43" s="891" t="e">
        <f t="shared" si="13"/>
        <v>#REF!</v>
      </c>
      <c r="G43" s="888" t="e">
        <f>SUM(#REF!+#REF!)</f>
        <v>#REF!</v>
      </c>
      <c r="H43" s="906" t="e">
        <f>#REF!</f>
        <v>#REF!</v>
      </c>
      <c r="I43" s="888" t="e">
        <f t="shared" si="14"/>
        <v>#REF!</v>
      </c>
      <c r="J43" s="8" t="e">
        <f t="shared" si="16"/>
        <v>#REF!</v>
      </c>
      <c r="K43" s="8" t="e">
        <f t="shared" si="4"/>
        <v>#REF!</v>
      </c>
      <c r="L43" s="8" t="e">
        <f t="shared" si="7"/>
        <v>#REF!</v>
      </c>
    </row>
    <row r="44" spans="1:13">
      <c r="A44" s="80">
        <f t="shared" si="15"/>
        <v>30</v>
      </c>
      <c r="B44" s="803" t="s">
        <v>176</v>
      </c>
      <c r="C44" s="890" t="e">
        <f>SUM(#REF!+#REF!)</f>
        <v>#REF!</v>
      </c>
      <c r="D44" s="890" t="e">
        <f>SUM(#REF!+#REF!)</f>
        <v>#REF!</v>
      </c>
      <c r="E44" s="888" t="e">
        <f>SUM(#REF!+#REF!)</f>
        <v>#REF!</v>
      </c>
      <c r="F44" s="891" t="e">
        <f t="shared" si="13"/>
        <v>#REF!</v>
      </c>
      <c r="G44" s="888" t="e">
        <f>SUM(#REF!+#REF!)</f>
        <v>#REF!</v>
      </c>
      <c r="H44" s="906" t="e">
        <f>#REF!</f>
        <v>#REF!</v>
      </c>
      <c r="I44" s="888" t="e">
        <f t="shared" si="14"/>
        <v>#REF!</v>
      </c>
      <c r="J44" s="8" t="e">
        <f t="shared" si="16"/>
        <v>#REF!</v>
      </c>
      <c r="K44" s="8" t="e">
        <f t="shared" si="4"/>
        <v>#REF!</v>
      </c>
      <c r="L44" s="8" t="e">
        <f t="shared" si="7"/>
        <v>#REF!</v>
      </c>
    </row>
    <row r="45" spans="1:13">
      <c r="A45" s="80">
        <f t="shared" si="15"/>
        <v>31</v>
      </c>
      <c r="B45" s="803" t="s">
        <v>177</v>
      </c>
      <c r="C45" s="890" t="e">
        <f>SUM(#REF!+#REF!)</f>
        <v>#REF!</v>
      </c>
      <c r="D45" s="890" t="e">
        <f>SUM(#REF!+#REF!)</f>
        <v>#REF!</v>
      </c>
      <c r="E45" s="888" t="e">
        <f>SUM(#REF!+#REF!)</f>
        <v>#REF!</v>
      </c>
      <c r="F45" s="891" t="e">
        <f t="shared" si="13"/>
        <v>#REF!</v>
      </c>
      <c r="G45" s="888" t="e">
        <f>SUM(#REF!+#REF!)</f>
        <v>#REF!</v>
      </c>
      <c r="H45" s="906" t="e">
        <f>#REF!</f>
        <v>#REF!</v>
      </c>
      <c r="I45" s="888" t="e">
        <f t="shared" si="14"/>
        <v>#REF!</v>
      </c>
      <c r="J45" s="8" t="e">
        <f t="shared" si="16"/>
        <v>#REF!</v>
      </c>
      <c r="K45" s="8" t="e">
        <f t="shared" si="4"/>
        <v>#REF!</v>
      </c>
      <c r="L45" s="8" t="e">
        <f t="shared" si="7"/>
        <v>#REF!</v>
      </c>
    </row>
    <row r="46" spans="1:13">
      <c r="A46" s="80">
        <f t="shared" si="15"/>
        <v>32</v>
      </c>
      <c r="B46" s="803" t="s">
        <v>178</v>
      </c>
      <c r="C46" s="890" t="e">
        <f>SUM(#REF!+#REF!)</f>
        <v>#REF!</v>
      </c>
      <c r="D46" s="890" t="e">
        <f>SUM(#REF!+#REF!)</f>
        <v>#REF!</v>
      </c>
      <c r="E46" s="888" t="e">
        <f>SUM(#REF!+#REF!)</f>
        <v>#REF!</v>
      </c>
      <c r="F46" s="891" t="e">
        <f t="shared" si="13"/>
        <v>#REF!</v>
      </c>
      <c r="G46" s="888" t="e">
        <f>SUM(#REF!+#REF!)</f>
        <v>#REF!</v>
      </c>
      <c r="H46" s="906" t="e">
        <f>#REF!</f>
        <v>#REF!</v>
      </c>
      <c r="I46" s="888" t="e">
        <f t="shared" si="14"/>
        <v>#REF!</v>
      </c>
      <c r="J46" s="8" t="e">
        <f t="shared" si="16"/>
        <v>#REF!</v>
      </c>
      <c r="K46" s="8" t="e">
        <f t="shared" si="4"/>
        <v>#REF!</v>
      </c>
      <c r="L46" s="8" t="e">
        <f t="shared" si="7"/>
        <v>#REF!</v>
      </c>
    </row>
    <row r="47" spans="1:13">
      <c r="A47" s="80">
        <f t="shared" si="15"/>
        <v>33</v>
      </c>
      <c r="B47" s="803" t="s">
        <v>179</v>
      </c>
      <c r="C47" s="890" t="e">
        <f>SUM(#REF!+#REF!)</f>
        <v>#REF!</v>
      </c>
      <c r="D47" s="890" t="e">
        <f>SUM(#REF!+#REF!)</f>
        <v>#REF!</v>
      </c>
      <c r="E47" s="888" t="e">
        <f>SUM(#REF!+#REF!)</f>
        <v>#REF!</v>
      </c>
      <c r="F47" s="891" t="e">
        <f t="shared" si="13"/>
        <v>#REF!</v>
      </c>
      <c r="G47" s="888" t="e">
        <f>SUM(#REF!+#REF!)</f>
        <v>#REF!</v>
      </c>
      <c r="H47" s="906" t="e">
        <f>#REF!</f>
        <v>#REF!</v>
      </c>
      <c r="I47" s="888" t="e">
        <f t="shared" si="14"/>
        <v>#REF!</v>
      </c>
      <c r="J47" s="8" t="e">
        <f t="shared" si="16"/>
        <v>#REF!</v>
      </c>
      <c r="K47" s="8" t="e">
        <f t="shared" si="4"/>
        <v>#REF!</v>
      </c>
      <c r="L47" s="8" t="e">
        <f t="shared" si="7"/>
        <v>#REF!</v>
      </c>
    </row>
    <row r="48" spans="1:13">
      <c r="A48" s="80">
        <f t="shared" si="15"/>
        <v>34</v>
      </c>
      <c r="B48" s="803" t="s">
        <v>447</v>
      </c>
      <c r="C48" s="890" t="e">
        <f>SUM(#REF!+#REF!)</f>
        <v>#REF!</v>
      </c>
      <c r="D48" s="890" t="e">
        <f>SUM(#REF!+#REF!)</f>
        <v>#REF!</v>
      </c>
      <c r="E48" s="888" t="e">
        <f>SUM(#REF!+#REF!)</f>
        <v>#REF!</v>
      </c>
      <c r="F48" s="891" t="e">
        <f t="shared" si="13"/>
        <v>#REF!</v>
      </c>
      <c r="G48" s="888" t="e">
        <f>SUM(#REF!+#REF!)</f>
        <v>#REF!</v>
      </c>
      <c r="H48" s="906" t="e">
        <f>#REF!</f>
        <v>#REF!</v>
      </c>
      <c r="I48" s="888" t="e">
        <f t="shared" si="14"/>
        <v>#REF!</v>
      </c>
      <c r="J48" s="8" t="e">
        <f t="shared" si="16"/>
        <v>#REF!</v>
      </c>
      <c r="K48" s="8" t="e">
        <f t="shared" si="4"/>
        <v>#REF!</v>
      </c>
      <c r="L48" s="8" t="e">
        <f t="shared" si="7"/>
        <v>#REF!</v>
      </c>
    </row>
    <row r="49" spans="1:13">
      <c r="A49" s="80">
        <f t="shared" si="15"/>
        <v>35</v>
      </c>
      <c r="B49" s="803" t="s">
        <v>436</v>
      </c>
      <c r="C49" s="890" t="e">
        <f>SUM(#REF!+#REF!)</f>
        <v>#REF!</v>
      </c>
      <c r="D49" s="890" t="e">
        <f>SUM(#REF!+#REF!)</f>
        <v>#REF!</v>
      </c>
      <c r="E49" s="888" t="e">
        <f>SUM(#REF!+#REF!)</f>
        <v>#REF!</v>
      </c>
      <c r="F49" s="891" t="e">
        <f t="shared" si="13"/>
        <v>#REF!</v>
      </c>
      <c r="G49" s="888" t="e">
        <f>SUM(#REF!+#REF!)</f>
        <v>#REF!</v>
      </c>
      <c r="H49" s="906" t="e">
        <f>#REF!</f>
        <v>#REF!</v>
      </c>
      <c r="I49" s="888" t="e">
        <f t="shared" si="14"/>
        <v>#REF!</v>
      </c>
      <c r="J49" s="8" t="e">
        <f t="shared" si="16"/>
        <v>#REF!</v>
      </c>
      <c r="K49" s="8" t="e">
        <f t="shared" si="4"/>
        <v>#REF!</v>
      </c>
      <c r="L49" s="8" t="e">
        <f t="shared" si="7"/>
        <v>#REF!</v>
      </c>
    </row>
    <row r="50" spans="1:13">
      <c r="A50" s="80">
        <f t="shared" si="15"/>
        <v>36</v>
      </c>
      <c r="B50" s="803" t="s">
        <v>209</v>
      </c>
      <c r="C50" s="890" t="e">
        <f>SUM(#REF!+#REF!)</f>
        <v>#REF!</v>
      </c>
      <c r="D50" s="890" t="e">
        <f>SUM(#REF!+#REF!)</f>
        <v>#REF!</v>
      </c>
      <c r="E50" s="888" t="e">
        <f>SUM(#REF!+#REF!)</f>
        <v>#REF!</v>
      </c>
      <c r="F50" s="891" t="e">
        <f t="shared" si="13"/>
        <v>#REF!</v>
      </c>
      <c r="G50" s="888" t="e">
        <f>SUM(#REF!+#REF!)</f>
        <v>#REF!</v>
      </c>
      <c r="H50" s="906" t="e">
        <f>#REF!</f>
        <v>#REF!</v>
      </c>
      <c r="I50" s="888" t="e">
        <f t="shared" si="14"/>
        <v>#REF!</v>
      </c>
      <c r="J50" s="8" t="e">
        <f t="shared" si="16"/>
        <v>#REF!</v>
      </c>
      <c r="K50" s="8" t="e">
        <f t="shared" si="4"/>
        <v>#REF!</v>
      </c>
      <c r="L50" s="8" t="e">
        <f t="shared" si="7"/>
        <v>#REF!</v>
      </c>
    </row>
    <row r="51" spans="1:13">
      <c r="A51" s="80">
        <f t="shared" si="15"/>
        <v>37</v>
      </c>
      <c r="B51" s="803" t="s">
        <v>182</v>
      </c>
      <c r="C51" s="890" t="e">
        <f>SUM(#REF!+#REF!)</f>
        <v>#REF!</v>
      </c>
      <c r="D51" s="890" t="e">
        <f>SUM(#REF!+#REF!)</f>
        <v>#REF!</v>
      </c>
      <c r="E51" s="888" t="e">
        <f>SUM(#REF!+#REF!)</f>
        <v>#REF!</v>
      </c>
      <c r="F51" s="891" t="e">
        <f t="shared" si="13"/>
        <v>#REF!</v>
      </c>
      <c r="G51" s="888" t="e">
        <f>SUM(#REF!+#REF!)</f>
        <v>#REF!</v>
      </c>
      <c r="H51" s="906" t="e">
        <f>#REF!</f>
        <v>#REF!</v>
      </c>
      <c r="I51" s="888" t="e">
        <f t="shared" si="14"/>
        <v>#REF!</v>
      </c>
      <c r="J51" s="8" t="e">
        <f t="shared" si="16"/>
        <v>#REF!</v>
      </c>
      <c r="K51" s="8" t="e">
        <f t="shared" si="4"/>
        <v>#REF!</v>
      </c>
      <c r="L51" s="8" t="e">
        <f t="shared" ref="L51:L81" si="17">SUM(K51+G51-H51)</f>
        <v>#REF!</v>
      </c>
    </row>
    <row r="52" spans="1:13">
      <c r="A52" s="80">
        <f t="shared" si="15"/>
        <v>38</v>
      </c>
      <c r="B52" s="803" t="s">
        <v>183</v>
      </c>
      <c r="C52" s="890" t="e">
        <f>SUM(#REF!+#REF!)</f>
        <v>#REF!</v>
      </c>
      <c r="D52" s="890" t="e">
        <f>SUM(#REF!+#REF!)</f>
        <v>#REF!</v>
      </c>
      <c r="E52" s="888" t="e">
        <f>SUM(#REF!+#REF!)</f>
        <v>#REF!</v>
      </c>
      <c r="F52" s="891" t="e">
        <f t="shared" si="13"/>
        <v>#REF!</v>
      </c>
      <c r="G52" s="888" t="e">
        <f>SUM(#REF!+#REF!)</f>
        <v>#REF!</v>
      </c>
      <c r="H52" s="906" t="e">
        <f>#REF!</f>
        <v>#REF!</v>
      </c>
      <c r="I52" s="888" t="e">
        <f t="shared" si="14"/>
        <v>#REF!</v>
      </c>
      <c r="J52" s="8" t="e">
        <f t="shared" si="16"/>
        <v>#REF!</v>
      </c>
      <c r="K52" s="8" t="e">
        <f t="shared" si="4"/>
        <v>#REF!</v>
      </c>
      <c r="L52" s="8" t="e">
        <f t="shared" si="17"/>
        <v>#REF!</v>
      </c>
    </row>
    <row r="53" spans="1:13">
      <c r="A53" s="80">
        <f t="shared" si="15"/>
        <v>39</v>
      </c>
      <c r="B53" s="803" t="s">
        <v>184</v>
      </c>
      <c r="C53" s="890" t="e">
        <f>SUM(#REF!+#REF!)</f>
        <v>#REF!</v>
      </c>
      <c r="D53" s="890" t="e">
        <f>SUM(#REF!+#REF!)</f>
        <v>#REF!</v>
      </c>
      <c r="E53" s="888" t="e">
        <f>SUM(#REF!+#REF!)</f>
        <v>#REF!</v>
      </c>
      <c r="F53" s="891" t="e">
        <f t="shared" si="13"/>
        <v>#REF!</v>
      </c>
      <c r="G53" s="888" t="e">
        <f>SUM(#REF!+#REF!)</f>
        <v>#REF!</v>
      </c>
      <c r="H53" s="906" t="e">
        <f>#REF!</f>
        <v>#REF!</v>
      </c>
      <c r="I53" s="888" t="e">
        <f t="shared" si="14"/>
        <v>#REF!</v>
      </c>
      <c r="J53" s="8" t="e">
        <f t="shared" si="16"/>
        <v>#REF!</v>
      </c>
      <c r="K53" s="8" t="e">
        <f t="shared" si="4"/>
        <v>#REF!</v>
      </c>
      <c r="L53" s="8" t="e">
        <f t="shared" si="17"/>
        <v>#REF!</v>
      </c>
    </row>
    <row r="54" spans="1:13">
      <c r="A54" s="80">
        <f t="shared" si="15"/>
        <v>40</v>
      </c>
      <c r="B54" s="803" t="s">
        <v>185</v>
      </c>
      <c r="C54" s="890" t="e">
        <f>SUM(#REF!+#REF!)</f>
        <v>#REF!</v>
      </c>
      <c r="D54" s="890" t="e">
        <f>SUM(#REF!+#REF!)</f>
        <v>#REF!</v>
      </c>
      <c r="E54" s="888" t="e">
        <f>SUM(#REF!+#REF!)</f>
        <v>#REF!</v>
      </c>
      <c r="F54" s="891" t="e">
        <f t="shared" si="13"/>
        <v>#REF!</v>
      </c>
      <c r="G54" s="888" t="e">
        <f>SUM(#REF!+#REF!)</f>
        <v>#REF!</v>
      </c>
      <c r="H54" s="906" t="e">
        <f>#REF!</f>
        <v>#REF!</v>
      </c>
      <c r="I54" s="888" t="e">
        <f t="shared" si="14"/>
        <v>#REF!</v>
      </c>
      <c r="J54" s="8" t="e">
        <f t="shared" si="16"/>
        <v>#REF!</v>
      </c>
      <c r="K54" s="8" t="e">
        <f t="shared" si="4"/>
        <v>#REF!</v>
      </c>
      <c r="L54" s="8" t="e">
        <f t="shared" si="17"/>
        <v>#REF!</v>
      </c>
    </row>
    <row r="55" spans="1:13">
      <c r="A55" s="80">
        <f t="shared" si="15"/>
        <v>41</v>
      </c>
      <c r="B55" s="803" t="s">
        <v>186</v>
      </c>
      <c r="C55" s="890" t="e">
        <f>SUM(#REF!+#REF!)</f>
        <v>#REF!</v>
      </c>
      <c r="D55" s="890" t="e">
        <f>SUM(#REF!+#REF!)</f>
        <v>#REF!</v>
      </c>
      <c r="E55" s="888" t="e">
        <f>SUM(#REF!+#REF!)</f>
        <v>#REF!</v>
      </c>
      <c r="F55" s="891" t="e">
        <f t="shared" si="13"/>
        <v>#REF!</v>
      </c>
      <c r="G55" s="888" t="e">
        <f>SUM(#REF!+#REF!)</f>
        <v>#REF!</v>
      </c>
      <c r="H55" s="906" t="e">
        <f>#REF!</f>
        <v>#REF!</v>
      </c>
      <c r="I55" s="888" t="e">
        <f t="shared" si="14"/>
        <v>#REF!</v>
      </c>
      <c r="J55" s="8" t="e">
        <f t="shared" si="16"/>
        <v>#REF!</v>
      </c>
      <c r="K55" s="8" t="e">
        <f t="shared" si="4"/>
        <v>#REF!</v>
      </c>
      <c r="L55" s="8" t="e">
        <f t="shared" si="17"/>
        <v>#REF!</v>
      </c>
    </row>
    <row r="56" spans="1:13">
      <c r="A56" s="80">
        <f t="shared" si="15"/>
        <v>42</v>
      </c>
      <c r="B56" s="803" t="s">
        <v>187</v>
      </c>
      <c r="C56" s="890" t="e">
        <f>SUM(#REF!+#REF!)</f>
        <v>#REF!</v>
      </c>
      <c r="D56" s="890" t="e">
        <f>SUM(#REF!+#REF!)</f>
        <v>#REF!</v>
      </c>
      <c r="E56" s="888" t="e">
        <f>SUM(#REF!+#REF!)</f>
        <v>#REF!</v>
      </c>
      <c r="F56" s="891" t="e">
        <f t="shared" si="13"/>
        <v>#REF!</v>
      </c>
      <c r="G56" s="888" t="e">
        <f>SUM(#REF!+#REF!)</f>
        <v>#REF!</v>
      </c>
      <c r="H56" s="906" t="e">
        <f>#REF!</f>
        <v>#REF!</v>
      </c>
      <c r="I56" s="888" t="e">
        <f t="shared" si="14"/>
        <v>#REF!</v>
      </c>
      <c r="J56" s="8" t="e">
        <f t="shared" si="16"/>
        <v>#REF!</v>
      </c>
      <c r="K56" s="8" t="e">
        <f t="shared" si="4"/>
        <v>#REF!</v>
      </c>
      <c r="L56" s="8" t="e">
        <f t="shared" si="17"/>
        <v>#REF!</v>
      </c>
    </row>
    <row r="57" spans="1:13">
      <c r="A57" s="80">
        <f t="shared" si="15"/>
        <v>43</v>
      </c>
      <c r="B57" s="803" t="s">
        <v>188</v>
      </c>
      <c r="C57" s="890" t="e">
        <f>SUM(#REF!+#REF!)</f>
        <v>#REF!</v>
      </c>
      <c r="D57" s="890" t="e">
        <f>SUM(#REF!+#REF!)</f>
        <v>#REF!</v>
      </c>
      <c r="E57" s="888" t="e">
        <f>SUM(#REF!+#REF!)</f>
        <v>#REF!</v>
      </c>
      <c r="F57" s="891" t="e">
        <f t="shared" si="13"/>
        <v>#REF!</v>
      </c>
      <c r="G57" s="888" t="e">
        <f>SUM(#REF!+#REF!)</f>
        <v>#REF!</v>
      </c>
      <c r="H57" s="906" t="e">
        <f>#REF!</f>
        <v>#REF!</v>
      </c>
      <c r="I57" s="888" t="e">
        <f t="shared" si="14"/>
        <v>#REF!</v>
      </c>
      <c r="J57" s="8" t="e">
        <f t="shared" si="16"/>
        <v>#REF!</v>
      </c>
      <c r="K57" s="8" t="e">
        <f t="shared" si="4"/>
        <v>#REF!</v>
      </c>
      <c r="L57" s="8" t="e">
        <f t="shared" si="17"/>
        <v>#REF!</v>
      </c>
    </row>
    <row r="58" spans="1:13">
      <c r="A58" s="80">
        <f t="shared" si="15"/>
        <v>44</v>
      </c>
      <c r="B58" s="803" t="s">
        <v>189</v>
      </c>
      <c r="C58" s="890" t="e">
        <f>SUM(#REF!+#REF!)</f>
        <v>#REF!</v>
      </c>
      <c r="D58" s="890" t="e">
        <f>SUM(#REF!+#REF!)</f>
        <v>#REF!</v>
      </c>
      <c r="E58" s="888" t="e">
        <f>SUM(#REF!+#REF!)</f>
        <v>#REF!</v>
      </c>
      <c r="F58" s="891" t="e">
        <f t="shared" si="13"/>
        <v>#REF!</v>
      </c>
      <c r="G58" s="888" t="e">
        <f>SUM(#REF!+#REF!)</f>
        <v>#REF!</v>
      </c>
      <c r="H58" s="906" t="e">
        <f>#REF!</f>
        <v>#REF!</v>
      </c>
      <c r="I58" s="888" t="e">
        <f t="shared" si="14"/>
        <v>#REF!</v>
      </c>
      <c r="J58" s="8" t="e">
        <f t="shared" si="16"/>
        <v>#REF!</v>
      </c>
      <c r="K58" s="8" t="e">
        <f t="shared" si="4"/>
        <v>#REF!</v>
      </c>
      <c r="L58" s="8" t="e">
        <f t="shared" si="17"/>
        <v>#REF!</v>
      </c>
    </row>
    <row r="59" spans="1:13">
      <c r="A59" s="80">
        <f t="shared" si="15"/>
        <v>45</v>
      </c>
      <c r="B59" s="803" t="s">
        <v>210</v>
      </c>
      <c r="C59" s="890" t="e">
        <f>SUM(#REF!+#REF!)</f>
        <v>#REF!</v>
      </c>
      <c r="D59" s="890" t="e">
        <f>SUM(#REF!+#REF!)</f>
        <v>#REF!</v>
      </c>
      <c r="E59" s="888" t="e">
        <f>SUM(#REF!+#REF!)</f>
        <v>#REF!</v>
      </c>
      <c r="F59" s="891" t="e">
        <f t="shared" si="13"/>
        <v>#REF!</v>
      </c>
      <c r="G59" s="888" t="e">
        <f>SUM(#REF!+#REF!)</f>
        <v>#REF!</v>
      </c>
      <c r="H59" s="906" t="e">
        <f>#REF!</f>
        <v>#REF!</v>
      </c>
      <c r="I59" s="888" t="e">
        <f t="shared" si="14"/>
        <v>#REF!</v>
      </c>
      <c r="J59" s="8" t="e">
        <f t="shared" si="16"/>
        <v>#REF!</v>
      </c>
      <c r="K59" s="8" t="e">
        <f t="shared" si="4"/>
        <v>#REF!</v>
      </c>
      <c r="L59" s="8" t="e">
        <f t="shared" si="17"/>
        <v>#REF!</v>
      </c>
      <c r="M59" s="8"/>
    </row>
    <row r="60" spans="1:13">
      <c r="A60" s="80">
        <f t="shared" si="15"/>
        <v>46</v>
      </c>
      <c r="B60" s="803" t="s">
        <v>464</v>
      </c>
      <c r="C60" s="890" t="e">
        <f>SUM(#REF!+#REF!)</f>
        <v>#REF!</v>
      </c>
      <c r="D60" s="890" t="e">
        <f>SUM(#REF!+#REF!)</f>
        <v>#REF!</v>
      </c>
      <c r="E60" s="888" t="e">
        <f>SUM(#REF!+#REF!)</f>
        <v>#REF!</v>
      </c>
      <c r="F60" s="891" t="e">
        <f t="shared" si="13"/>
        <v>#REF!</v>
      </c>
      <c r="G60" s="888" t="e">
        <f>SUM(#REF!+#REF!)</f>
        <v>#REF!</v>
      </c>
      <c r="H60" s="906" t="e">
        <f>#REF!</f>
        <v>#REF!</v>
      </c>
      <c r="I60" s="888" t="e">
        <f t="shared" si="14"/>
        <v>#REF!</v>
      </c>
      <c r="J60" s="8" t="e">
        <f t="shared" si="16"/>
        <v>#REF!</v>
      </c>
      <c r="K60" s="8" t="e">
        <f t="shared" si="4"/>
        <v>#REF!</v>
      </c>
      <c r="L60" s="8" t="e">
        <f t="shared" si="17"/>
        <v>#REF!</v>
      </c>
      <c r="M60" s="790"/>
    </row>
    <row r="61" spans="1:13">
      <c r="A61" s="1165" t="s">
        <v>50</v>
      </c>
      <c r="B61" s="1166"/>
      <c r="C61" s="892" t="e">
        <f t="shared" ref="C61:I61" si="18">SUM(C36:C60)</f>
        <v>#REF!</v>
      </c>
      <c r="D61" s="892" t="e">
        <f t="shared" si="18"/>
        <v>#REF!</v>
      </c>
      <c r="E61" s="892" t="e">
        <f t="shared" si="18"/>
        <v>#REF!</v>
      </c>
      <c r="F61" s="892" t="e">
        <f t="shared" si="18"/>
        <v>#REF!</v>
      </c>
      <c r="G61" s="915" t="e">
        <f t="shared" si="18"/>
        <v>#REF!</v>
      </c>
      <c r="H61" s="915" t="e">
        <f t="shared" si="18"/>
        <v>#REF!</v>
      </c>
      <c r="I61" s="920" t="e">
        <f t="shared" si="18"/>
        <v>#REF!</v>
      </c>
      <c r="J61" s="8" t="e">
        <f t="shared" si="16"/>
        <v>#REF!</v>
      </c>
      <c r="K61" s="8" t="e">
        <f t="shared" si="4"/>
        <v>#REF!</v>
      </c>
      <c r="L61" s="8" t="e">
        <f t="shared" si="17"/>
        <v>#REF!</v>
      </c>
      <c r="M61" s="8"/>
    </row>
    <row r="62" spans="1:13">
      <c r="A62" s="1167" t="s">
        <v>74</v>
      </c>
      <c r="B62" s="1168"/>
      <c r="C62" s="1168"/>
      <c r="D62" s="1168"/>
      <c r="E62" s="1168"/>
      <c r="F62" s="1169"/>
      <c r="H62" s="906"/>
      <c r="J62" s="8"/>
      <c r="K62" s="8"/>
      <c r="L62" s="8"/>
      <c r="M62" s="8"/>
    </row>
    <row r="63" spans="1:13">
      <c r="A63" s="79">
        <v>47</v>
      </c>
      <c r="B63" s="804" t="s">
        <v>164</v>
      </c>
      <c r="C63" s="888" t="e">
        <f>SUM(#REF!+#REF!)</f>
        <v>#REF!</v>
      </c>
      <c r="D63" s="888" t="e">
        <f>SUM(#REF!+#REF!)</f>
        <v>#REF!</v>
      </c>
      <c r="E63" s="888" t="e">
        <f>SUM(#REF!+#REF!)</f>
        <v>#REF!</v>
      </c>
      <c r="F63" s="889" t="e">
        <f t="shared" ref="F63:F80" si="19">SUM(C63+D63-E63)</f>
        <v>#REF!</v>
      </c>
      <c r="G63" s="888" t="e">
        <f>SUM(#REF!+#REF!)</f>
        <v>#REF!</v>
      </c>
      <c r="H63" s="906" t="e">
        <f>#REF!</f>
        <v>#REF!</v>
      </c>
      <c r="I63" s="888" t="e">
        <f t="shared" ref="I63:I80" si="20">SUM(F63+G63-H63)</f>
        <v>#REF!</v>
      </c>
      <c r="J63" s="8" t="e">
        <f t="shared" si="16"/>
        <v>#REF!</v>
      </c>
      <c r="K63" s="8" t="e">
        <f t="shared" si="4"/>
        <v>#REF!</v>
      </c>
      <c r="L63" s="8" t="e">
        <f t="shared" si="17"/>
        <v>#REF!</v>
      </c>
    </row>
    <row r="64" spans="1:13">
      <c r="A64" s="80">
        <f t="shared" ref="A64:A80" si="21">A63+1</f>
        <v>48</v>
      </c>
      <c r="B64" s="803" t="s">
        <v>111</v>
      </c>
      <c r="C64" s="890" t="e">
        <f>SUM(#REF!+#REF!)</f>
        <v>#REF!</v>
      </c>
      <c r="D64" s="890" t="e">
        <f>SUM(#REF!+#REF!)</f>
        <v>#REF!</v>
      </c>
      <c r="E64" s="888" t="e">
        <f>SUM(#REF!+#REF!)</f>
        <v>#REF!</v>
      </c>
      <c r="F64" s="891" t="e">
        <f t="shared" si="19"/>
        <v>#REF!</v>
      </c>
      <c r="G64" s="888" t="e">
        <f>SUM(#REF!+#REF!)</f>
        <v>#REF!</v>
      </c>
      <c r="H64" s="906" t="e">
        <f>#REF!</f>
        <v>#REF!</v>
      </c>
      <c r="I64" s="888" t="e">
        <f t="shared" si="20"/>
        <v>#REF!</v>
      </c>
      <c r="J64" s="8" t="e">
        <f t="shared" si="16"/>
        <v>#REF!</v>
      </c>
      <c r="K64" s="8" t="e">
        <f t="shared" si="4"/>
        <v>#REF!</v>
      </c>
      <c r="L64" s="8" t="e">
        <f t="shared" si="17"/>
        <v>#REF!</v>
      </c>
    </row>
    <row r="65" spans="1:12">
      <c r="A65" s="80">
        <f t="shared" si="21"/>
        <v>49</v>
      </c>
      <c r="B65" s="803" t="s">
        <v>112</v>
      </c>
      <c r="C65" s="890" t="e">
        <f>SUM(#REF!+#REF!)</f>
        <v>#REF!</v>
      </c>
      <c r="D65" s="890" t="e">
        <f>SUM(#REF!+#REF!)</f>
        <v>#REF!</v>
      </c>
      <c r="E65" s="888" t="e">
        <f>SUM(#REF!+#REF!)</f>
        <v>#REF!</v>
      </c>
      <c r="F65" s="891" t="e">
        <f t="shared" si="19"/>
        <v>#REF!</v>
      </c>
      <c r="G65" s="888" t="e">
        <f>SUM(#REF!+#REF!)</f>
        <v>#REF!</v>
      </c>
      <c r="H65" s="906" t="e">
        <f>#REF!</f>
        <v>#REF!</v>
      </c>
      <c r="I65" s="888" t="e">
        <f t="shared" si="20"/>
        <v>#REF!</v>
      </c>
      <c r="J65" s="8" t="e">
        <f t="shared" si="16"/>
        <v>#REF!</v>
      </c>
      <c r="K65" s="8" t="e">
        <f t="shared" si="4"/>
        <v>#REF!</v>
      </c>
      <c r="L65" s="8" t="e">
        <f t="shared" si="17"/>
        <v>#REF!</v>
      </c>
    </row>
    <row r="66" spans="1:12" ht="22.5">
      <c r="A66" s="80">
        <f t="shared" si="21"/>
        <v>50</v>
      </c>
      <c r="B66" s="805" t="s">
        <v>150</v>
      </c>
      <c r="C66" s="890" t="e">
        <f>SUM(#REF!+#REF!)</f>
        <v>#REF!</v>
      </c>
      <c r="D66" s="890" t="e">
        <f>SUM(#REF!+#REF!)</f>
        <v>#REF!</v>
      </c>
      <c r="E66" s="888" t="e">
        <f>SUM(#REF!+#REF!)</f>
        <v>#REF!</v>
      </c>
      <c r="F66" s="891" t="e">
        <f t="shared" si="19"/>
        <v>#REF!</v>
      </c>
      <c r="G66" s="888" t="e">
        <f>SUM(#REF!+#REF!)</f>
        <v>#REF!</v>
      </c>
      <c r="H66" s="906" t="e">
        <f>#REF!</f>
        <v>#REF!</v>
      </c>
      <c r="I66" s="888" t="e">
        <f t="shared" si="20"/>
        <v>#REF!</v>
      </c>
      <c r="J66" s="8" t="e">
        <f t="shared" si="16"/>
        <v>#REF!</v>
      </c>
      <c r="K66" s="8" t="e">
        <f t="shared" si="4"/>
        <v>#REF!</v>
      </c>
      <c r="L66" s="8" t="e">
        <f t="shared" si="17"/>
        <v>#REF!</v>
      </c>
    </row>
    <row r="67" spans="1:12">
      <c r="A67" s="80">
        <f t="shared" si="21"/>
        <v>51</v>
      </c>
      <c r="B67" s="803" t="s">
        <v>129</v>
      </c>
      <c r="C67" s="890" t="e">
        <f>SUM(#REF!+#REF!)</f>
        <v>#REF!</v>
      </c>
      <c r="D67" s="890" t="e">
        <f>SUM(#REF!+#REF!)</f>
        <v>#REF!</v>
      </c>
      <c r="E67" s="888" t="e">
        <f>SUM(#REF!+#REF!)</f>
        <v>#REF!</v>
      </c>
      <c r="F67" s="891" t="e">
        <f t="shared" si="19"/>
        <v>#REF!</v>
      </c>
      <c r="G67" s="888" t="e">
        <f>SUM(#REF!+#REF!)</f>
        <v>#REF!</v>
      </c>
      <c r="H67" s="906" t="e">
        <f>#REF!</f>
        <v>#REF!</v>
      </c>
      <c r="I67" s="888" t="e">
        <f t="shared" si="20"/>
        <v>#REF!</v>
      </c>
      <c r="J67" s="8" t="e">
        <f t="shared" si="16"/>
        <v>#REF!</v>
      </c>
      <c r="K67" s="8" t="e">
        <f t="shared" si="4"/>
        <v>#REF!</v>
      </c>
      <c r="L67" s="8" t="e">
        <f t="shared" si="17"/>
        <v>#REF!</v>
      </c>
    </row>
    <row r="68" spans="1:12">
      <c r="A68" s="80">
        <f t="shared" si="21"/>
        <v>52</v>
      </c>
      <c r="B68" s="803" t="s">
        <v>145</v>
      </c>
      <c r="C68" s="890" t="e">
        <f>SUM(#REF!+#REF!)</f>
        <v>#REF!</v>
      </c>
      <c r="D68" s="890" t="e">
        <f>SUM(#REF!+#REF!)</f>
        <v>#REF!</v>
      </c>
      <c r="E68" s="888" t="e">
        <f>SUM(#REF!+#REF!)</f>
        <v>#REF!</v>
      </c>
      <c r="F68" s="891" t="e">
        <f t="shared" si="19"/>
        <v>#REF!</v>
      </c>
      <c r="G68" s="888" t="e">
        <f>SUM(#REF!+#REF!)</f>
        <v>#REF!</v>
      </c>
      <c r="H68" s="906" t="e">
        <f>#REF!</f>
        <v>#REF!</v>
      </c>
      <c r="I68" s="888" t="e">
        <f t="shared" si="20"/>
        <v>#REF!</v>
      </c>
      <c r="J68" s="8" t="e">
        <f t="shared" si="16"/>
        <v>#REF!</v>
      </c>
      <c r="K68" s="8" t="e">
        <f t="shared" si="4"/>
        <v>#REF!</v>
      </c>
      <c r="L68" s="8" t="e">
        <f t="shared" si="17"/>
        <v>#REF!</v>
      </c>
    </row>
    <row r="69" spans="1:12">
      <c r="A69" s="80">
        <f t="shared" si="21"/>
        <v>53</v>
      </c>
      <c r="B69" s="803" t="s">
        <v>146</v>
      </c>
      <c r="C69" s="890" t="e">
        <f>SUM(#REF!+#REF!)</f>
        <v>#REF!</v>
      </c>
      <c r="D69" s="890" t="e">
        <f>SUM(#REF!+#REF!)</f>
        <v>#REF!</v>
      </c>
      <c r="E69" s="888" t="e">
        <f>SUM(#REF!+#REF!)</f>
        <v>#REF!</v>
      </c>
      <c r="F69" s="891" t="e">
        <f t="shared" si="19"/>
        <v>#REF!</v>
      </c>
      <c r="G69" s="888" t="e">
        <f>SUM(#REF!+#REF!)</f>
        <v>#REF!</v>
      </c>
      <c r="H69" s="906" t="e">
        <f>#REF!</f>
        <v>#REF!</v>
      </c>
      <c r="I69" s="888" t="e">
        <f t="shared" si="20"/>
        <v>#REF!</v>
      </c>
      <c r="J69" s="8" t="e">
        <f t="shared" si="16"/>
        <v>#REF!</v>
      </c>
      <c r="K69" s="8" t="e">
        <f t="shared" si="4"/>
        <v>#REF!</v>
      </c>
      <c r="L69" s="8" t="e">
        <f t="shared" si="17"/>
        <v>#REF!</v>
      </c>
    </row>
    <row r="70" spans="1:12">
      <c r="A70" s="80">
        <f t="shared" si="21"/>
        <v>54</v>
      </c>
      <c r="B70" s="803" t="s">
        <v>165</v>
      </c>
      <c r="C70" s="890" t="e">
        <f>SUM(#REF!+#REF!)</f>
        <v>#REF!</v>
      </c>
      <c r="D70" s="890" t="e">
        <f>SUM(#REF!+#REF!)</f>
        <v>#REF!</v>
      </c>
      <c r="E70" s="888" t="e">
        <f>SUM(#REF!+#REF!)</f>
        <v>#REF!</v>
      </c>
      <c r="F70" s="891" t="e">
        <f t="shared" si="19"/>
        <v>#REF!</v>
      </c>
      <c r="G70" s="888" t="e">
        <f>SUM(#REF!+#REF!)</f>
        <v>#REF!</v>
      </c>
      <c r="H70" s="906" t="e">
        <f>#REF!</f>
        <v>#REF!</v>
      </c>
      <c r="I70" s="888" t="e">
        <f t="shared" si="20"/>
        <v>#REF!</v>
      </c>
      <c r="J70" s="8" t="e">
        <f t="shared" si="16"/>
        <v>#REF!</v>
      </c>
      <c r="K70" s="8" t="e">
        <f t="shared" si="4"/>
        <v>#REF!</v>
      </c>
      <c r="L70" s="8" t="e">
        <f t="shared" si="17"/>
        <v>#REF!</v>
      </c>
    </row>
    <row r="71" spans="1:12">
      <c r="A71" s="80">
        <f t="shared" si="21"/>
        <v>55</v>
      </c>
      <c r="B71" s="803" t="s">
        <v>166</v>
      </c>
      <c r="C71" s="890" t="e">
        <f>SUM(#REF!+#REF!)</f>
        <v>#REF!</v>
      </c>
      <c r="D71" s="890" t="e">
        <f>SUM(#REF!+#REF!)</f>
        <v>#REF!</v>
      </c>
      <c r="E71" s="888" t="e">
        <f>SUM(#REF!+#REF!)</f>
        <v>#REF!</v>
      </c>
      <c r="F71" s="891" t="e">
        <f t="shared" si="19"/>
        <v>#REF!</v>
      </c>
      <c r="G71" s="888" t="e">
        <f>SUM(#REF!+#REF!)</f>
        <v>#REF!</v>
      </c>
      <c r="H71" s="906" t="e">
        <f>#REF!</f>
        <v>#REF!</v>
      </c>
      <c r="I71" s="888" t="e">
        <f t="shared" si="20"/>
        <v>#REF!</v>
      </c>
      <c r="J71" s="8" t="e">
        <f t="shared" si="16"/>
        <v>#REF!</v>
      </c>
      <c r="K71" s="8" t="e">
        <f t="shared" si="4"/>
        <v>#REF!</v>
      </c>
      <c r="L71" s="8" t="e">
        <f t="shared" si="17"/>
        <v>#REF!</v>
      </c>
    </row>
    <row r="72" spans="1:12">
      <c r="A72" s="80">
        <f t="shared" si="21"/>
        <v>56</v>
      </c>
      <c r="B72" s="803" t="s">
        <v>167</v>
      </c>
      <c r="C72" s="890" t="e">
        <f>SUM(#REF!+#REF!)</f>
        <v>#REF!</v>
      </c>
      <c r="D72" s="890" t="e">
        <f>SUM(#REF!+#REF!)</f>
        <v>#REF!</v>
      </c>
      <c r="E72" s="888" t="e">
        <f>SUM(#REF!+#REF!)</f>
        <v>#REF!</v>
      </c>
      <c r="F72" s="891" t="e">
        <f t="shared" si="19"/>
        <v>#REF!</v>
      </c>
      <c r="G72" s="888" t="e">
        <f>SUM(#REF!+#REF!)</f>
        <v>#REF!</v>
      </c>
      <c r="H72" s="906" t="e">
        <f>#REF!</f>
        <v>#REF!</v>
      </c>
      <c r="I72" s="888" t="e">
        <f t="shared" si="20"/>
        <v>#REF!</v>
      </c>
      <c r="J72" s="8" t="e">
        <f t="shared" si="16"/>
        <v>#REF!</v>
      </c>
      <c r="K72" s="8" t="e">
        <f t="shared" si="4"/>
        <v>#REF!</v>
      </c>
      <c r="L72" s="8" t="e">
        <f t="shared" si="17"/>
        <v>#REF!</v>
      </c>
    </row>
    <row r="73" spans="1:12">
      <c r="A73" s="80">
        <f t="shared" si="21"/>
        <v>57</v>
      </c>
      <c r="B73" s="803" t="s">
        <v>168</v>
      </c>
      <c r="C73" s="890" t="e">
        <f>SUM(#REF!+#REF!)</f>
        <v>#REF!</v>
      </c>
      <c r="D73" s="890" t="e">
        <f>SUM(#REF!+#REF!)</f>
        <v>#REF!</v>
      </c>
      <c r="E73" s="888" t="e">
        <f>SUM(#REF!+#REF!)</f>
        <v>#REF!</v>
      </c>
      <c r="F73" s="891" t="e">
        <f t="shared" si="19"/>
        <v>#REF!</v>
      </c>
      <c r="G73" s="888" t="e">
        <f>SUM(#REF!+#REF!)</f>
        <v>#REF!</v>
      </c>
      <c r="H73" s="906" t="e">
        <f>#REF!</f>
        <v>#REF!</v>
      </c>
      <c r="I73" s="888" t="e">
        <f t="shared" si="20"/>
        <v>#REF!</v>
      </c>
      <c r="J73" s="8" t="e">
        <f t="shared" si="16"/>
        <v>#REF!</v>
      </c>
      <c r="K73" s="8" t="e">
        <f t="shared" si="4"/>
        <v>#REF!</v>
      </c>
      <c r="L73" s="8" t="e">
        <f t="shared" si="17"/>
        <v>#REF!</v>
      </c>
    </row>
    <row r="74" spans="1:12">
      <c r="A74" s="80">
        <f t="shared" si="21"/>
        <v>58</v>
      </c>
      <c r="B74" s="803" t="s">
        <v>169</v>
      </c>
      <c r="C74" s="890" t="e">
        <f>SUM(#REF!+#REF!)</f>
        <v>#REF!</v>
      </c>
      <c r="D74" s="890" t="e">
        <f>SUM(#REF!+#REF!)</f>
        <v>#REF!</v>
      </c>
      <c r="E74" s="888" t="e">
        <f>SUM(#REF!+#REF!)</f>
        <v>#REF!</v>
      </c>
      <c r="F74" s="891" t="e">
        <f t="shared" si="19"/>
        <v>#REF!</v>
      </c>
      <c r="G74" s="888" t="e">
        <f>SUM(#REF!+#REF!)</f>
        <v>#REF!</v>
      </c>
      <c r="H74" s="906" t="e">
        <f>#REF!</f>
        <v>#REF!</v>
      </c>
      <c r="I74" s="888" t="e">
        <f t="shared" si="20"/>
        <v>#REF!</v>
      </c>
      <c r="J74" s="8" t="e">
        <f t="shared" ref="J74:J81" si="22">SUM(C74+D74-E74)</f>
        <v>#REF!</v>
      </c>
      <c r="K74" s="8" t="e">
        <f t="shared" ref="K74:K90" si="23">SUM(F74-I74)</f>
        <v>#REF!</v>
      </c>
      <c r="L74" s="8" t="e">
        <f t="shared" si="17"/>
        <v>#REF!</v>
      </c>
    </row>
    <row r="75" spans="1:12">
      <c r="A75" s="80">
        <f t="shared" si="21"/>
        <v>59</v>
      </c>
      <c r="B75" s="803" t="s">
        <v>170</v>
      </c>
      <c r="C75" s="890" t="e">
        <f>SUM(#REF!+#REF!)</f>
        <v>#REF!</v>
      </c>
      <c r="D75" s="890" t="e">
        <f>SUM(#REF!+#REF!)</f>
        <v>#REF!</v>
      </c>
      <c r="E75" s="888" t="e">
        <f>SUM(#REF!+#REF!)</f>
        <v>#REF!</v>
      </c>
      <c r="F75" s="891" t="e">
        <f t="shared" si="19"/>
        <v>#REF!</v>
      </c>
      <c r="G75" s="888" t="e">
        <f>SUM(#REF!+#REF!)</f>
        <v>#REF!</v>
      </c>
      <c r="H75" s="906" t="e">
        <f>#REF!</f>
        <v>#REF!</v>
      </c>
      <c r="I75" s="888" t="e">
        <f t="shared" si="20"/>
        <v>#REF!</v>
      </c>
      <c r="J75" s="8" t="e">
        <f t="shared" si="22"/>
        <v>#REF!</v>
      </c>
      <c r="K75" s="8" t="e">
        <f t="shared" si="23"/>
        <v>#REF!</v>
      </c>
      <c r="L75" s="8" t="e">
        <f t="shared" si="17"/>
        <v>#REF!</v>
      </c>
    </row>
    <row r="76" spans="1:12">
      <c r="A76" s="80">
        <f t="shared" si="21"/>
        <v>60</v>
      </c>
      <c r="B76" s="803" t="s">
        <v>206</v>
      </c>
      <c r="C76" s="890" t="e">
        <f>SUM(#REF!+#REF!)</f>
        <v>#REF!</v>
      </c>
      <c r="D76" s="890" t="e">
        <f>SUM(#REF!+#REF!)</f>
        <v>#REF!</v>
      </c>
      <c r="E76" s="888" t="e">
        <f>SUM(#REF!+#REF!)</f>
        <v>#REF!</v>
      </c>
      <c r="F76" s="891" t="e">
        <f t="shared" si="19"/>
        <v>#REF!</v>
      </c>
      <c r="G76" s="888" t="e">
        <f>SUM(#REF!+#REF!)</f>
        <v>#REF!</v>
      </c>
      <c r="H76" s="906" t="e">
        <f>#REF!</f>
        <v>#REF!</v>
      </c>
      <c r="I76" s="888" t="e">
        <f t="shared" si="20"/>
        <v>#REF!</v>
      </c>
      <c r="J76" s="8" t="e">
        <f t="shared" si="22"/>
        <v>#REF!</v>
      </c>
      <c r="K76" s="8" t="e">
        <f t="shared" si="23"/>
        <v>#REF!</v>
      </c>
      <c r="L76" s="8" t="e">
        <f t="shared" si="17"/>
        <v>#REF!</v>
      </c>
    </row>
    <row r="77" spans="1:12">
      <c r="A77" s="80">
        <f t="shared" si="21"/>
        <v>61</v>
      </c>
      <c r="B77" s="803" t="s">
        <v>207</v>
      </c>
      <c r="C77" s="890" t="e">
        <f>SUM(#REF!+#REF!)</f>
        <v>#REF!</v>
      </c>
      <c r="D77" s="890" t="e">
        <f>SUM(#REF!+#REF!)</f>
        <v>#REF!</v>
      </c>
      <c r="E77" s="888" t="e">
        <f>SUM(#REF!+#REF!)</f>
        <v>#REF!</v>
      </c>
      <c r="F77" s="891" t="e">
        <f t="shared" si="19"/>
        <v>#REF!</v>
      </c>
      <c r="G77" s="888" t="e">
        <f>SUM(#REF!+#REF!)</f>
        <v>#REF!</v>
      </c>
      <c r="H77" s="906" t="e">
        <f>#REF!</f>
        <v>#REF!</v>
      </c>
      <c r="I77" s="888" t="e">
        <f t="shared" si="20"/>
        <v>#REF!</v>
      </c>
      <c r="J77" s="8" t="e">
        <f t="shared" si="22"/>
        <v>#REF!</v>
      </c>
      <c r="K77" s="8" t="e">
        <f t="shared" si="23"/>
        <v>#REF!</v>
      </c>
      <c r="L77" s="8" t="e">
        <f t="shared" si="17"/>
        <v>#REF!</v>
      </c>
    </row>
    <row r="78" spans="1:12">
      <c r="A78" s="80">
        <f t="shared" si="21"/>
        <v>62</v>
      </c>
      <c r="B78" s="803" t="s">
        <v>171</v>
      </c>
      <c r="C78" s="890" t="e">
        <f>SUM(#REF!+#REF!)</f>
        <v>#REF!</v>
      </c>
      <c r="D78" s="890" t="e">
        <f>SUM(#REF!+#REF!)</f>
        <v>#REF!</v>
      </c>
      <c r="E78" s="888" t="e">
        <f>SUM(#REF!+#REF!)</f>
        <v>#REF!</v>
      </c>
      <c r="F78" s="891" t="e">
        <f t="shared" si="19"/>
        <v>#REF!</v>
      </c>
      <c r="G78" s="888" t="e">
        <f>SUM(#REF!+#REF!)</f>
        <v>#REF!</v>
      </c>
      <c r="H78" s="906" t="e">
        <f>#REF!</f>
        <v>#REF!</v>
      </c>
      <c r="I78" s="888" t="e">
        <f t="shared" si="20"/>
        <v>#REF!</v>
      </c>
      <c r="J78" s="8" t="e">
        <f t="shared" si="22"/>
        <v>#REF!</v>
      </c>
      <c r="K78" s="8" t="e">
        <f t="shared" si="23"/>
        <v>#REF!</v>
      </c>
      <c r="L78" s="8" t="e">
        <f t="shared" si="17"/>
        <v>#REF!</v>
      </c>
    </row>
    <row r="79" spans="1:12">
      <c r="A79" s="80">
        <f t="shared" si="21"/>
        <v>63</v>
      </c>
      <c r="B79" s="803" t="s">
        <v>14</v>
      </c>
      <c r="C79" s="890" t="e">
        <f>SUM(#REF!+#REF!)</f>
        <v>#REF!</v>
      </c>
      <c r="D79" s="890" t="e">
        <f>SUM(#REF!+#REF!)</f>
        <v>#REF!</v>
      </c>
      <c r="E79" s="888" t="e">
        <f>SUM(#REF!+#REF!)</f>
        <v>#REF!</v>
      </c>
      <c r="F79" s="891" t="e">
        <f t="shared" si="19"/>
        <v>#REF!</v>
      </c>
      <c r="G79" s="888" t="e">
        <f>SUM(#REF!+#REF!)</f>
        <v>#REF!</v>
      </c>
      <c r="H79" s="906" t="e">
        <f>#REF!</f>
        <v>#REF!</v>
      </c>
      <c r="I79" s="888" t="e">
        <f t="shared" si="20"/>
        <v>#REF!</v>
      </c>
      <c r="J79" s="8" t="e">
        <f t="shared" si="22"/>
        <v>#REF!</v>
      </c>
      <c r="K79" s="8" t="e">
        <f t="shared" si="23"/>
        <v>#REF!</v>
      </c>
      <c r="L79" s="8" t="e">
        <f t="shared" si="17"/>
        <v>#REF!</v>
      </c>
    </row>
    <row r="80" spans="1:12">
      <c r="A80" s="80">
        <f t="shared" si="21"/>
        <v>64</v>
      </c>
      <c r="B80" s="803" t="s">
        <v>15</v>
      </c>
      <c r="C80" s="890" t="e">
        <f>SUM(#REF!+#REF!)</f>
        <v>#REF!</v>
      </c>
      <c r="D80" s="890" t="e">
        <f>SUM(#REF!+#REF!)</f>
        <v>#REF!</v>
      </c>
      <c r="E80" s="888" t="e">
        <f>SUM(#REF!+#REF!)</f>
        <v>#REF!</v>
      </c>
      <c r="F80" s="891" t="e">
        <f t="shared" si="19"/>
        <v>#REF!</v>
      </c>
      <c r="G80" s="888" t="e">
        <f>SUM(#REF!+#REF!)</f>
        <v>#REF!</v>
      </c>
      <c r="H80" s="906" t="e">
        <f>#REF!</f>
        <v>#REF!</v>
      </c>
      <c r="I80" s="888" t="e">
        <f t="shared" si="20"/>
        <v>#REF!</v>
      </c>
      <c r="J80" s="8" t="e">
        <f t="shared" si="22"/>
        <v>#REF!</v>
      </c>
      <c r="K80" s="8" t="e">
        <f t="shared" si="23"/>
        <v>#REF!</v>
      </c>
      <c r="L80" s="8" t="e">
        <f t="shared" si="17"/>
        <v>#REF!</v>
      </c>
    </row>
    <row r="81" spans="1:12">
      <c r="A81" s="1170" t="s">
        <v>73</v>
      </c>
      <c r="B81" s="1171"/>
      <c r="C81" s="896" t="e">
        <f t="shared" ref="C81:I81" si="24">SUM(C63:C80)</f>
        <v>#REF!</v>
      </c>
      <c r="D81" s="896" t="e">
        <f t="shared" si="24"/>
        <v>#REF!</v>
      </c>
      <c r="E81" s="896" t="e">
        <f t="shared" si="24"/>
        <v>#REF!</v>
      </c>
      <c r="F81" s="897" t="e">
        <f t="shared" si="24"/>
        <v>#REF!</v>
      </c>
      <c r="G81" s="913" t="e">
        <f t="shared" si="24"/>
        <v>#REF!</v>
      </c>
      <c r="H81" s="913" t="e">
        <f t="shared" si="24"/>
        <v>#REF!</v>
      </c>
      <c r="I81" s="922" t="e">
        <f t="shared" si="24"/>
        <v>#REF!</v>
      </c>
      <c r="J81" s="8" t="e">
        <f t="shared" si="22"/>
        <v>#REF!</v>
      </c>
      <c r="K81" s="8" t="e">
        <f t="shared" si="23"/>
        <v>#REF!</v>
      </c>
      <c r="L81" s="8" t="e">
        <f t="shared" si="17"/>
        <v>#REF!</v>
      </c>
    </row>
    <row r="82" spans="1:12">
      <c r="A82" s="1167" t="s">
        <v>7</v>
      </c>
      <c r="B82" s="1168"/>
      <c r="C82" s="1168"/>
      <c r="D82" s="1168"/>
      <c r="E82" s="1168"/>
      <c r="F82" s="1169"/>
      <c r="H82" s="906"/>
      <c r="K82" s="8"/>
      <c r="L82" s="8"/>
    </row>
    <row r="83" spans="1:12">
      <c r="A83" s="79">
        <v>65</v>
      </c>
      <c r="B83" s="802" t="s">
        <v>161</v>
      </c>
      <c r="C83" s="888" t="e">
        <f>SUM(#REF!+#REF!)</f>
        <v>#REF!</v>
      </c>
      <c r="D83" s="888" t="e">
        <f>SUM(#REF!+#REF!)</f>
        <v>#REF!</v>
      </c>
      <c r="E83" s="888" t="e">
        <f>SUM(#REF!+#REF!)</f>
        <v>#REF!</v>
      </c>
      <c r="F83" s="889" t="e">
        <f>SUM(C83+D83-E83)</f>
        <v>#REF!</v>
      </c>
      <c r="G83" s="888" t="e">
        <f>SUM(#REF!+#REF!)</f>
        <v>#REF!</v>
      </c>
      <c r="H83" s="906" t="e">
        <f>#REF!</f>
        <v>#REF!</v>
      </c>
      <c r="I83" s="888" t="e">
        <f>SUM(F83+G83-H83)</f>
        <v>#REF!</v>
      </c>
      <c r="J83" s="8" t="e">
        <f t="shared" ref="J83:J89" si="25">SUM(C83+D83-E83)</f>
        <v>#REF!</v>
      </c>
      <c r="K83" s="8" t="e">
        <f t="shared" si="23"/>
        <v>#REF!</v>
      </c>
      <c r="L83" s="8" t="e">
        <f>SUM(K83+G83-H83)</f>
        <v>#REF!</v>
      </c>
    </row>
    <row r="84" spans="1:12">
      <c r="A84" s="80">
        <f>A83+1</f>
        <v>66</v>
      </c>
      <c r="B84" s="803" t="s">
        <v>162</v>
      </c>
      <c r="C84" s="890" t="e">
        <f>SUM(#REF!+#REF!)</f>
        <v>#REF!</v>
      </c>
      <c r="D84" s="890" t="e">
        <f>SUM(#REF!+#REF!)</f>
        <v>#REF!</v>
      </c>
      <c r="E84" s="888" t="e">
        <f>SUM(#REF!+#REF!)</f>
        <v>#REF!</v>
      </c>
      <c r="F84" s="891" t="e">
        <f>SUM(C84+D84-E84)</f>
        <v>#REF!</v>
      </c>
      <c r="G84" s="888" t="e">
        <f>SUM(#REF!+#REF!)</f>
        <v>#REF!</v>
      </c>
      <c r="H84" s="906" t="e">
        <f>#REF!</f>
        <v>#REF!</v>
      </c>
      <c r="I84" s="888" t="e">
        <f>SUM(F84+G84-H84)</f>
        <v>#REF!</v>
      </c>
      <c r="J84" s="8" t="e">
        <f t="shared" si="25"/>
        <v>#REF!</v>
      </c>
      <c r="K84" s="8" t="e">
        <f t="shared" si="23"/>
        <v>#REF!</v>
      </c>
      <c r="L84" s="8" t="e">
        <f>SUM(K84+G84-H84)</f>
        <v>#REF!</v>
      </c>
    </row>
    <row r="85" spans="1:12">
      <c r="A85" s="80">
        <f>A84+1</f>
        <v>67</v>
      </c>
      <c r="B85" s="803" t="s">
        <v>24</v>
      </c>
      <c r="C85" s="890" t="e">
        <f>SUM(#REF!+#REF!)</f>
        <v>#REF!</v>
      </c>
      <c r="D85" s="890" t="e">
        <f>SUM(#REF!+#REF!)</f>
        <v>#REF!</v>
      </c>
      <c r="E85" s="888" t="e">
        <f>SUM(#REF!+#REF!)</f>
        <v>#REF!</v>
      </c>
      <c r="F85" s="891" t="e">
        <f>SUM(C85+D85-E85)</f>
        <v>#REF!</v>
      </c>
      <c r="G85" s="888" t="e">
        <f>SUM(#REF!+#REF!)</f>
        <v>#REF!</v>
      </c>
      <c r="H85" s="906" t="e">
        <f>#REF!</f>
        <v>#REF!</v>
      </c>
      <c r="I85" s="888" t="e">
        <f>SUM(F85+G85-H85)</f>
        <v>#REF!</v>
      </c>
      <c r="J85" s="8" t="e">
        <f t="shared" si="25"/>
        <v>#REF!</v>
      </c>
      <c r="K85" s="8" t="e">
        <f t="shared" si="23"/>
        <v>#REF!</v>
      </c>
      <c r="L85" s="8" t="e">
        <f>SUM(K85+G85-H85)</f>
        <v>#REF!</v>
      </c>
    </row>
    <row r="86" spans="1:12">
      <c r="A86" s="80">
        <f>A85+1</f>
        <v>68</v>
      </c>
      <c r="B86" s="806" t="s">
        <v>163</v>
      </c>
      <c r="C86" s="890" t="e">
        <f>SUM(#REF!+#REF!)</f>
        <v>#REF!</v>
      </c>
      <c r="D86" s="890" t="e">
        <f>SUM(#REF!+#REF!)</f>
        <v>#REF!</v>
      </c>
      <c r="E86" s="888" t="e">
        <f>SUM(#REF!+#REF!)</f>
        <v>#REF!</v>
      </c>
      <c r="F86" s="891" t="e">
        <f>SUM(C86+D86-E86)</f>
        <v>#REF!</v>
      </c>
      <c r="G86" s="888" t="e">
        <f>SUM(#REF!+#REF!)</f>
        <v>#REF!</v>
      </c>
      <c r="H86" s="906" t="e">
        <f>#REF!</f>
        <v>#REF!</v>
      </c>
      <c r="I86" s="888" t="e">
        <f>SUM(F86+G86-H86)</f>
        <v>#REF!</v>
      </c>
      <c r="J86" s="8" t="e">
        <f t="shared" si="25"/>
        <v>#REF!</v>
      </c>
      <c r="K86" s="8" t="e">
        <f t="shared" si="23"/>
        <v>#REF!</v>
      </c>
      <c r="L86" s="8" t="e">
        <f>SUM(K86+G86-H86)</f>
        <v>#REF!</v>
      </c>
    </row>
    <row r="87" spans="1:12">
      <c r="A87" s="1165" t="s">
        <v>26</v>
      </c>
      <c r="B87" s="1166"/>
      <c r="C87" s="892" t="e">
        <f t="shared" ref="C87:I87" si="26">SUM(C83:C86)</f>
        <v>#REF!</v>
      </c>
      <c r="D87" s="892" t="e">
        <f t="shared" si="26"/>
        <v>#REF!</v>
      </c>
      <c r="E87" s="892" t="e">
        <f t="shared" si="26"/>
        <v>#REF!</v>
      </c>
      <c r="F87" s="893" t="e">
        <f t="shared" si="26"/>
        <v>#REF!</v>
      </c>
      <c r="G87" s="915" t="e">
        <f t="shared" si="26"/>
        <v>#REF!</v>
      </c>
      <c r="H87" s="915" t="e">
        <f t="shared" si="26"/>
        <v>#REF!</v>
      </c>
      <c r="I87" s="920" t="e">
        <f t="shared" si="26"/>
        <v>#REF!</v>
      </c>
      <c r="J87" s="8" t="e">
        <f t="shared" si="25"/>
        <v>#REF!</v>
      </c>
      <c r="K87" s="8" t="e">
        <f t="shared" si="23"/>
        <v>#REF!</v>
      </c>
      <c r="L87" s="8" t="e">
        <f>SUM(K87+G87-H87)</f>
        <v>#REF!</v>
      </c>
    </row>
    <row r="88" spans="1:12" ht="21" hidden="1" customHeight="1">
      <c r="A88" s="208"/>
      <c r="B88" s="807"/>
      <c r="C88" s="898"/>
      <c r="D88" s="898"/>
      <c r="E88" s="898"/>
      <c r="F88" s="899"/>
      <c r="H88" s="906" t="e">
        <f>SUM(#REF!+#REF!)</f>
        <v>#REF!</v>
      </c>
      <c r="J88" s="8">
        <f t="shared" si="25"/>
        <v>0</v>
      </c>
      <c r="K88" s="8">
        <f t="shared" si="23"/>
        <v>0</v>
      </c>
    </row>
    <row r="89" spans="1:12" ht="69" hidden="1" customHeight="1">
      <c r="A89" s="1160" t="s">
        <v>247</v>
      </c>
      <c r="B89" s="1174"/>
      <c r="C89" s="917">
        <v>743909000</v>
      </c>
      <c r="D89" s="917">
        <v>0</v>
      </c>
      <c r="E89" s="917">
        <v>0</v>
      </c>
      <c r="F89" s="918">
        <v>743909000</v>
      </c>
      <c r="H89" s="906" t="e">
        <f>SUM(#REF!+#REF!)</f>
        <v>#REF!</v>
      </c>
      <c r="J89" s="8">
        <f t="shared" si="25"/>
        <v>743909000</v>
      </c>
      <c r="K89" s="8">
        <f t="shared" si="23"/>
        <v>743909000</v>
      </c>
    </row>
    <row r="90" spans="1:12" ht="66" hidden="1" customHeight="1">
      <c r="A90" s="1162" t="s">
        <v>248</v>
      </c>
      <c r="B90" s="1175"/>
      <c r="C90" s="900">
        <v>743909000</v>
      </c>
      <c r="D90" s="900">
        <v>0</v>
      </c>
      <c r="E90" s="900">
        <v>0</v>
      </c>
      <c r="F90" s="901">
        <v>743909000</v>
      </c>
      <c r="H90" s="906" t="e">
        <f>SUM(#REF!+#REF!)</f>
        <v>#REF!</v>
      </c>
      <c r="J90" s="8"/>
      <c r="K90" s="8">
        <f t="shared" si="23"/>
        <v>743909000</v>
      </c>
    </row>
    <row r="91" spans="1:12">
      <c r="A91" s="208"/>
      <c r="B91" s="807"/>
      <c r="C91" s="898"/>
      <c r="D91" s="898"/>
      <c r="E91" s="898"/>
      <c r="F91" s="899"/>
      <c r="H91" s="906"/>
      <c r="K91" s="8"/>
      <c r="L91" s="8"/>
    </row>
    <row r="92" spans="1:12">
      <c r="A92" s="208"/>
      <c r="B92" s="807"/>
      <c r="C92" s="898"/>
      <c r="D92" s="898"/>
      <c r="E92" s="898"/>
      <c r="F92" s="899"/>
      <c r="H92" s="906"/>
      <c r="K92" s="8"/>
    </row>
    <row r="93" spans="1:12">
      <c r="A93" s="1172" t="s">
        <v>77</v>
      </c>
      <c r="B93" s="1173"/>
      <c r="C93" s="900" t="e">
        <f t="shared" ref="C93:K93" si="27">SUM(C87+C81+C61+C34+C17+C24)</f>
        <v>#REF!</v>
      </c>
      <c r="D93" s="900" t="e">
        <f t="shared" si="27"/>
        <v>#REF!</v>
      </c>
      <c r="E93" s="900" t="e">
        <f t="shared" si="27"/>
        <v>#REF!</v>
      </c>
      <c r="F93" s="900" t="e">
        <f t="shared" si="27"/>
        <v>#REF!</v>
      </c>
      <c r="G93" s="900" t="e">
        <f t="shared" si="27"/>
        <v>#REF!</v>
      </c>
      <c r="H93" s="900" t="e">
        <f t="shared" si="27"/>
        <v>#REF!</v>
      </c>
      <c r="I93" s="900" t="e">
        <f t="shared" si="27"/>
        <v>#REF!</v>
      </c>
      <c r="J93" s="96" t="e">
        <f t="shared" si="27"/>
        <v>#REF!</v>
      </c>
      <c r="K93" s="96" t="e">
        <f t="shared" si="27"/>
        <v>#REF!</v>
      </c>
    </row>
    <row r="94" spans="1:12" ht="13.5" customHeight="1">
      <c r="K94" s="8"/>
    </row>
    <row r="95" spans="1:12" ht="21.75" customHeight="1">
      <c r="B95" s="800" t="s">
        <v>260</v>
      </c>
      <c r="J95" s="8" t="e">
        <f>SUM(H93-G93-K93)</f>
        <v>#REF!</v>
      </c>
    </row>
    <row r="96" spans="1:12">
      <c r="B96" s="1124" t="s">
        <v>259</v>
      </c>
      <c r="C96" s="1124"/>
      <c r="D96" s="1124"/>
      <c r="G96" s="923" t="e">
        <f>SUM(F93+G93-H93)</f>
        <v>#REF!</v>
      </c>
    </row>
    <row r="98" spans="3:9">
      <c r="C98" s="887" t="e">
        <f>SUM(C93-#REF!)</f>
        <v>#REF!</v>
      </c>
      <c r="D98" s="887" t="e">
        <f>SUM(D93-#REF!)</f>
        <v>#REF!</v>
      </c>
      <c r="E98" s="887" t="e">
        <f>SUM(E93-#REF!)</f>
        <v>#REF!</v>
      </c>
      <c r="F98" s="887" t="e">
        <f>SUM(F93-#REF!)</f>
        <v>#REF!</v>
      </c>
      <c r="G98" s="887" t="e">
        <f>SUM(G93-#REF!)</f>
        <v>#REF!</v>
      </c>
      <c r="H98" s="902" t="e">
        <f>SUM(H93-#REF!)</f>
        <v>#REF!</v>
      </c>
      <c r="I98" s="887" t="e">
        <f>SUM(I93-F93)</f>
        <v>#REF!</v>
      </c>
    </row>
    <row r="101" spans="3:9">
      <c r="C101" s="887" t="e">
        <f>SUM(#REF!+#REF!)</f>
        <v>#REF!</v>
      </c>
      <c r="D101" s="887" t="e">
        <f>SUM(#REF!+#REF!)</f>
        <v>#REF!</v>
      </c>
      <c r="E101" s="887" t="e">
        <f>SUM(#REF!+#REF!)</f>
        <v>#REF!</v>
      </c>
      <c r="F101" s="887" t="e">
        <f>SUM(#REF!+#REF!)</f>
        <v>#REF!</v>
      </c>
      <c r="G101" s="887" t="e">
        <f>SUM(#REF!+#REF!)</f>
        <v>#REF!</v>
      </c>
      <c r="H101" s="887" t="e">
        <f>SUM(#REF!+#REF!)</f>
        <v>#REF!</v>
      </c>
      <c r="I101" s="887" t="e">
        <f>SUM(F101+G101-H101)</f>
        <v>#REF!</v>
      </c>
    </row>
    <row r="102" spans="3:9">
      <c r="C102" s="887" t="e">
        <f t="shared" ref="C102:I102" si="28">SUM(C93-C101)</f>
        <v>#REF!</v>
      </c>
      <c r="D102" s="887" t="e">
        <f t="shared" si="28"/>
        <v>#REF!</v>
      </c>
      <c r="E102" s="887" t="e">
        <f t="shared" si="28"/>
        <v>#REF!</v>
      </c>
      <c r="F102" s="887" t="e">
        <f t="shared" si="28"/>
        <v>#REF!</v>
      </c>
      <c r="G102" s="887" t="e">
        <f t="shared" si="28"/>
        <v>#REF!</v>
      </c>
      <c r="H102" s="902" t="e">
        <f>SUM(H93-H101)</f>
        <v>#REF!</v>
      </c>
      <c r="I102" s="887" t="e">
        <f t="shared" si="28"/>
        <v>#REF!</v>
      </c>
    </row>
    <row r="104" spans="3:9">
      <c r="C104" s="887" t="e">
        <f t="shared" ref="C104:H104" si="29">SUM(C101:C102)</f>
        <v>#REF!</v>
      </c>
      <c r="D104" s="887" t="e">
        <f t="shared" si="29"/>
        <v>#REF!</v>
      </c>
      <c r="E104" s="887" t="e">
        <f t="shared" si="29"/>
        <v>#REF!</v>
      </c>
      <c r="F104" s="887" t="e">
        <f t="shared" si="29"/>
        <v>#REF!</v>
      </c>
      <c r="G104" s="887" t="e">
        <f t="shared" si="29"/>
        <v>#REF!</v>
      </c>
      <c r="H104" s="887" t="e">
        <f t="shared" si="29"/>
        <v>#REF!</v>
      </c>
    </row>
    <row r="105" spans="3:9">
      <c r="C105" s="887" t="e">
        <f t="shared" ref="C105:H105" si="30">SUM(C104-C93)</f>
        <v>#REF!</v>
      </c>
      <c r="D105" s="887" t="e">
        <f t="shared" si="30"/>
        <v>#REF!</v>
      </c>
      <c r="E105" s="887" t="e">
        <f>SUM(E104-E93)</f>
        <v>#REF!</v>
      </c>
      <c r="F105" s="887" t="e">
        <f t="shared" si="30"/>
        <v>#REF!</v>
      </c>
      <c r="G105" s="887" t="e">
        <f t="shared" si="30"/>
        <v>#REF!</v>
      </c>
      <c r="H105" s="887" t="e">
        <f t="shared" si="30"/>
        <v>#REF!</v>
      </c>
    </row>
    <row r="107" spans="3:9">
      <c r="H107" s="958"/>
    </row>
    <row r="108" spans="3:9">
      <c r="E108" s="887" t="e">
        <f>SUM(D101+G101)</f>
        <v>#REF!</v>
      </c>
    </row>
  </sheetData>
  <mergeCells count="27">
    <mergeCell ref="H5:H6"/>
    <mergeCell ref="I5:I6"/>
    <mergeCell ref="B96:D96"/>
    <mergeCell ref="A93:B93"/>
    <mergeCell ref="A90:B90"/>
    <mergeCell ref="A89:B89"/>
    <mergeCell ref="A87:B87"/>
    <mergeCell ref="A25:F25"/>
    <mergeCell ref="A24:B24"/>
    <mergeCell ref="A81:B81"/>
    <mergeCell ref="A35:F35"/>
    <mergeCell ref="A61:B61"/>
    <mergeCell ref="G5:G6"/>
    <mergeCell ref="A82:F82"/>
    <mergeCell ref="A62:F62"/>
    <mergeCell ref="A34:B34"/>
    <mergeCell ref="A1:F1"/>
    <mergeCell ref="A8:F8"/>
    <mergeCell ref="A17:B17"/>
    <mergeCell ref="A18:F18"/>
    <mergeCell ref="B5:B6"/>
    <mergeCell ref="C5:C6"/>
    <mergeCell ref="D5:D6"/>
    <mergeCell ref="F5:F6"/>
    <mergeCell ref="A2:F2"/>
    <mergeCell ref="E5:E6"/>
    <mergeCell ref="A5:A6"/>
  </mergeCells>
  <phoneticPr fontId="10" type="noConversion"/>
  <printOptions horizontalCentered="1"/>
  <pageMargins left="0.23622047244094491" right="0.15748031496062992" top="0.23622047244094491" bottom="0.23622047244094491" header="0.19685039370078741" footer="0.15748031496062992"/>
  <pageSetup paperSize="9" scale="90" orientation="landscape" r:id="rId1"/>
  <headerFooter alignWithMargins="0">
    <oddFooter>&amp;L&amp;8&amp;P&amp;D&amp;T&amp;Z&amp;F&amp;F&amp;A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15">
    <tabColor indexed="41"/>
  </sheetPr>
  <dimension ref="B1:N120"/>
  <sheetViews>
    <sheetView topLeftCell="E79" zoomScale="75" workbookViewId="0">
      <selection activeCell="F108" sqref="F108"/>
    </sheetView>
  </sheetViews>
  <sheetFormatPr defaultColWidth="9.140625" defaultRowHeight="21"/>
  <cols>
    <col min="1" max="1" width="2" style="211" customWidth="1"/>
    <col min="2" max="2" width="20.85546875" style="212" hidden="1" customWidth="1"/>
    <col min="3" max="3" width="18" style="212" hidden="1" customWidth="1"/>
    <col min="4" max="4" width="5.140625" style="211" customWidth="1"/>
    <col min="5" max="5" width="38.42578125" style="211" customWidth="1"/>
    <col min="6" max="6" width="35" style="211" customWidth="1"/>
    <col min="7" max="7" width="38.42578125" style="211" customWidth="1"/>
    <col min="8" max="8" width="43.85546875" style="211" customWidth="1"/>
    <col min="9" max="9" width="33.85546875" style="211" customWidth="1"/>
    <col min="10" max="10" width="37.5703125" style="211" hidden="1" customWidth="1"/>
    <col min="11" max="11" width="24.85546875" style="211" customWidth="1"/>
    <col min="12" max="12" width="32.85546875" style="211" customWidth="1"/>
    <col min="13" max="16384" width="9.140625" style="211"/>
  </cols>
  <sheetData>
    <row r="1" spans="2:14">
      <c r="I1" s="213"/>
      <c r="J1" s="213"/>
      <c r="K1" s="213"/>
      <c r="L1" s="214"/>
    </row>
    <row r="3" spans="2:14" ht="22.5">
      <c r="D3" s="1116" t="s">
        <v>275</v>
      </c>
      <c r="E3" s="1117"/>
      <c r="F3" s="1117"/>
      <c r="G3" s="1117"/>
      <c r="H3" s="1117"/>
      <c r="I3" s="1117"/>
      <c r="J3" s="1117"/>
      <c r="K3" s="1117"/>
      <c r="L3" s="1117"/>
    </row>
    <row r="4" spans="2:14" ht="22.5">
      <c r="D4" s="1116" t="s">
        <v>276</v>
      </c>
      <c r="E4" s="1118"/>
      <c r="F4" s="1118"/>
      <c r="G4" s="1118"/>
      <c r="H4" s="1118"/>
      <c r="I4" s="1118"/>
      <c r="J4" s="1118"/>
      <c r="K4" s="1118"/>
      <c r="L4" s="1118"/>
    </row>
    <row r="5" spans="2:14">
      <c r="D5" s="1119" t="s">
        <v>277</v>
      </c>
      <c r="E5" s="1120"/>
      <c r="F5" s="1120"/>
      <c r="G5" s="1120"/>
      <c r="H5" s="1120"/>
      <c r="I5" s="1120"/>
      <c r="J5" s="1120"/>
      <c r="K5" s="1120"/>
      <c r="L5" s="1120"/>
    </row>
    <row r="6" spans="2:14" ht="22.5">
      <c r="D6" s="1116" t="s">
        <v>415</v>
      </c>
      <c r="E6" s="1121"/>
      <c r="F6" s="1121"/>
      <c r="G6" s="1121"/>
      <c r="H6" s="1121"/>
      <c r="I6" s="1121"/>
      <c r="J6" s="1121"/>
      <c r="K6" s="1121"/>
      <c r="L6" s="1121"/>
    </row>
    <row r="7" spans="2:14" ht="22.5">
      <c r="D7" s="215"/>
      <c r="E7" s="216"/>
      <c r="F7" s="216"/>
      <c r="G7" s="217"/>
      <c r="H7" s="217"/>
      <c r="I7" s="217"/>
      <c r="J7" s="217"/>
      <c r="K7" s="217"/>
      <c r="L7" s="217"/>
      <c r="M7" s="217"/>
      <c r="N7" s="217"/>
    </row>
    <row r="8" spans="2:14" ht="22.5">
      <c r="D8" s="215"/>
      <c r="E8" s="216"/>
      <c r="F8" s="218"/>
      <c r="G8" s="218"/>
      <c r="H8" s="218"/>
      <c r="I8" s="218"/>
      <c r="J8" s="218"/>
      <c r="K8" s="218"/>
      <c r="L8" s="215"/>
    </row>
    <row r="9" spans="2:14" ht="22.5">
      <c r="B9" s="212">
        <f>IF(C9=0,1,0)</f>
        <v>0</v>
      </c>
      <c r="C9" s="212">
        <f>MOD(MONTH(L9),3)</f>
        <v>1</v>
      </c>
      <c r="D9" s="215"/>
      <c r="E9" s="216"/>
      <c r="F9" s="218"/>
      <c r="G9" s="218"/>
      <c r="H9" s="219"/>
      <c r="I9" s="220" t="s">
        <v>278</v>
      </c>
      <c r="J9" s="219"/>
      <c r="K9" s="219"/>
      <c r="L9" s="221">
        <v>39478</v>
      </c>
    </row>
    <row r="10" spans="2:14" ht="22.5">
      <c r="D10" s="215"/>
      <c r="E10" s="215"/>
      <c r="F10" s="215"/>
      <c r="G10" s="215"/>
      <c r="H10" s="215"/>
      <c r="I10" s="215"/>
      <c r="J10" s="215"/>
      <c r="K10" s="215"/>
      <c r="L10" s="215"/>
    </row>
    <row r="11" spans="2:14" ht="23.25" thickBot="1">
      <c r="D11" s="215"/>
      <c r="E11" s="215"/>
      <c r="F11" s="215"/>
      <c r="G11" s="215"/>
      <c r="H11" s="222"/>
      <c r="I11" s="222"/>
      <c r="J11" s="222"/>
      <c r="K11" s="222"/>
      <c r="L11" s="222" t="s">
        <v>0</v>
      </c>
    </row>
    <row r="12" spans="2:14" ht="22.5">
      <c r="D12" s="223" t="s">
        <v>80</v>
      </c>
      <c r="E12" s="657" t="s">
        <v>2</v>
      </c>
      <c r="F12" s="657" t="s">
        <v>1</v>
      </c>
      <c r="G12" s="657" t="s">
        <v>279</v>
      </c>
      <c r="H12" s="657" t="s">
        <v>280</v>
      </c>
      <c r="I12" s="657" t="s">
        <v>1</v>
      </c>
      <c r="J12" s="657" t="s">
        <v>281</v>
      </c>
      <c r="K12" s="657"/>
      <c r="L12" s="658"/>
    </row>
    <row r="13" spans="2:14" ht="22.5">
      <c r="B13" s="224">
        <v>39408</v>
      </c>
      <c r="C13" s="225">
        <v>0.73263888888888884</v>
      </c>
      <c r="D13" s="226"/>
      <c r="E13" s="659" t="s">
        <v>3</v>
      </c>
      <c r="F13" s="659" t="s">
        <v>416</v>
      </c>
      <c r="G13" s="659" t="s">
        <v>282</v>
      </c>
      <c r="H13" s="659" t="s">
        <v>283</v>
      </c>
      <c r="I13" s="659" t="s">
        <v>417</v>
      </c>
      <c r="J13" s="659" t="s">
        <v>282</v>
      </c>
      <c r="K13" s="659" t="s">
        <v>262</v>
      </c>
      <c r="L13" s="660" t="s">
        <v>284</v>
      </c>
    </row>
    <row r="14" spans="2:14" ht="23.25" thickBot="1">
      <c r="D14" s="226"/>
      <c r="E14" s="659"/>
      <c r="F14" s="659"/>
      <c r="G14" s="659" t="s">
        <v>418</v>
      </c>
      <c r="H14" s="659" t="s">
        <v>418</v>
      </c>
      <c r="I14" s="659"/>
      <c r="J14" s="659" t="s">
        <v>419</v>
      </c>
      <c r="K14" s="659"/>
      <c r="L14" s="660" t="s">
        <v>285</v>
      </c>
    </row>
    <row r="15" spans="2:14" ht="23.25" thickBot="1">
      <c r="D15" s="227">
        <v>1</v>
      </c>
      <c r="E15" s="228">
        <v>2</v>
      </c>
      <c r="F15" s="228">
        <v>3</v>
      </c>
      <c r="G15" s="228">
        <v>4</v>
      </c>
      <c r="H15" s="228">
        <v>5</v>
      </c>
      <c r="I15" s="228">
        <v>6</v>
      </c>
      <c r="J15" s="228">
        <v>7</v>
      </c>
      <c r="K15" s="228">
        <v>8</v>
      </c>
      <c r="L15" s="229">
        <v>9</v>
      </c>
    </row>
    <row r="16" spans="2:14" ht="39.950000000000003" customHeight="1">
      <c r="D16" s="1113" t="s">
        <v>76</v>
      </c>
      <c r="E16" s="1114"/>
      <c r="F16" s="1114"/>
      <c r="G16" s="1114"/>
      <c r="H16" s="1114"/>
      <c r="I16" s="1114"/>
      <c r="J16" s="1114"/>
      <c r="K16" s="1114"/>
      <c r="L16" s="1115"/>
    </row>
    <row r="17" spans="2:12" ht="22.5">
      <c r="B17" s="230">
        <f>'[1] П_Р_О_В_Е_Р_К_А '!G59</f>
        <v>0</v>
      </c>
      <c r="C17" s="231" t="s">
        <v>286</v>
      </c>
      <c r="D17" s="232">
        <v>1</v>
      </c>
      <c r="E17" s="233" t="s">
        <v>199</v>
      </c>
      <c r="F17" s="234"/>
      <c r="G17" s="234"/>
      <c r="H17" s="234"/>
      <c r="I17" s="235">
        <f>F17+G17-H17</f>
        <v>0</v>
      </c>
      <c r="J17" s="236"/>
      <c r="K17" s="236"/>
      <c r="L17" s="237">
        <f>I17+K17</f>
        <v>0</v>
      </c>
    </row>
    <row r="18" spans="2:12" ht="22.5">
      <c r="B18" s="230">
        <f>'[1] П_Р_О_В_Е_Р_К_А '!G67</f>
        <v>0</v>
      </c>
      <c r="C18" s="231" t="s">
        <v>287</v>
      </c>
      <c r="D18" s="232">
        <v>2</v>
      </c>
      <c r="E18" s="233" t="s">
        <v>200</v>
      </c>
      <c r="F18" s="234"/>
      <c r="G18" s="234"/>
      <c r="H18" s="234"/>
      <c r="I18" s="235">
        <f t="shared" ref="I18:I24" si="0">F18+G18-H18</f>
        <v>0</v>
      </c>
      <c r="J18" s="236"/>
      <c r="K18" s="236"/>
      <c r="L18" s="237">
        <f t="shared" ref="L18:L24" si="1">I18+K18</f>
        <v>0</v>
      </c>
    </row>
    <row r="19" spans="2:12" ht="22.5">
      <c r="B19" s="230">
        <f>'[1] П_Р_О_В_Е_Р_К_А '!G75</f>
        <v>0</v>
      </c>
      <c r="C19" s="231" t="s">
        <v>288</v>
      </c>
      <c r="D19" s="232">
        <v>3</v>
      </c>
      <c r="E19" s="233" t="s">
        <v>201</v>
      </c>
      <c r="F19" s="234"/>
      <c r="G19" s="234"/>
      <c r="H19" s="234"/>
      <c r="I19" s="235">
        <f t="shared" si="0"/>
        <v>0</v>
      </c>
      <c r="J19" s="236"/>
      <c r="K19" s="236"/>
      <c r="L19" s="237">
        <f t="shared" si="1"/>
        <v>0</v>
      </c>
    </row>
    <row r="20" spans="2:12" ht="22.5">
      <c r="B20" s="230">
        <f>'[1] П_Р_О_В_Е_Р_К_А '!G83</f>
        <v>0</v>
      </c>
      <c r="C20" s="231" t="s">
        <v>289</v>
      </c>
      <c r="D20" s="232">
        <v>4</v>
      </c>
      <c r="E20" s="233" t="s">
        <v>202</v>
      </c>
      <c r="F20" s="234"/>
      <c r="G20" s="234"/>
      <c r="H20" s="234"/>
      <c r="I20" s="235">
        <f t="shared" si="0"/>
        <v>0</v>
      </c>
      <c r="J20" s="236"/>
      <c r="K20" s="236"/>
      <c r="L20" s="237">
        <f t="shared" si="1"/>
        <v>0</v>
      </c>
    </row>
    <row r="21" spans="2:12" ht="22.5">
      <c r="B21" s="230">
        <f>'[1] П_Р_О_В_Е_Р_К_А '!G91</f>
        <v>0</v>
      </c>
      <c r="C21" s="231" t="s">
        <v>290</v>
      </c>
      <c r="D21" s="232">
        <v>5</v>
      </c>
      <c r="E21" s="233" t="s">
        <v>203</v>
      </c>
      <c r="F21" s="234"/>
      <c r="G21" s="234"/>
      <c r="H21" s="234"/>
      <c r="I21" s="235">
        <f t="shared" si="0"/>
        <v>0</v>
      </c>
      <c r="J21" s="236"/>
      <c r="K21" s="236"/>
      <c r="L21" s="237">
        <f t="shared" si="1"/>
        <v>0</v>
      </c>
    </row>
    <row r="22" spans="2:12" ht="22.5">
      <c r="C22" s="231" t="s">
        <v>291</v>
      </c>
      <c r="D22" s="232">
        <v>6</v>
      </c>
      <c r="E22" s="233" t="s">
        <v>204</v>
      </c>
      <c r="F22" s="234"/>
      <c r="G22" s="234"/>
      <c r="H22" s="234"/>
      <c r="I22" s="235">
        <f t="shared" si="0"/>
        <v>0</v>
      </c>
      <c r="J22" s="236"/>
      <c r="K22" s="236"/>
      <c r="L22" s="237">
        <f t="shared" si="1"/>
        <v>0</v>
      </c>
    </row>
    <row r="23" spans="2:12" ht="22.5">
      <c r="C23" s="231" t="s">
        <v>292</v>
      </c>
      <c r="D23" s="232">
        <v>7</v>
      </c>
      <c r="E23" s="233" t="s">
        <v>68</v>
      </c>
      <c r="F23" s="234"/>
      <c r="G23" s="234"/>
      <c r="H23" s="234"/>
      <c r="I23" s="235">
        <f t="shared" si="0"/>
        <v>0</v>
      </c>
      <c r="J23" s="236"/>
      <c r="K23" s="236"/>
      <c r="L23" s="237">
        <f t="shared" si="1"/>
        <v>0</v>
      </c>
    </row>
    <row r="24" spans="2:12" ht="23.25" thickBot="1">
      <c r="C24" s="231" t="s">
        <v>293</v>
      </c>
      <c r="D24" s="238">
        <v>8</v>
      </c>
      <c r="E24" s="239" t="s">
        <v>214</v>
      </c>
      <c r="F24" s="240"/>
      <c r="G24" s="240"/>
      <c r="H24" s="240"/>
      <c r="I24" s="235">
        <f t="shared" si="0"/>
        <v>0</v>
      </c>
      <c r="J24" s="241"/>
      <c r="K24" s="241"/>
      <c r="L24" s="237">
        <f t="shared" si="1"/>
        <v>0</v>
      </c>
    </row>
    <row r="25" spans="2:12" ht="42.75" customHeight="1" thickBot="1">
      <c r="D25" s="1111" t="s">
        <v>294</v>
      </c>
      <c r="E25" s="1112"/>
      <c r="F25" s="242">
        <f t="shared" ref="F25:L25" si="2">SUM(F17:F24)</f>
        <v>0</v>
      </c>
      <c r="G25" s="242">
        <f t="shared" si="2"/>
        <v>0</v>
      </c>
      <c r="H25" s="242">
        <f t="shared" si="2"/>
        <v>0</v>
      </c>
      <c r="I25" s="242">
        <f t="shared" si="2"/>
        <v>0</v>
      </c>
      <c r="J25" s="242">
        <f t="shared" si="2"/>
        <v>0</v>
      </c>
      <c r="K25" s="242">
        <f t="shared" si="2"/>
        <v>0</v>
      </c>
      <c r="L25" s="243">
        <f t="shared" si="2"/>
        <v>0</v>
      </c>
    </row>
    <row r="26" spans="2:12" ht="39.950000000000003" customHeight="1">
      <c r="D26" s="1113" t="s">
        <v>269</v>
      </c>
      <c r="E26" s="1114"/>
      <c r="F26" s="1114"/>
      <c r="G26" s="1114"/>
      <c r="H26" s="1114"/>
      <c r="I26" s="1114"/>
      <c r="J26" s="1114"/>
      <c r="K26" s="1114"/>
      <c r="L26" s="1115"/>
    </row>
    <row r="27" spans="2:12" ht="22.5">
      <c r="B27" s="230">
        <f>'[1] П_Р_О_В_Е_Р_К_А '!G62</f>
        <v>0</v>
      </c>
      <c r="C27" s="231" t="s">
        <v>295</v>
      </c>
      <c r="D27" s="232">
        <v>9</v>
      </c>
      <c r="E27" s="233" t="s">
        <v>190</v>
      </c>
      <c r="F27" s="234"/>
      <c r="G27" s="234"/>
      <c r="H27" s="234"/>
      <c r="I27" s="235">
        <f>F27+G27-H27</f>
        <v>0</v>
      </c>
      <c r="J27" s="236"/>
      <c r="K27" s="236"/>
      <c r="L27" s="237">
        <f>I27+K27</f>
        <v>0</v>
      </c>
    </row>
    <row r="28" spans="2:12" ht="22.5">
      <c r="B28" s="230">
        <f>'[1] П_Р_О_В_Е_Р_К_А '!G70</f>
        <v>0</v>
      </c>
      <c r="C28" s="231" t="s">
        <v>296</v>
      </c>
      <c r="D28" s="232">
        <v>10</v>
      </c>
      <c r="E28" s="233" t="s">
        <v>191</v>
      </c>
      <c r="F28" s="234"/>
      <c r="G28" s="234"/>
      <c r="H28" s="234"/>
      <c r="I28" s="235">
        <f>F28+G28-H28</f>
        <v>0</v>
      </c>
      <c r="J28" s="236"/>
      <c r="K28" s="236"/>
      <c r="L28" s="237">
        <f>I28+K28</f>
        <v>0</v>
      </c>
    </row>
    <row r="29" spans="2:12" ht="22.5">
      <c r="B29" s="230">
        <f>'[1] П_Р_О_В_Е_Р_К_А '!G78</f>
        <v>0</v>
      </c>
      <c r="C29" s="231" t="s">
        <v>297</v>
      </c>
      <c r="D29" s="232">
        <v>11</v>
      </c>
      <c r="E29" s="233" t="s">
        <v>192</v>
      </c>
      <c r="F29" s="244"/>
      <c r="G29" s="234"/>
      <c r="H29" s="234"/>
      <c r="I29" s="235">
        <f>F29+G29-H29</f>
        <v>0</v>
      </c>
      <c r="J29" s="236"/>
      <c r="K29" s="236"/>
      <c r="L29" s="237">
        <f>I29+K29</f>
        <v>0</v>
      </c>
    </row>
    <row r="30" spans="2:12" ht="22.5">
      <c r="B30" s="230">
        <f>'[1] П_Р_О_В_Е_Р_К_А '!G86</f>
        <v>0</v>
      </c>
      <c r="C30" s="231" t="s">
        <v>298</v>
      </c>
      <c r="D30" s="232">
        <v>12</v>
      </c>
      <c r="E30" s="233" t="s">
        <v>193</v>
      </c>
      <c r="F30" s="234"/>
      <c r="G30" s="234"/>
      <c r="H30" s="234"/>
      <c r="I30" s="235">
        <f>F30+G30-H30</f>
        <v>0</v>
      </c>
      <c r="J30" s="236"/>
      <c r="K30" s="236"/>
      <c r="L30" s="237">
        <f>I30+K30</f>
        <v>0</v>
      </c>
    </row>
    <row r="31" spans="2:12" ht="23.25" thickBot="1">
      <c r="B31" s="230">
        <f>'[1] П_Р_О_В_Е_Р_К_А '!G94</f>
        <v>0</v>
      </c>
      <c r="C31" s="231" t="s">
        <v>299</v>
      </c>
      <c r="D31" s="238">
        <v>13</v>
      </c>
      <c r="E31" s="239" t="s">
        <v>205</v>
      </c>
      <c r="F31" s="240"/>
      <c r="G31" s="240"/>
      <c r="H31" s="240"/>
      <c r="I31" s="235">
        <f>F31+G31-H31</f>
        <v>0</v>
      </c>
      <c r="J31" s="241"/>
      <c r="K31" s="241"/>
      <c r="L31" s="237">
        <f>I31+K31</f>
        <v>0</v>
      </c>
    </row>
    <row r="32" spans="2:12" ht="48.75" customHeight="1" thickBot="1">
      <c r="C32" s="211"/>
      <c r="D32" s="1111" t="s">
        <v>300</v>
      </c>
      <c r="E32" s="1112"/>
      <c r="F32" s="242">
        <f t="shared" ref="F32:L32" si="3">SUM(F27:F31)</f>
        <v>0</v>
      </c>
      <c r="G32" s="242">
        <f t="shared" si="3"/>
        <v>0</v>
      </c>
      <c r="H32" s="242">
        <f t="shared" si="3"/>
        <v>0</v>
      </c>
      <c r="I32" s="242">
        <f t="shared" si="3"/>
        <v>0</v>
      </c>
      <c r="J32" s="242">
        <f t="shared" si="3"/>
        <v>0</v>
      </c>
      <c r="K32" s="242">
        <f t="shared" si="3"/>
        <v>0</v>
      </c>
      <c r="L32" s="243">
        <f t="shared" si="3"/>
        <v>0</v>
      </c>
    </row>
    <row r="33" spans="2:12" ht="40.5" customHeight="1">
      <c r="C33" s="231"/>
      <c r="D33" s="1104" t="s">
        <v>301</v>
      </c>
      <c r="E33" s="1122"/>
      <c r="F33" s="1122"/>
      <c r="G33" s="1122"/>
      <c r="H33" s="1122"/>
      <c r="I33" s="1122"/>
      <c r="J33" s="1122"/>
      <c r="K33" s="1122"/>
      <c r="L33" s="1123"/>
    </row>
    <row r="34" spans="2:12" ht="22.5">
      <c r="B34" s="230">
        <f>'[1] П_Р_О_В_Е_Р_К_А '!G61</f>
        <v>138134</v>
      </c>
      <c r="C34" s="231" t="s">
        <v>302</v>
      </c>
      <c r="D34" s="232">
        <v>14</v>
      </c>
      <c r="E34" s="233" t="s">
        <v>194</v>
      </c>
      <c r="F34" s="234"/>
      <c r="G34" s="234"/>
      <c r="H34" s="234"/>
      <c r="I34" s="235">
        <f>F34+G34-H34</f>
        <v>0</v>
      </c>
      <c r="J34" s="236"/>
      <c r="K34" s="236"/>
      <c r="L34" s="237">
        <f t="shared" ref="L34:L41" si="4">I34+K34</f>
        <v>0</v>
      </c>
    </row>
    <row r="35" spans="2:12" ht="22.5">
      <c r="B35" s="230">
        <f>'[1] П_Р_О_В_Е_Р_К_А '!G69</f>
        <v>0</v>
      </c>
      <c r="C35" s="231" t="s">
        <v>303</v>
      </c>
      <c r="D35" s="232">
        <v>15</v>
      </c>
      <c r="E35" s="233" t="s">
        <v>195</v>
      </c>
      <c r="F35" s="234">
        <v>61900</v>
      </c>
      <c r="G35" s="234"/>
      <c r="H35" s="234"/>
      <c r="I35" s="235">
        <f t="shared" ref="I35:I41" si="5">F35+G35-H35</f>
        <v>61900</v>
      </c>
      <c r="J35" s="236"/>
      <c r="K35" s="236"/>
      <c r="L35" s="237">
        <f t="shared" si="4"/>
        <v>61900</v>
      </c>
    </row>
    <row r="36" spans="2:12" ht="22.5">
      <c r="B36" s="230">
        <f>'[1] П_Р_О_В_Е_Р_К_А '!G77</f>
        <v>0</v>
      </c>
      <c r="C36" s="231" t="s">
        <v>304</v>
      </c>
      <c r="D36" s="232">
        <v>16</v>
      </c>
      <c r="E36" s="233" t="s">
        <v>196</v>
      </c>
      <c r="F36" s="234">
        <v>0</v>
      </c>
      <c r="G36" s="234"/>
      <c r="H36" s="234"/>
      <c r="I36" s="235">
        <f t="shared" si="5"/>
        <v>0</v>
      </c>
      <c r="J36" s="236"/>
      <c r="K36" s="236"/>
      <c r="L36" s="237">
        <f t="shared" si="4"/>
        <v>0</v>
      </c>
    </row>
    <row r="37" spans="2:12" ht="22.5">
      <c r="B37" s="230">
        <f>'[1] П_Р_О_В_Е_Р_К_А '!G85</f>
        <v>0</v>
      </c>
      <c r="C37" s="231" t="s">
        <v>305</v>
      </c>
      <c r="D37" s="232">
        <v>17</v>
      </c>
      <c r="E37" s="233" t="s">
        <v>212</v>
      </c>
      <c r="F37" s="234">
        <v>0</v>
      </c>
      <c r="G37" s="234"/>
      <c r="H37" s="234"/>
      <c r="I37" s="235">
        <f t="shared" si="5"/>
        <v>0</v>
      </c>
      <c r="J37" s="236"/>
      <c r="K37" s="236"/>
      <c r="L37" s="237">
        <f t="shared" si="4"/>
        <v>0</v>
      </c>
    </row>
    <row r="38" spans="2:12" ht="21" customHeight="1">
      <c r="B38" s="230">
        <f>'[1] П_Р_О_В_Е_Р_К_А '!G93</f>
        <v>0</v>
      </c>
      <c r="C38" s="231" t="s">
        <v>306</v>
      </c>
      <c r="D38" s="232">
        <v>18</v>
      </c>
      <c r="E38" s="233" t="s">
        <v>197</v>
      </c>
      <c r="F38" s="234">
        <v>0</v>
      </c>
      <c r="G38" s="234"/>
      <c r="H38" s="234"/>
      <c r="I38" s="235">
        <f t="shared" si="5"/>
        <v>0</v>
      </c>
      <c r="J38" s="236"/>
      <c r="K38" s="236"/>
      <c r="L38" s="237">
        <f t="shared" si="4"/>
        <v>0</v>
      </c>
    </row>
    <row r="39" spans="2:12" ht="22.5">
      <c r="C39" s="231" t="s">
        <v>307</v>
      </c>
      <c r="D39" s="232">
        <v>19</v>
      </c>
      <c r="E39" s="233" t="s">
        <v>60</v>
      </c>
      <c r="F39" s="234">
        <v>30000</v>
      </c>
      <c r="G39" s="234"/>
      <c r="H39" s="234"/>
      <c r="I39" s="235">
        <f t="shared" si="5"/>
        <v>30000</v>
      </c>
      <c r="J39" s="236"/>
      <c r="K39" s="236"/>
      <c r="L39" s="237">
        <f t="shared" si="4"/>
        <v>30000</v>
      </c>
    </row>
    <row r="40" spans="2:12" ht="22.5">
      <c r="C40" s="231" t="s">
        <v>308</v>
      </c>
      <c r="D40" s="232">
        <v>20</v>
      </c>
      <c r="E40" s="233" t="s">
        <v>198</v>
      </c>
      <c r="F40" s="234">
        <v>0</v>
      </c>
      <c r="G40" s="234"/>
      <c r="H40" s="234"/>
      <c r="I40" s="235">
        <f t="shared" si="5"/>
        <v>0</v>
      </c>
      <c r="J40" s="236"/>
      <c r="K40" s="236"/>
      <c r="L40" s="237">
        <f t="shared" si="4"/>
        <v>0</v>
      </c>
    </row>
    <row r="41" spans="2:12" ht="23.25" thickBot="1">
      <c r="C41" s="231" t="s">
        <v>309</v>
      </c>
      <c r="D41" s="238">
        <v>21</v>
      </c>
      <c r="E41" s="239" t="s">
        <v>78</v>
      </c>
      <c r="F41" s="240">
        <v>46234</v>
      </c>
      <c r="G41" s="240"/>
      <c r="H41" s="240"/>
      <c r="I41" s="235">
        <f t="shared" si="5"/>
        <v>46234</v>
      </c>
      <c r="J41" s="241"/>
      <c r="K41" s="241"/>
      <c r="L41" s="237">
        <f t="shared" si="4"/>
        <v>46234</v>
      </c>
    </row>
    <row r="42" spans="2:12" ht="47.25" customHeight="1" thickBot="1">
      <c r="C42" s="211"/>
      <c r="D42" s="1111" t="s">
        <v>310</v>
      </c>
      <c r="E42" s="1112"/>
      <c r="F42" s="242">
        <f t="shared" ref="F42:L42" si="6">SUM(F34:F41)</f>
        <v>138134</v>
      </c>
      <c r="G42" s="242">
        <f t="shared" si="6"/>
        <v>0</v>
      </c>
      <c r="H42" s="242">
        <f t="shared" si="6"/>
        <v>0</v>
      </c>
      <c r="I42" s="242">
        <f t="shared" si="6"/>
        <v>138134</v>
      </c>
      <c r="J42" s="242">
        <f t="shared" si="6"/>
        <v>0</v>
      </c>
      <c r="K42" s="242">
        <f t="shared" si="6"/>
        <v>0</v>
      </c>
      <c r="L42" s="243">
        <f t="shared" si="6"/>
        <v>138134</v>
      </c>
    </row>
    <row r="43" spans="2:12" ht="45.75" customHeight="1">
      <c r="D43" s="1104" t="s">
        <v>72</v>
      </c>
      <c r="E43" s="1105"/>
      <c r="F43" s="1105"/>
      <c r="G43" s="1105"/>
      <c r="H43" s="1105"/>
      <c r="I43" s="1105"/>
      <c r="J43" s="1105"/>
      <c r="K43" s="1105"/>
      <c r="L43" s="1106"/>
    </row>
    <row r="44" spans="2:12" ht="22.5" customHeight="1">
      <c r="B44" s="230">
        <f>'[1] П_Р_О_В_Е_Р_К_А '!G57</f>
        <v>103840</v>
      </c>
      <c r="C44" s="231" t="s">
        <v>311</v>
      </c>
      <c r="D44" s="245">
        <f>D41+1</f>
        <v>22</v>
      </c>
      <c r="E44" s="246" t="s">
        <v>141</v>
      </c>
      <c r="F44" s="234"/>
      <c r="G44" s="234"/>
      <c r="H44" s="234"/>
      <c r="I44" s="235">
        <f>F44+G44-H44</f>
        <v>0</v>
      </c>
      <c r="J44" s="236"/>
      <c r="K44" s="236"/>
      <c r="L44" s="237">
        <f t="shared" ref="L44:L68" si="7">I44+K44</f>
        <v>0</v>
      </c>
    </row>
    <row r="45" spans="2:12" ht="22.5">
      <c r="B45" s="230">
        <f>'[1] П_Р_О_В_Е_Р_К_А '!G65</f>
        <v>0</v>
      </c>
      <c r="C45" s="231" t="s">
        <v>312</v>
      </c>
      <c r="D45" s="245">
        <f t="shared" ref="D45:D68" si="8">D44+1</f>
        <v>23</v>
      </c>
      <c r="E45" s="246" t="s">
        <v>31</v>
      </c>
      <c r="F45" s="234"/>
      <c r="G45" s="234"/>
      <c r="H45" s="234"/>
      <c r="I45" s="235">
        <f t="shared" ref="I45:I68" si="9">F45+G45-H45</f>
        <v>0</v>
      </c>
      <c r="J45" s="236"/>
      <c r="K45" s="236"/>
      <c r="L45" s="237">
        <f t="shared" si="7"/>
        <v>0</v>
      </c>
    </row>
    <row r="46" spans="2:12" ht="22.5">
      <c r="B46" s="230">
        <f>'[1] П_Р_О_В_Е_Р_К_А '!G73</f>
        <v>0</v>
      </c>
      <c r="C46" s="231" t="s">
        <v>313</v>
      </c>
      <c r="D46" s="245">
        <f t="shared" si="8"/>
        <v>24</v>
      </c>
      <c r="E46" s="247" t="s">
        <v>36</v>
      </c>
      <c r="F46" s="234"/>
      <c r="G46" s="234"/>
      <c r="H46" s="234"/>
      <c r="I46" s="235">
        <f t="shared" si="9"/>
        <v>0</v>
      </c>
      <c r="J46" s="236"/>
      <c r="K46" s="236"/>
      <c r="L46" s="237">
        <f t="shared" si="7"/>
        <v>0</v>
      </c>
    </row>
    <row r="47" spans="2:12" ht="22.5">
      <c r="B47" s="230">
        <f>'[1] П_Р_О_В_Е_Р_К_А '!G81</f>
        <v>0</v>
      </c>
      <c r="C47" s="231" t="s">
        <v>314</v>
      </c>
      <c r="D47" s="245">
        <f t="shared" si="8"/>
        <v>25</v>
      </c>
      <c r="E47" s="247" t="s">
        <v>44</v>
      </c>
      <c r="F47" s="234"/>
      <c r="G47" s="234"/>
      <c r="H47" s="234"/>
      <c r="I47" s="235">
        <f t="shared" si="9"/>
        <v>0</v>
      </c>
      <c r="J47" s="236"/>
      <c r="K47" s="236"/>
      <c r="L47" s="237">
        <f t="shared" si="7"/>
        <v>0</v>
      </c>
    </row>
    <row r="48" spans="2:12" ht="23.25" customHeight="1">
      <c r="B48" s="230">
        <f>'[1] П_Р_О_В_Е_Р_К_А '!G89</f>
        <v>0</v>
      </c>
      <c r="C48" s="231" t="s">
        <v>315</v>
      </c>
      <c r="D48" s="245">
        <f t="shared" si="8"/>
        <v>26</v>
      </c>
      <c r="E48" s="247" t="s">
        <v>28</v>
      </c>
      <c r="F48" s="234"/>
      <c r="G48" s="234"/>
      <c r="H48" s="234"/>
      <c r="I48" s="235">
        <f t="shared" si="9"/>
        <v>0</v>
      </c>
      <c r="J48" s="236"/>
      <c r="K48" s="236"/>
      <c r="L48" s="237">
        <f t="shared" si="7"/>
        <v>0</v>
      </c>
    </row>
    <row r="49" spans="3:12" ht="21" customHeight="1">
      <c r="C49" s="231" t="s">
        <v>316</v>
      </c>
      <c r="D49" s="245">
        <f t="shared" si="8"/>
        <v>27</v>
      </c>
      <c r="E49" s="247" t="s">
        <v>48</v>
      </c>
      <c r="F49" s="234"/>
      <c r="G49" s="234"/>
      <c r="H49" s="234"/>
      <c r="I49" s="235">
        <f t="shared" si="9"/>
        <v>0</v>
      </c>
      <c r="J49" s="236"/>
      <c r="K49" s="236"/>
      <c r="L49" s="237">
        <f t="shared" si="7"/>
        <v>0</v>
      </c>
    </row>
    <row r="50" spans="3:12" ht="22.5">
      <c r="C50" s="231" t="s">
        <v>317</v>
      </c>
      <c r="D50" s="245">
        <f t="shared" si="8"/>
        <v>28</v>
      </c>
      <c r="E50" s="247" t="s">
        <v>142</v>
      </c>
      <c r="F50" s="234">
        <v>34388</v>
      </c>
      <c r="G50" s="234"/>
      <c r="H50" s="234"/>
      <c r="I50" s="235">
        <f t="shared" si="9"/>
        <v>34388</v>
      </c>
      <c r="J50" s="236"/>
      <c r="K50" s="236"/>
      <c r="L50" s="237">
        <f t="shared" si="7"/>
        <v>34388</v>
      </c>
    </row>
    <row r="51" spans="3:12" ht="22.5">
      <c r="C51" s="231" t="s">
        <v>318</v>
      </c>
      <c r="D51" s="245">
        <f t="shared" si="8"/>
        <v>29</v>
      </c>
      <c r="E51" s="247" t="s">
        <v>143</v>
      </c>
      <c r="F51" s="234">
        <v>0</v>
      </c>
      <c r="G51" s="234"/>
      <c r="H51" s="234"/>
      <c r="I51" s="235">
        <f t="shared" si="9"/>
        <v>0</v>
      </c>
      <c r="J51" s="236"/>
      <c r="K51" s="236"/>
      <c r="L51" s="237">
        <f t="shared" si="7"/>
        <v>0</v>
      </c>
    </row>
    <row r="52" spans="3:12" ht="22.5">
      <c r="C52" s="231" t="s">
        <v>319</v>
      </c>
      <c r="D52" s="245">
        <f t="shared" si="8"/>
        <v>30</v>
      </c>
      <c r="E52" s="247" t="s">
        <v>4</v>
      </c>
      <c r="F52" s="234">
        <v>0</v>
      </c>
      <c r="G52" s="234"/>
      <c r="H52" s="234"/>
      <c r="I52" s="235">
        <f t="shared" si="9"/>
        <v>0</v>
      </c>
      <c r="J52" s="236"/>
      <c r="K52" s="236"/>
      <c r="L52" s="237">
        <f t="shared" si="7"/>
        <v>0</v>
      </c>
    </row>
    <row r="53" spans="3:12" ht="22.5">
      <c r="C53" s="231" t="s">
        <v>320</v>
      </c>
      <c r="D53" s="245">
        <f t="shared" si="8"/>
        <v>31</v>
      </c>
      <c r="E53" s="247" t="s">
        <v>29</v>
      </c>
      <c r="F53" s="234">
        <v>0</v>
      </c>
      <c r="G53" s="234"/>
      <c r="H53" s="234"/>
      <c r="I53" s="235">
        <f t="shared" si="9"/>
        <v>0</v>
      </c>
      <c r="J53" s="236"/>
      <c r="K53" s="236"/>
      <c r="L53" s="237">
        <f t="shared" si="7"/>
        <v>0</v>
      </c>
    </row>
    <row r="54" spans="3:12" ht="22.5">
      <c r="C54" s="231" t="s">
        <v>321</v>
      </c>
      <c r="D54" s="245">
        <f t="shared" si="8"/>
        <v>32</v>
      </c>
      <c r="E54" s="247" t="s">
        <v>30</v>
      </c>
      <c r="F54" s="234">
        <v>1705</v>
      </c>
      <c r="G54" s="234"/>
      <c r="H54" s="234"/>
      <c r="I54" s="235">
        <f t="shared" si="9"/>
        <v>1705</v>
      </c>
      <c r="J54" s="236"/>
      <c r="K54" s="236"/>
      <c r="L54" s="237">
        <f t="shared" si="7"/>
        <v>1705</v>
      </c>
    </row>
    <row r="55" spans="3:12" ht="22.5">
      <c r="C55" s="231" t="s">
        <v>322</v>
      </c>
      <c r="D55" s="245">
        <f t="shared" si="8"/>
        <v>33</v>
      </c>
      <c r="E55" s="247" t="s">
        <v>32</v>
      </c>
      <c r="F55" s="234">
        <v>45000</v>
      </c>
      <c r="G55" s="234"/>
      <c r="H55" s="234"/>
      <c r="I55" s="235">
        <f t="shared" si="9"/>
        <v>45000</v>
      </c>
      <c r="J55" s="236"/>
      <c r="K55" s="236"/>
      <c r="L55" s="237">
        <f t="shared" si="7"/>
        <v>45000</v>
      </c>
    </row>
    <row r="56" spans="3:12" ht="22.5">
      <c r="C56" s="231" t="s">
        <v>323</v>
      </c>
      <c r="D56" s="245">
        <f t="shared" si="8"/>
        <v>34</v>
      </c>
      <c r="E56" s="247" t="s">
        <v>33</v>
      </c>
      <c r="F56" s="234">
        <v>0</v>
      </c>
      <c r="G56" s="234"/>
      <c r="H56" s="234"/>
      <c r="I56" s="235">
        <f t="shared" si="9"/>
        <v>0</v>
      </c>
      <c r="J56" s="236"/>
      <c r="K56" s="236"/>
      <c r="L56" s="237">
        <f t="shared" si="7"/>
        <v>0</v>
      </c>
    </row>
    <row r="57" spans="3:12" ht="22.5">
      <c r="C57" s="231" t="s">
        <v>324</v>
      </c>
      <c r="D57" s="245">
        <f t="shared" si="8"/>
        <v>35</v>
      </c>
      <c r="E57" s="247" t="s">
        <v>34</v>
      </c>
      <c r="F57" s="234">
        <v>0</v>
      </c>
      <c r="G57" s="234"/>
      <c r="H57" s="234"/>
      <c r="I57" s="235">
        <f t="shared" si="9"/>
        <v>0</v>
      </c>
      <c r="J57" s="236"/>
      <c r="K57" s="236"/>
      <c r="L57" s="237">
        <f t="shared" si="7"/>
        <v>0</v>
      </c>
    </row>
    <row r="58" spans="3:12" ht="22.5">
      <c r="C58" s="231" t="s">
        <v>325</v>
      </c>
      <c r="D58" s="245">
        <f t="shared" si="8"/>
        <v>36</v>
      </c>
      <c r="E58" s="247" t="s">
        <v>110</v>
      </c>
      <c r="F58" s="234">
        <v>0</v>
      </c>
      <c r="G58" s="234"/>
      <c r="H58" s="234"/>
      <c r="I58" s="235">
        <f t="shared" si="9"/>
        <v>0</v>
      </c>
      <c r="J58" s="236"/>
      <c r="K58" s="236"/>
      <c r="L58" s="237">
        <f t="shared" si="7"/>
        <v>0</v>
      </c>
    </row>
    <row r="59" spans="3:12" ht="22.5">
      <c r="C59" s="231" t="s">
        <v>326</v>
      </c>
      <c r="D59" s="245">
        <f t="shared" si="8"/>
        <v>37</v>
      </c>
      <c r="E59" s="247" t="s">
        <v>35</v>
      </c>
      <c r="F59" s="234">
        <v>0</v>
      </c>
      <c r="G59" s="234"/>
      <c r="H59" s="234"/>
      <c r="I59" s="235">
        <f t="shared" si="9"/>
        <v>0</v>
      </c>
      <c r="J59" s="236"/>
      <c r="K59" s="236"/>
      <c r="L59" s="237">
        <f t="shared" si="7"/>
        <v>0</v>
      </c>
    </row>
    <row r="60" spans="3:12" ht="22.5">
      <c r="C60" s="231" t="s">
        <v>327</v>
      </c>
      <c r="D60" s="245">
        <f t="shared" si="8"/>
        <v>38</v>
      </c>
      <c r="E60" s="247" t="s">
        <v>144</v>
      </c>
      <c r="F60" s="234">
        <v>0</v>
      </c>
      <c r="G60" s="234"/>
      <c r="H60" s="234"/>
      <c r="I60" s="235">
        <f t="shared" si="9"/>
        <v>0</v>
      </c>
      <c r="J60" s="236"/>
      <c r="K60" s="236"/>
      <c r="L60" s="237">
        <f t="shared" si="7"/>
        <v>0</v>
      </c>
    </row>
    <row r="61" spans="3:12" ht="22.5">
      <c r="C61" s="231" t="s">
        <v>328</v>
      </c>
      <c r="D61" s="245">
        <f t="shared" si="8"/>
        <v>39</v>
      </c>
      <c r="E61" s="247" t="s">
        <v>38</v>
      </c>
      <c r="F61" s="234">
        <v>0</v>
      </c>
      <c r="G61" s="234"/>
      <c r="H61" s="234"/>
      <c r="I61" s="235">
        <f t="shared" si="9"/>
        <v>0</v>
      </c>
      <c r="J61" s="236"/>
      <c r="K61" s="236"/>
      <c r="L61" s="237">
        <f t="shared" si="7"/>
        <v>0</v>
      </c>
    </row>
    <row r="62" spans="3:12" ht="22.5">
      <c r="C62" s="231" t="s">
        <v>329</v>
      </c>
      <c r="D62" s="245">
        <f t="shared" si="8"/>
        <v>40</v>
      </c>
      <c r="E62" s="247" t="s">
        <v>39</v>
      </c>
      <c r="F62" s="234">
        <v>0</v>
      </c>
      <c r="G62" s="234"/>
      <c r="H62" s="234"/>
      <c r="I62" s="235">
        <f t="shared" si="9"/>
        <v>0</v>
      </c>
      <c r="J62" s="236"/>
      <c r="K62" s="236"/>
      <c r="L62" s="237">
        <f t="shared" si="7"/>
        <v>0</v>
      </c>
    </row>
    <row r="63" spans="3:12" ht="22.5">
      <c r="C63" s="231" t="s">
        <v>330</v>
      </c>
      <c r="D63" s="245">
        <f t="shared" si="8"/>
        <v>41</v>
      </c>
      <c r="E63" s="247" t="s">
        <v>40</v>
      </c>
      <c r="F63" s="234">
        <v>0</v>
      </c>
      <c r="G63" s="234"/>
      <c r="H63" s="234"/>
      <c r="I63" s="235">
        <f t="shared" si="9"/>
        <v>0</v>
      </c>
      <c r="J63" s="236"/>
      <c r="K63" s="236"/>
      <c r="L63" s="237">
        <f t="shared" si="7"/>
        <v>0</v>
      </c>
    </row>
    <row r="64" spans="3:12" ht="22.5">
      <c r="C64" s="231" t="s">
        <v>331</v>
      </c>
      <c r="D64" s="245">
        <f t="shared" si="8"/>
        <v>42</v>
      </c>
      <c r="E64" s="247" t="s">
        <v>42</v>
      </c>
      <c r="F64" s="234">
        <v>0</v>
      </c>
      <c r="G64" s="234"/>
      <c r="H64" s="234"/>
      <c r="I64" s="235">
        <f t="shared" si="9"/>
        <v>0</v>
      </c>
      <c r="J64" s="236"/>
      <c r="K64" s="236"/>
      <c r="L64" s="237">
        <f t="shared" si="7"/>
        <v>0</v>
      </c>
    </row>
    <row r="65" spans="2:12" ht="22.5">
      <c r="C65" s="231" t="s">
        <v>332</v>
      </c>
      <c r="D65" s="245">
        <f t="shared" si="8"/>
        <v>43</v>
      </c>
      <c r="E65" s="247" t="s">
        <v>43</v>
      </c>
      <c r="F65" s="234">
        <v>0</v>
      </c>
      <c r="G65" s="234"/>
      <c r="H65" s="234"/>
      <c r="I65" s="235">
        <f t="shared" si="9"/>
        <v>0</v>
      </c>
      <c r="J65" s="236"/>
      <c r="K65" s="236"/>
      <c r="L65" s="237">
        <f t="shared" si="7"/>
        <v>0</v>
      </c>
    </row>
    <row r="66" spans="2:12" ht="22.5">
      <c r="C66" s="231" t="s">
        <v>333</v>
      </c>
      <c r="D66" s="245">
        <f t="shared" si="8"/>
        <v>44</v>
      </c>
      <c r="E66" s="247" t="s">
        <v>45</v>
      </c>
      <c r="F66" s="234">
        <v>22747</v>
      </c>
      <c r="G66" s="234"/>
      <c r="H66" s="234"/>
      <c r="I66" s="235">
        <f t="shared" si="9"/>
        <v>22747</v>
      </c>
      <c r="J66" s="236"/>
      <c r="K66" s="236"/>
      <c r="L66" s="237">
        <f t="shared" si="7"/>
        <v>22747</v>
      </c>
    </row>
    <row r="67" spans="2:12" ht="22.5">
      <c r="C67" s="231" t="s">
        <v>334</v>
      </c>
      <c r="D67" s="245">
        <f t="shared" si="8"/>
        <v>45</v>
      </c>
      <c r="E67" s="247" t="s">
        <v>46</v>
      </c>
      <c r="F67" s="234">
        <v>0</v>
      </c>
      <c r="G67" s="234"/>
      <c r="H67" s="234"/>
      <c r="I67" s="235">
        <f t="shared" si="9"/>
        <v>0</v>
      </c>
      <c r="J67" s="236"/>
      <c r="K67" s="236"/>
      <c r="L67" s="237">
        <f t="shared" si="7"/>
        <v>0</v>
      </c>
    </row>
    <row r="68" spans="2:12" ht="23.25" thickBot="1">
      <c r="C68" s="231" t="s">
        <v>335</v>
      </c>
      <c r="D68" s="248">
        <f t="shared" si="8"/>
        <v>46</v>
      </c>
      <c r="E68" s="249" t="s">
        <v>47</v>
      </c>
      <c r="F68" s="240">
        <v>0</v>
      </c>
      <c r="G68" s="240"/>
      <c r="H68" s="240"/>
      <c r="I68" s="235">
        <f t="shared" si="9"/>
        <v>0</v>
      </c>
      <c r="J68" s="241"/>
      <c r="K68" s="241"/>
      <c r="L68" s="237">
        <f t="shared" si="7"/>
        <v>0</v>
      </c>
    </row>
    <row r="69" spans="2:12" s="212" customFormat="1" ht="39.75" customHeight="1" thickBot="1">
      <c r="D69" s="1107" t="s">
        <v>336</v>
      </c>
      <c r="E69" s="1108"/>
      <c r="F69" s="242">
        <f t="shared" ref="F69:L69" si="10">SUM(F44:F68)</f>
        <v>103840</v>
      </c>
      <c r="G69" s="242">
        <f t="shared" si="10"/>
        <v>0</v>
      </c>
      <c r="H69" s="242">
        <f t="shared" si="10"/>
        <v>0</v>
      </c>
      <c r="I69" s="242">
        <f t="shared" si="10"/>
        <v>103840</v>
      </c>
      <c r="J69" s="242">
        <f t="shared" si="10"/>
        <v>0</v>
      </c>
      <c r="K69" s="242">
        <f t="shared" si="10"/>
        <v>0</v>
      </c>
      <c r="L69" s="243">
        <f t="shared" si="10"/>
        <v>103840</v>
      </c>
    </row>
    <row r="70" spans="2:12" ht="39.950000000000003" customHeight="1">
      <c r="D70" s="1104" t="s">
        <v>74</v>
      </c>
      <c r="E70" s="1105"/>
      <c r="F70" s="1105"/>
      <c r="G70" s="1105"/>
      <c r="H70" s="1105"/>
      <c r="I70" s="1105"/>
      <c r="J70" s="1105"/>
      <c r="K70" s="1105"/>
      <c r="L70" s="1106"/>
    </row>
    <row r="71" spans="2:12" ht="22.5">
      <c r="B71" s="230">
        <f>'[1] П_Р_О_В_Е_Р_К_А '!G58</f>
        <v>60437</v>
      </c>
      <c r="C71" s="231" t="s">
        <v>337</v>
      </c>
      <c r="D71" s="245">
        <f>D68+1</f>
        <v>47</v>
      </c>
      <c r="E71" s="250" t="s">
        <v>5</v>
      </c>
      <c r="F71" s="234"/>
      <c r="G71" s="251"/>
      <c r="H71" s="251"/>
      <c r="I71" s="235">
        <f t="shared" ref="I71:I88" si="11">F71+G71-H71</f>
        <v>0</v>
      </c>
      <c r="J71" s="252"/>
      <c r="K71" s="252"/>
      <c r="L71" s="237">
        <f t="shared" ref="L71:L88" si="12">I71+K71</f>
        <v>0</v>
      </c>
    </row>
    <row r="72" spans="2:12" ht="22.5">
      <c r="B72" s="230">
        <f>'[1] П_Р_О_В_Е_Р_К_А '!G66</f>
        <v>0</v>
      </c>
      <c r="C72" s="231" t="s">
        <v>338</v>
      </c>
      <c r="D72" s="245">
        <f t="shared" ref="D72:D88" si="13">D71+1</f>
        <v>48</v>
      </c>
      <c r="E72" s="250" t="s">
        <v>111</v>
      </c>
      <c r="F72" s="234"/>
      <c r="G72" s="253"/>
      <c r="H72" s="253"/>
      <c r="I72" s="235">
        <f t="shared" si="11"/>
        <v>0</v>
      </c>
      <c r="J72" s="252"/>
      <c r="K72" s="252"/>
      <c r="L72" s="237">
        <f t="shared" si="12"/>
        <v>0</v>
      </c>
    </row>
    <row r="73" spans="2:12" ht="22.5">
      <c r="B73" s="230">
        <f>'[1] П_Р_О_В_Е_Р_К_А '!G74</f>
        <v>0</v>
      </c>
      <c r="C73" s="231" t="s">
        <v>339</v>
      </c>
      <c r="D73" s="245">
        <f t="shared" si="13"/>
        <v>49</v>
      </c>
      <c r="E73" s="250" t="s">
        <v>112</v>
      </c>
      <c r="F73" s="234"/>
      <c r="G73" s="253"/>
      <c r="H73" s="253"/>
      <c r="I73" s="235">
        <f t="shared" si="11"/>
        <v>0</v>
      </c>
      <c r="J73" s="252"/>
      <c r="K73" s="252"/>
      <c r="L73" s="237">
        <f t="shared" si="12"/>
        <v>0</v>
      </c>
    </row>
    <row r="74" spans="2:12" ht="22.5">
      <c r="B74" s="230">
        <f>'[1] П_Р_О_В_Е_Р_К_А '!G82</f>
        <v>27202</v>
      </c>
      <c r="C74" s="231" t="s">
        <v>340</v>
      </c>
      <c r="D74" s="245">
        <f t="shared" si="13"/>
        <v>50</v>
      </c>
      <c r="E74" s="254" t="s">
        <v>242</v>
      </c>
      <c r="F74" s="234"/>
      <c r="G74" s="253"/>
      <c r="H74" s="253"/>
      <c r="I74" s="235">
        <f t="shared" si="11"/>
        <v>0</v>
      </c>
      <c r="J74" s="252"/>
      <c r="K74" s="252"/>
      <c r="L74" s="237">
        <f t="shared" si="12"/>
        <v>0</v>
      </c>
    </row>
    <row r="75" spans="2:12" ht="23.25" customHeight="1">
      <c r="B75" s="230">
        <f>'[1] П_Р_О_В_Е_Р_К_А '!G90</f>
        <v>0</v>
      </c>
      <c r="C75" s="231" t="s">
        <v>341</v>
      </c>
      <c r="D75" s="245">
        <f t="shared" si="13"/>
        <v>51</v>
      </c>
      <c r="E75" s="254" t="s">
        <v>129</v>
      </c>
      <c r="F75" s="234"/>
      <c r="G75" s="253"/>
      <c r="H75" s="253"/>
      <c r="I75" s="235">
        <f t="shared" si="11"/>
        <v>0</v>
      </c>
      <c r="J75" s="252"/>
      <c r="K75" s="252"/>
      <c r="L75" s="237">
        <f t="shared" si="12"/>
        <v>0</v>
      </c>
    </row>
    <row r="76" spans="2:12" ht="21" customHeight="1">
      <c r="C76" s="231" t="s">
        <v>342</v>
      </c>
      <c r="D76" s="245">
        <f t="shared" si="13"/>
        <v>52</v>
      </c>
      <c r="E76" s="254" t="s">
        <v>145</v>
      </c>
      <c r="F76" s="234"/>
      <c r="G76" s="253"/>
      <c r="H76" s="253"/>
      <c r="I76" s="235">
        <f t="shared" si="11"/>
        <v>0</v>
      </c>
      <c r="J76" s="252"/>
      <c r="K76" s="252"/>
      <c r="L76" s="237">
        <f t="shared" si="12"/>
        <v>0</v>
      </c>
    </row>
    <row r="77" spans="2:12" ht="22.5">
      <c r="C77" s="231" t="s">
        <v>343</v>
      </c>
      <c r="D77" s="245">
        <f t="shared" si="13"/>
        <v>53</v>
      </c>
      <c r="E77" s="254" t="s">
        <v>146</v>
      </c>
      <c r="F77" s="234"/>
      <c r="G77" s="253"/>
      <c r="H77" s="253"/>
      <c r="I77" s="235">
        <f t="shared" si="11"/>
        <v>0</v>
      </c>
      <c r="J77" s="252"/>
      <c r="K77" s="252"/>
      <c r="L77" s="237">
        <f t="shared" si="12"/>
        <v>0</v>
      </c>
    </row>
    <row r="78" spans="2:12" ht="22.5">
      <c r="C78" s="231" t="s">
        <v>344</v>
      </c>
      <c r="D78" s="245">
        <f t="shared" si="13"/>
        <v>54</v>
      </c>
      <c r="E78" s="254" t="s">
        <v>147</v>
      </c>
      <c r="F78" s="234"/>
      <c r="G78" s="251"/>
      <c r="H78" s="251"/>
      <c r="I78" s="235">
        <f t="shared" si="11"/>
        <v>0</v>
      </c>
      <c r="J78" s="252"/>
      <c r="K78" s="252"/>
      <c r="L78" s="237">
        <f t="shared" si="12"/>
        <v>0</v>
      </c>
    </row>
    <row r="79" spans="2:12" ht="22.5">
      <c r="C79" s="231" t="s">
        <v>345</v>
      </c>
      <c r="D79" s="245">
        <f t="shared" si="13"/>
        <v>55</v>
      </c>
      <c r="E79" s="250" t="s">
        <v>17</v>
      </c>
      <c r="F79" s="234"/>
      <c r="G79" s="251"/>
      <c r="H79" s="251"/>
      <c r="I79" s="235">
        <f t="shared" si="11"/>
        <v>0</v>
      </c>
      <c r="J79" s="252"/>
      <c r="K79" s="252"/>
      <c r="L79" s="237">
        <f t="shared" si="12"/>
        <v>0</v>
      </c>
    </row>
    <row r="80" spans="2:12" ht="22.5">
      <c r="C80" s="231" t="s">
        <v>346</v>
      </c>
      <c r="D80" s="245">
        <f t="shared" si="13"/>
        <v>56</v>
      </c>
      <c r="E80" s="250" t="s">
        <v>18</v>
      </c>
      <c r="F80" s="234"/>
      <c r="G80" s="253"/>
      <c r="H80" s="253"/>
      <c r="I80" s="235">
        <f t="shared" si="11"/>
        <v>0</v>
      </c>
      <c r="J80" s="252"/>
      <c r="K80" s="252"/>
      <c r="L80" s="237">
        <f t="shared" si="12"/>
        <v>0</v>
      </c>
    </row>
    <row r="81" spans="2:12" ht="22.5">
      <c r="C81" s="231" t="s">
        <v>347</v>
      </c>
      <c r="D81" s="245">
        <f t="shared" si="13"/>
        <v>57</v>
      </c>
      <c r="E81" s="250" t="s">
        <v>19</v>
      </c>
      <c r="F81" s="234"/>
      <c r="G81" s="253"/>
      <c r="H81" s="253"/>
      <c r="I81" s="235">
        <f t="shared" si="11"/>
        <v>0</v>
      </c>
      <c r="J81" s="252"/>
      <c r="K81" s="252"/>
      <c r="L81" s="237">
        <f t="shared" si="12"/>
        <v>0</v>
      </c>
    </row>
    <row r="82" spans="2:12" ht="22.5">
      <c r="C82" s="231" t="s">
        <v>348</v>
      </c>
      <c r="D82" s="245">
        <f t="shared" si="13"/>
        <v>58</v>
      </c>
      <c r="E82" s="250" t="s">
        <v>20</v>
      </c>
      <c r="F82" s="234">
        <v>60437</v>
      </c>
      <c r="G82" s="253"/>
      <c r="H82" s="253">
        <f>27202</f>
        <v>27202</v>
      </c>
      <c r="I82" s="235">
        <f t="shared" si="11"/>
        <v>33235</v>
      </c>
      <c r="J82" s="252"/>
      <c r="K82" s="252"/>
      <c r="L82" s="237">
        <f t="shared" si="12"/>
        <v>33235</v>
      </c>
    </row>
    <row r="83" spans="2:12" ht="22.5">
      <c r="C83" s="231" t="s">
        <v>349</v>
      </c>
      <c r="D83" s="245">
        <f t="shared" si="13"/>
        <v>59</v>
      </c>
      <c r="E83" s="250" t="s">
        <v>9</v>
      </c>
      <c r="F83" s="234"/>
      <c r="G83" s="253"/>
      <c r="H83" s="253"/>
      <c r="I83" s="235">
        <f t="shared" si="11"/>
        <v>0</v>
      </c>
      <c r="J83" s="252"/>
      <c r="K83" s="252"/>
      <c r="L83" s="237">
        <f t="shared" si="12"/>
        <v>0</v>
      </c>
    </row>
    <row r="84" spans="2:12" ht="22.5">
      <c r="C84" s="231" t="s">
        <v>350</v>
      </c>
      <c r="D84" s="245">
        <f t="shared" si="13"/>
        <v>60</v>
      </c>
      <c r="E84" s="250" t="s">
        <v>115</v>
      </c>
      <c r="F84" s="234"/>
      <c r="G84" s="253"/>
      <c r="H84" s="253"/>
      <c r="I84" s="235">
        <f t="shared" si="11"/>
        <v>0</v>
      </c>
      <c r="J84" s="252"/>
      <c r="K84" s="252"/>
      <c r="L84" s="237">
        <f t="shared" si="12"/>
        <v>0</v>
      </c>
    </row>
    <row r="85" spans="2:12" ht="22.5">
      <c r="C85" s="231" t="s">
        <v>351</v>
      </c>
      <c r="D85" s="245">
        <f t="shared" si="13"/>
        <v>61</v>
      </c>
      <c r="E85" s="250" t="s">
        <v>11</v>
      </c>
      <c r="F85" s="234"/>
      <c r="G85" s="253"/>
      <c r="H85" s="253"/>
      <c r="I85" s="235">
        <f t="shared" si="11"/>
        <v>0</v>
      </c>
      <c r="J85" s="252"/>
      <c r="K85" s="252"/>
      <c r="L85" s="237">
        <f t="shared" si="12"/>
        <v>0</v>
      </c>
    </row>
    <row r="86" spans="2:12" ht="22.5">
      <c r="C86" s="231" t="s">
        <v>352</v>
      </c>
      <c r="D86" s="245">
        <f t="shared" si="13"/>
        <v>62</v>
      </c>
      <c r="E86" s="250" t="s">
        <v>13</v>
      </c>
      <c r="F86" s="234"/>
      <c r="G86" s="253"/>
      <c r="H86" s="253"/>
      <c r="I86" s="235">
        <f t="shared" si="11"/>
        <v>0</v>
      </c>
      <c r="J86" s="252"/>
      <c r="K86" s="252"/>
      <c r="L86" s="237">
        <f t="shared" si="12"/>
        <v>0</v>
      </c>
    </row>
    <row r="87" spans="2:12" ht="22.5">
      <c r="C87" s="231" t="s">
        <v>353</v>
      </c>
      <c r="D87" s="245">
        <f t="shared" si="13"/>
        <v>63</v>
      </c>
      <c r="E87" s="250" t="s">
        <v>14</v>
      </c>
      <c r="F87" s="234"/>
      <c r="G87" s="253"/>
      <c r="H87" s="253"/>
      <c r="I87" s="235">
        <f t="shared" si="11"/>
        <v>0</v>
      </c>
      <c r="J87" s="252"/>
      <c r="K87" s="252"/>
      <c r="L87" s="237">
        <f t="shared" si="12"/>
        <v>0</v>
      </c>
    </row>
    <row r="88" spans="2:12" ht="23.25" thickBot="1">
      <c r="C88" s="231" t="s">
        <v>354</v>
      </c>
      <c r="D88" s="248">
        <f t="shared" si="13"/>
        <v>64</v>
      </c>
      <c r="E88" s="254" t="s">
        <v>15</v>
      </c>
      <c r="F88" s="240"/>
      <c r="G88" s="255"/>
      <c r="H88" s="255"/>
      <c r="I88" s="235">
        <f t="shared" si="11"/>
        <v>0</v>
      </c>
      <c r="J88" s="256"/>
      <c r="K88" s="256"/>
      <c r="L88" s="237">
        <f t="shared" si="12"/>
        <v>0</v>
      </c>
    </row>
    <row r="89" spans="2:12" ht="44.25" customHeight="1" thickBot="1">
      <c r="D89" s="1107" t="s">
        <v>116</v>
      </c>
      <c r="E89" s="1108"/>
      <c r="F89" s="242">
        <f t="shared" ref="F89:L89" si="14">SUM(F71:F88)</f>
        <v>60437</v>
      </c>
      <c r="G89" s="242">
        <f t="shared" si="14"/>
        <v>0</v>
      </c>
      <c r="H89" s="242">
        <f t="shared" si="14"/>
        <v>27202</v>
      </c>
      <c r="I89" s="242">
        <f t="shared" si="14"/>
        <v>33235</v>
      </c>
      <c r="J89" s="242">
        <f t="shared" si="14"/>
        <v>0</v>
      </c>
      <c r="K89" s="242">
        <f t="shared" si="14"/>
        <v>0</v>
      </c>
      <c r="L89" s="243">
        <f t="shared" si="14"/>
        <v>33235</v>
      </c>
    </row>
    <row r="90" spans="2:12" ht="35.25" customHeight="1">
      <c r="B90" s="230">
        <f>'[1] П_Р_О_В_Е_Р_К_А '!G60</f>
        <v>177249</v>
      </c>
      <c r="D90" s="1104" t="s">
        <v>7</v>
      </c>
      <c r="E90" s="1105"/>
      <c r="F90" s="1105"/>
      <c r="G90" s="1105"/>
      <c r="H90" s="1105"/>
      <c r="I90" s="1105"/>
      <c r="J90" s="1105"/>
      <c r="K90" s="1105"/>
      <c r="L90" s="1106"/>
    </row>
    <row r="91" spans="2:12" ht="22.5">
      <c r="B91" s="230">
        <f>'[1] П_Р_О_В_Е_Р_К_А '!G68</f>
        <v>0</v>
      </c>
      <c r="C91" s="231" t="s">
        <v>355</v>
      </c>
      <c r="D91" s="257">
        <f>D88+1</f>
        <v>65</v>
      </c>
      <c r="E91" s="233" t="s">
        <v>161</v>
      </c>
      <c r="F91" s="253">
        <v>32000</v>
      </c>
      <c r="G91" s="253"/>
      <c r="H91" s="253">
        <v>32000</v>
      </c>
      <c r="I91" s="235">
        <f>F91+G91-H91</f>
        <v>0</v>
      </c>
      <c r="J91" s="252"/>
      <c r="K91" s="252"/>
      <c r="L91" s="237">
        <f>I91+K91</f>
        <v>0</v>
      </c>
    </row>
    <row r="92" spans="2:12" ht="22.5">
      <c r="B92" s="230">
        <f>'[1] П_Р_О_В_Е_Р_К_А '!G76</f>
        <v>0</v>
      </c>
      <c r="C92" s="231" t="s">
        <v>356</v>
      </c>
      <c r="D92" s="257">
        <f>D91+1</f>
        <v>66</v>
      </c>
      <c r="E92" s="233" t="s">
        <v>162</v>
      </c>
      <c r="F92" s="253">
        <v>0</v>
      </c>
      <c r="G92" s="253"/>
      <c r="H92" s="253"/>
      <c r="I92" s="235">
        <f>F92+G92-H92</f>
        <v>0</v>
      </c>
      <c r="J92" s="252"/>
      <c r="K92" s="252"/>
      <c r="L92" s="237">
        <f>I92+K92</f>
        <v>0</v>
      </c>
    </row>
    <row r="93" spans="2:12" ht="22.5">
      <c r="B93" s="230">
        <f>'[1] П_Р_О_В_Е_Р_К_А '!G84</f>
        <v>38542</v>
      </c>
      <c r="C93" s="231" t="s">
        <v>357</v>
      </c>
      <c r="D93" s="257">
        <f>D92+1</f>
        <v>67</v>
      </c>
      <c r="E93" s="233" t="s">
        <v>24</v>
      </c>
      <c r="F93" s="253">
        <v>0</v>
      </c>
      <c r="G93" s="253"/>
      <c r="H93" s="253"/>
      <c r="I93" s="235">
        <f>F93+G93-H93</f>
        <v>0</v>
      </c>
      <c r="J93" s="252"/>
      <c r="K93" s="252"/>
      <c r="L93" s="237">
        <f>I93+K93</f>
        <v>0</v>
      </c>
    </row>
    <row r="94" spans="2:12" ht="23.25" thickBot="1">
      <c r="B94" s="230">
        <f>'[1] П_Р_О_В_Е_Р_К_А '!G92</f>
        <v>0</v>
      </c>
      <c r="C94" s="231" t="s">
        <v>358</v>
      </c>
      <c r="D94" s="258">
        <f>D93+1</f>
        <v>68</v>
      </c>
      <c r="E94" s="239" t="s">
        <v>163</v>
      </c>
      <c r="F94" s="259">
        <v>145249</v>
      </c>
      <c r="G94" s="259"/>
      <c r="H94" s="259">
        <v>6542</v>
      </c>
      <c r="I94" s="235">
        <f>F94+G94-H94</f>
        <v>138707</v>
      </c>
      <c r="J94" s="256"/>
      <c r="K94" s="256"/>
      <c r="L94" s="237">
        <f>I94+K94</f>
        <v>138707</v>
      </c>
    </row>
    <row r="95" spans="2:12" ht="38.25" customHeight="1" thickBot="1">
      <c r="D95" s="1109" t="s">
        <v>359</v>
      </c>
      <c r="E95" s="1110"/>
      <c r="F95" s="242">
        <f t="shared" ref="F95:L95" si="15">SUM(F91:F94)</f>
        <v>177249</v>
      </c>
      <c r="G95" s="242">
        <f t="shared" si="15"/>
        <v>0</v>
      </c>
      <c r="H95" s="242">
        <f t="shared" si="15"/>
        <v>38542</v>
      </c>
      <c r="I95" s="242">
        <f t="shared" si="15"/>
        <v>138707</v>
      </c>
      <c r="J95" s="242">
        <f t="shared" si="15"/>
        <v>0</v>
      </c>
      <c r="K95" s="242">
        <f t="shared" si="15"/>
        <v>0</v>
      </c>
      <c r="L95" s="243">
        <f t="shared" si="15"/>
        <v>138707</v>
      </c>
    </row>
    <row r="96" spans="2:12" ht="21" customHeight="1" thickBot="1">
      <c r="D96" s="1099"/>
      <c r="E96" s="1100"/>
      <c r="F96" s="1100"/>
      <c r="G96" s="1100"/>
      <c r="H96" s="1100"/>
      <c r="I96" s="1100"/>
      <c r="J96" s="1100"/>
      <c r="K96" s="1100"/>
      <c r="L96" s="1101"/>
    </row>
    <row r="97" spans="4:12" ht="35.25" customHeight="1" thickBot="1">
      <c r="D97" s="1102" t="s">
        <v>77</v>
      </c>
      <c r="E97" s="1103"/>
      <c r="F97" s="242">
        <f t="shared" ref="F97:L97" si="16">F25+F32+F42+F69+F89+F95</f>
        <v>479660</v>
      </c>
      <c r="G97" s="242">
        <f t="shared" si="16"/>
        <v>0</v>
      </c>
      <c r="H97" s="242">
        <f t="shared" si="16"/>
        <v>65744</v>
      </c>
      <c r="I97" s="242">
        <f t="shared" si="16"/>
        <v>413916</v>
      </c>
      <c r="J97" s="242">
        <f t="shared" si="16"/>
        <v>0</v>
      </c>
      <c r="K97" s="242">
        <f t="shared" si="16"/>
        <v>0</v>
      </c>
      <c r="L97" s="243">
        <f t="shared" si="16"/>
        <v>413916</v>
      </c>
    </row>
    <row r="98" spans="4:12" ht="22.5">
      <c r="D98" s="260"/>
      <c r="E98" s="260"/>
      <c r="F98" s="260"/>
      <c r="G98" s="260"/>
      <c r="H98" s="260"/>
      <c r="I98" s="260"/>
      <c r="J98" s="260"/>
      <c r="K98" s="260"/>
      <c r="L98" s="260"/>
    </row>
    <row r="99" spans="4:12">
      <c r="D99" s="261"/>
      <c r="E99" s="261"/>
      <c r="F99" s="261"/>
      <c r="G99" s="261"/>
      <c r="H99" s="261"/>
      <c r="I99" s="261"/>
      <c r="J99" s="261"/>
      <c r="K99" s="261"/>
      <c r="L99" s="261"/>
    </row>
    <row r="100" spans="4:12">
      <c r="D100" s="261"/>
      <c r="E100" s="261"/>
      <c r="F100" s="661"/>
      <c r="G100" s="661"/>
      <c r="H100" s="661"/>
      <c r="I100" s="661"/>
      <c r="J100" s="261"/>
      <c r="K100" s="261"/>
      <c r="L100" s="261"/>
    </row>
    <row r="101" spans="4:12">
      <c r="D101" s="261"/>
      <c r="E101" s="261"/>
      <c r="F101" s="261"/>
      <c r="G101" s="661"/>
      <c r="H101" s="261"/>
      <c r="I101" s="261"/>
      <c r="J101" s="261"/>
      <c r="K101" s="261"/>
      <c r="L101" s="261"/>
    </row>
    <row r="102" spans="4:12">
      <c r="D102" s="261"/>
      <c r="E102" s="261"/>
      <c r="F102" s="261"/>
      <c r="G102" s="261"/>
      <c r="H102" s="261"/>
      <c r="I102" s="261"/>
      <c r="J102" s="261"/>
      <c r="K102" s="261"/>
      <c r="L102" s="261"/>
    </row>
    <row r="103" spans="4:12">
      <c r="D103" s="261"/>
      <c r="E103" s="261"/>
      <c r="F103" s="261"/>
      <c r="G103" s="261"/>
      <c r="H103" s="261"/>
      <c r="I103" s="261"/>
      <c r="J103" s="261"/>
      <c r="K103" s="261"/>
      <c r="L103" s="261"/>
    </row>
    <row r="104" spans="4:12">
      <c r="D104" s="261"/>
      <c r="E104" s="261"/>
      <c r="F104" s="261"/>
      <c r="G104" s="261"/>
      <c r="H104" s="261"/>
      <c r="I104" s="261"/>
      <c r="J104" s="261"/>
      <c r="K104" s="261"/>
      <c r="L104" s="261"/>
    </row>
    <row r="105" spans="4:12">
      <c r="D105" s="261"/>
      <c r="E105" s="261"/>
      <c r="F105" s="261"/>
      <c r="G105" s="261"/>
      <c r="H105" s="261"/>
      <c r="I105" s="261"/>
      <c r="J105" s="261"/>
      <c r="K105" s="261"/>
      <c r="L105" s="261"/>
    </row>
    <row r="106" spans="4:12">
      <c r="D106" s="261"/>
      <c r="E106" s="261"/>
      <c r="F106" s="261"/>
      <c r="G106" s="261"/>
      <c r="H106" s="261"/>
      <c r="I106" s="261"/>
      <c r="J106" s="261"/>
      <c r="K106" s="261"/>
      <c r="L106" s="261"/>
    </row>
    <row r="107" spans="4:12">
      <c r="D107" s="261"/>
      <c r="E107" s="261"/>
      <c r="F107" s="261"/>
      <c r="G107" s="261"/>
      <c r="H107" s="261"/>
      <c r="I107" s="261"/>
      <c r="J107" s="261"/>
      <c r="K107" s="261"/>
      <c r="L107" s="261"/>
    </row>
    <row r="108" spans="4:12">
      <c r="D108" s="261"/>
      <c r="E108" s="261"/>
      <c r="F108" s="261"/>
      <c r="G108" s="261"/>
      <c r="H108" s="261"/>
      <c r="I108" s="261"/>
      <c r="J108" s="261"/>
      <c r="K108" s="261"/>
      <c r="L108" s="261"/>
    </row>
    <row r="109" spans="4:12">
      <c r="D109" s="261"/>
      <c r="E109" s="261"/>
      <c r="F109" s="261"/>
      <c r="G109" s="261"/>
      <c r="H109" s="261"/>
      <c r="I109" s="261"/>
      <c r="J109" s="261"/>
      <c r="K109" s="261"/>
      <c r="L109" s="261"/>
    </row>
    <row r="110" spans="4:12">
      <c r="D110" s="261"/>
      <c r="E110" s="261"/>
      <c r="F110" s="261"/>
      <c r="G110" s="261"/>
      <c r="H110" s="261"/>
      <c r="I110" s="261"/>
      <c r="J110" s="261"/>
      <c r="K110" s="261"/>
      <c r="L110" s="261"/>
    </row>
    <row r="111" spans="4:12">
      <c r="D111" s="261"/>
      <c r="E111" s="261"/>
      <c r="F111" s="261"/>
      <c r="G111" s="261"/>
      <c r="H111" s="261"/>
      <c r="I111" s="261"/>
      <c r="J111" s="261"/>
      <c r="K111" s="261"/>
      <c r="L111" s="261"/>
    </row>
    <row r="112" spans="4:12">
      <c r="D112" s="261"/>
      <c r="E112" s="261"/>
      <c r="F112" s="261"/>
      <c r="G112" s="261"/>
      <c r="H112" s="261"/>
      <c r="I112" s="261"/>
      <c r="J112" s="261"/>
      <c r="K112" s="261"/>
      <c r="L112" s="261"/>
    </row>
    <row r="113" spans="4:12">
      <c r="D113" s="261"/>
      <c r="E113" s="261"/>
      <c r="F113" s="261"/>
      <c r="G113" s="261"/>
      <c r="H113" s="261"/>
      <c r="I113" s="261"/>
      <c r="J113" s="261"/>
      <c r="K113" s="261"/>
      <c r="L113" s="261"/>
    </row>
    <row r="114" spans="4:12">
      <c r="D114" s="261"/>
      <c r="E114" s="261"/>
      <c r="F114" s="261"/>
      <c r="G114" s="261"/>
      <c r="H114" s="261"/>
      <c r="I114" s="261"/>
      <c r="J114" s="261"/>
      <c r="K114" s="261"/>
      <c r="L114" s="261"/>
    </row>
    <row r="115" spans="4:12">
      <c r="D115" s="261"/>
      <c r="E115" s="261"/>
      <c r="F115" s="261"/>
      <c r="G115" s="261"/>
      <c r="H115" s="261"/>
      <c r="I115" s="261"/>
      <c r="J115" s="261"/>
      <c r="K115" s="261"/>
      <c r="L115" s="261"/>
    </row>
    <row r="116" spans="4:12">
      <c r="D116" s="261"/>
      <c r="E116" s="261"/>
      <c r="F116" s="261"/>
      <c r="G116" s="261"/>
      <c r="H116" s="261"/>
      <c r="I116" s="261"/>
      <c r="J116" s="261"/>
      <c r="K116" s="261"/>
      <c r="L116" s="261"/>
    </row>
    <row r="117" spans="4:12">
      <c r="D117" s="261"/>
      <c r="E117" s="261"/>
      <c r="F117" s="261"/>
      <c r="G117" s="261"/>
      <c r="H117" s="261"/>
      <c r="I117" s="261"/>
      <c r="J117" s="261"/>
      <c r="K117" s="261"/>
      <c r="L117" s="261"/>
    </row>
    <row r="118" spans="4:12">
      <c r="D118" s="261"/>
      <c r="E118" s="261"/>
      <c r="F118" s="261"/>
      <c r="G118" s="261"/>
      <c r="H118" s="261"/>
      <c r="I118" s="261"/>
      <c r="J118" s="261"/>
      <c r="K118" s="261"/>
      <c r="L118" s="261"/>
    </row>
    <row r="119" spans="4:12">
      <c r="D119" s="261"/>
      <c r="E119" s="261"/>
      <c r="F119" s="261"/>
      <c r="G119" s="261"/>
      <c r="H119" s="261"/>
      <c r="I119" s="261"/>
      <c r="J119" s="261"/>
      <c r="K119" s="261"/>
      <c r="L119" s="261"/>
    </row>
    <row r="120" spans="4:12">
      <c r="D120" s="261"/>
      <c r="E120" s="261"/>
      <c r="F120" s="261"/>
      <c r="G120" s="261"/>
      <c r="H120" s="261"/>
      <c r="I120" s="261"/>
      <c r="J120" s="261"/>
      <c r="K120" s="261"/>
      <c r="L120" s="261"/>
    </row>
  </sheetData>
  <mergeCells count="18">
    <mergeCell ref="D69:E69"/>
    <mergeCell ref="D96:L96"/>
    <mergeCell ref="D97:E97"/>
    <mergeCell ref="D70:L70"/>
    <mergeCell ref="D89:E89"/>
    <mergeCell ref="D90:L90"/>
    <mergeCell ref="D95:E95"/>
    <mergeCell ref="D3:L3"/>
    <mergeCell ref="D4:L4"/>
    <mergeCell ref="D5:L5"/>
    <mergeCell ref="D6:L6"/>
    <mergeCell ref="D43:L43"/>
    <mergeCell ref="D16:L16"/>
    <mergeCell ref="D25:E25"/>
    <mergeCell ref="D26:L26"/>
    <mergeCell ref="D32:E32"/>
    <mergeCell ref="D33:L33"/>
    <mergeCell ref="D42:E42"/>
  </mergeCells>
  <phoneticPr fontId="10" type="noConversion"/>
  <conditionalFormatting sqref="F69">
    <cfRule type="cellIs" dxfId="29" priority="1" stopIfTrue="1" operator="notEqual">
      <formula>$B$44</formula>
    </cfRule>
  </conditionalFormatting>
  <conditionalFormatting sqref="G69">
    <cfRule type="cellIs" dxfId="28" priority="2" stopIfTrue="1" operator="notEqual">
      <formula>$B$46</formula>
    </cfRule>
  </conditionalFormatting>
  <conditionalFormatting sqref="H69">
    <cfRule type="cellIs" dxfId="27" priority="3" stopIfTrue="1" operator="notEqual">
      <formula>$B$47</formula>
    </cfRule>
  </conditionalFormatting>
  <conditionalFormatting sqref="J69">
    <cfRule type="cellIs" dxfId="26" priority="4" stopIfTrue="1" operator="notEqual">
      <formula>$B$45</formula>
    </cfRule>
  </conditionalFormatting>
  <conditionalFormatting sqref="K69">
    <cfRule type="cellIs" dxfId="25" priority="5" stopIfTrue="1" operator="notEqual">
      <formula>$B$48</formula>
    </cfRule>
  </conditionalFormatting>
  <conditionalFormatting sqref="F89">
    <cfRule type="cellIs" dxfId="24" priority="6" stopIfTrue="1" operator="notEqual">
      <formula>$B$71</formula>
    </cfRule>
  </conditionalFormatting>
  <conditionalFormatting sqref="G89">
    <cfRule type="cellIs" dxfId="23" priority="7" stopIfTrue="1" operator="notEqual">
      <formula>$B$73</formula>
    </cfRule>
  </conditionalFormatting>
  <conditionalFormatting sqref="J89">
    <cfRule type="cellIs" dxfId="22" priority="8" stopIfTrue="1" operator="notEqual">
      <formula>$B$72</formula>
    </cfRule>
  </conditionalFormatting>
  <conditionalFormatting sqref="K89">
    <cfRule type="cellIs" dxfId="21" priority="9" stopIfTrue="1" operator="notEqual">
      <formula>$B$75</formula>
    </cfRule>
  </conditionalFormatting>
  <conditionalFormatting sqref="G95">
    <cfRule type="cellIs" dxfId="20" priority="10" stopIfTrue="1" operator="notEqual">
      <formula>$B$92</formula>
    </cfRule>
  </conditionalFormatting>
  <conditionalFormatting sqref="F95">
    <cfRule type="cellIs" dxfId="19" priority="11" stopIfTrue="1" operator="notEqual">
      <formula>$B$90</formula>
    </cfRule>
  </conditionalFormatting>
  <conditionalFormatting sqref="H95">
    <cfRule type="cellIs" dxfId="18" priority="12" stopIfTrue="1" operator="notEqual">
      <formula>$B$93</formula>
    </cfRule>
  </conditionalFormatting>
  <conditionalFormatting sqref="J95">
    <cfRule type="cellIs" dxfId="17" priority="13" stopIfTrue="1" operator="notEqual">
      <formula>$B$91</formula>
    </cfRule>
  </conditionalFormatting>
  <conditionalFormatting sqref="K95">
    <cfRule type="cellIs" dxfId="16" priority="14" stopIfTrue="1" operator="notEqual">
      <formula>$B$94</formula>
    </cfRule>
  </conditionalFormatting>
  <conditionalFormatting sqref="F42">
    <cfRule type="cellIs" dxfId="15" priority="15" stopIfTrue="1" operator="notEqual">
      <formula>$B$34</formula>
    </cfRule>
  </conditionalFormatting>
  <conditionalFormatting sqref="G42">
    <cfRule type="cellIs" dxfId="14" priority="16" stopIfTrue="1" operator="notEqual">
      <formula>$B$36</formula>
    </cfRule>
  </conditionalFormatting>
  <conditionalFormatting sqref="H42">
    <cfRule type="cellIs" dxfId="13" priority="17" stopIfTrue="1" operator="notEqual">
      <formula>$B$37</formula>
    </cfRule>
  </conditionalFormatting>
  <conditionalFormatting sqref="J42">
    <cfRule type="cellIs" dxfId="12" priority="18" stopIfTrue="1" operator="notEqual">
      <formula>$B$35</formula>
    </cfRule>
  </conditionalFormatting>
  <conditionalFormatting sqref="K42">
    <cfRule type="cellIs" dxfId="11" priority="19" stopIfTrue="1" operator="notEqual">
      <formula>$B$38</formula>
    </cfRule>
  </conditionalFormatting>
  <conditionalFormatting sqref="F32">
    <cfRule type="cellIs" dxfId="10" priority="20" stopIfTrue="1" operator="notEqual">
      <formula>$B$27</formula>
    </cfRule>
  </conditionalFormatting>
  <conditionalFormatting sqref="G32">
    <cfRule type="cellIs" dxfId="9" priority="21" stopIfTrue="1" operator="notEqual">
      <formula>$B$29</formula>
    </cfRule>
  </conditionalFormatting>
  <conditionalFormatting sqref="H32">
    <cfRule type="cellIs" dxfId="8" priority="22" stopIfTrue="1" operator="notEqual">
      <formula>$B$30</formula>
    </cfRule>
  </conditionalFormatting>
  <conditionalFormatting sqref="J32">
    <cfRule type="cellIs" dxfId="7" priority="23" stopIfTrue="1" operator="notEqual">
      <formula>$B$28</formula>
    </cfRule>
  </conditionalFormatting>
  <conditionalFormatting sqref="K32">
    <cfRule type="cellIs" dxfId="6" priority="24" stopIfTrue="1" operator="notEqual">
      <formula>$B$31</formula>
    </cfRule>
  </conditionalFormatting>
  <conditionalFormatting sqref="F25">
    <cfRule type="cellIs" dxfId="5" priority="25" stopIfTrue="1" operator="notEqual">
      <formula>$B$17</formula>
    </cfRule>
  </conditionalFormatting>
  <conditionalFormatting sqref="G25">
    <cfRule type="cellIs" dxfId="4" priority="26" stopIfTrue="1" operator="notEqual">
      <formula>$B$19</formula>
    </cfRule>
  </conditionalFormatting>
  <conditionalFormatting sqref="H25">
    <cfRule type="cellIs" dxfId="3" priority="27" stopIfTrue="1" operator="notEqual">
      <formula>$B$20</formula>
    </cfRule>
  </conditionalFormatting>
  <conditionalFormatting sqref="J25">
    <cfRule type="cellIs" dxfId="2" priority="28" stopIfTrue="1" operator="notEqual">
      <formula>$B$18</formula>
    </cfRule>
  </conditionalFormatting>
  <conditionalFormatting sqref="K25">
    <cfRule type="cellIs" dxfId="1" priority="29" stopIfTrue="1" operator="notEqual">
      <formula>$B$21</formula>
    </cfRule>
  </conditionalFormatting>
  <conditionalFormatting sqref="H89">
    <cfRule type="cellIs" dxfId="0" priority="30" stopIfTrue="1" operator="notEqual">
      <formula>$B$74</formula>
    </cfRule>
  </conditionalFormatting>
  <pageMargins left="0.15748031496062992" right="0.15748031496062992" top="0.31496062992125984" bottom="0.35433070866141736" header="0.19685039370078741" footer="0.51181102362204722"/>
  <pageSetup paperSize="9" scale="55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16">
    <tabColor indexed="27"/>
  </sheetPr>
  <dimension ref="A1:I86"/>
  <sheetViews>
    <sheetView workbookViewId="0">
      <selection activeCell="I42" sqref="I42"/>
    </sheetView>
  </sheetViews>
  <sheetFormatPr defaultColWidth="9" defaultRowHeight="17.25" customHeight="1"/>
  <cols>
    <col min="1" max="1" width="3.28515625" style="265" customWidth="1"/>
    <col min="2" max="2" width="7.140625" style="276" customWidth="1"/>
    <col min="3" max="3" width="59.85546875" style="265" customWidth="1"/>
    <col min="4" max="4" width="25.28515625" style="265" customWidth="1"/>
    <col min="5" max="5" width="28.42578125" style="265" customWidth="1"/>
    <col min="6" max="6" width="22.85546875" style="265" customWidth="1"/>
    <col min="7" max="7" width="0.42578125" style="265" hidden="1" customWidth="1"/>
    <col min="8" max="8" width="28.85546875" style="265" hidden="1" customWidth="1"/>
    <col min="9" max="9" width="17.28515625" style="265" customWidth="1"/>
    <col min="10" max="16384" width="9" style="265"/>
  </cols>
  <sheetData>
    <row r="1" spans="1:9" ht="17.25" customHeight="1">
      <c r="B1" s="266"/>
      <c r="C1" s="60"/>
      <c r="D1" s="60"/>
      <c r="E1" s="60"/>
    </row>
    <row r="2" spans="1:9" ht="17.25" customHeight="1">
      <c r="B2" s="1198" t="s">
        <v>361</v>
      </c>
      <c r="C2" s="1198"/>
      <c r="D2" s="1198"/>
      <c r="E2" s="1198"/>
      <c r="F2" s="1198"/>
      <c r="G2" s="1191"/>
      <c r="H2" s="1191"/>
      <c r="I2" s="267"/>
    </row>
    <row r="3" spans="1:9" ht="17.25" customHeight="1">
      <c r="B3" s="268"/>
      <c r="C3" s="269"/>
      <c r="D3" s="269"/>
      <c r="E3" s="269"/>
      <c r="F3" s="267"/>
      <c r="G3" s="267"/>
      <c r="H3" s="267"/>
      <c r="I3" s="267"/>
    </row>
    <row r="4" spans="1:9" ht="29.25" customHeight="1">
      <c r="B4" s="1199" t="s">
        <v>105</v>
      </c>
      <c r="C4" s="1200" t="s">
        <v>106</v>
      </c>
      <c r="D4" s="1201" t="s">
        <v>362</v>
      </c>
      <c r="E4" s="1201"/>
      <c r="F4" s="1202" t="s">
        <v>363</v>
      </c>
      <c r="G4" s="1203" t="s">
        <v>364</v>
      </c>
      <c r="H4" s="1204"/>
      <c r="I4" s="1196" t="s">
        <v>365</v>
      </c>
    </row>
    <row r="5" spans="1:9" ht="31.5" customHeight="1">
      <c r="B5" s="1199"/>
      <c r="C5" s="1200"/>
      <c r="D5" s="345" t="s">
        <v>366</v>
      </c>
      <c r="E5" s="345" t="s">
        <v>367</v>
      </c>
      <c r="F5" s="1202"/>
      <c r="G5" s="270" t="s">
        <v>366</v>
      </c>
      <c r="H5" s="271" t="s">
        <v>367</v>
      </c>
      <c r="I5" s="1196"/>
    </row>
    <row r="6" spans="1:9" ht="17.25" customHeight="1">
      <c r="A6" s="272"/>
      <c r="B6" s="1197" t="s">
        <v>107</v>
      </c>
      <c r="C6" s="1197"/>
      <c r="D6" s="1197"/>
      <c r="E6" s="1197"/>
      <c r="F6" s="1197"/>
      <c r="G6" s="273"/>
      <c r="H6" s="273"/>
      <c r="I6" s="273"/>
    </row>
    <row r="7" spans="1:9" ht="17.25" customHeight="1">
      <c r="B7" s="277">
        <v>1</v>
      </c>
      <c r="C7" s="278" t="s">
        <v>138</v>
      </c>
      <c r="D7" s="279">
        <v>8413</v>
      </c>
      <c r="E7" s="279">
        <v>19231.53</v>
      </c>
      <c r="F7" s="279">
        <f>19231.53*2.2</f>
        <v>42309.366000000002</v>
      </c>
      <c r="G7" s="280">
        <v>1572</v>
      </c>
      <c r="H7" s="281">
        <v>2556</v>
      </c>
      <c r="I7" s="282">
        <f t="shared" ref="I7:I15" si="0">H7-G7</f>
        <v>984</v>
      </c>
    </row>
    <row r="8" spans="1:9" ht="17.25" customHeight="1">
      <c r="B8" s="283">
        <v>2</v>
      </c>
      <c r="C8" s="284" t="s">
        <v>139</v>
      </c>
      <c r="D8" s="285">
        <v>1696</v>
      </c>
      <c r="E8" s="285">
        <v>3738.91</v>
      </c>
      <c r="F8" s="285">
        <f>3738.91*2.2</f>
        <v>8225.6020000000008</v>
      </c>
      <c r="G8" s="286">
        <v>683</v>
      </c>
      <c r="H8" s="287">
        <v>1034</v>
      </c>
      <c r="I8" s="288">
        <f t="shared" si="0"/>
        <v>351</v>
      </c>
    </row>
    <row r="9" spans="1:9" ht="17.25" customHeight="1">
      <c r="B9" s="283">
        <v>3</v>
      </c>
      <c r="C9" s="284" t="s">
        <v>64</v>
      </c>
      <c r="D9" s="285">
        <v>1447</v>
      </c>
      <c r="E9" s="285">
        <v>4401.05</v>
      </c>
      <c r="F9" s="285">
        <f>4401.05*2.2</f>
        <v>9682.3100000000013</v>
      </c>
      <c r="G9" s="286">
        <v>487</v>
      </c>
      <c r="H9" s="287">
        <v>988</v>
      </c>
      <c r="I9" s="288">
        <f t="shared" si="0"/>
        <v>501</v>
      </c>
    </row>
    <row r="10" spans="1:9" ht="17.25" customHeight="1">
      <c r="B10" s="283">
        <v>4</v>
      </c>
      <c r="C10" s="284" t="s">
        <v>65</v>
      </c>
      <c r="D10" s="285">
        <v>1282</v>
      </c>
      <c r="E10" s="285">
        <v>3272.29</v>
      </c>
      <c r="F10" s="285">
        <f>3272.29*2.2</f>
        <v>7199.0380000000005</v>
      </c>
      <c r="G10" s="286">
        <v>605</v>
      </c>
      <c r="H10" s="287">
        <v>1351</v>
      </c>
      <c r="I10" s="288">
        <f t="shared" si="0"/>
        <v>746</v>
      </c>
    </row>
    <row r="11" spans="1:9" ht="17.25" customHeight="1">
      <c r="B11" s="283">
        <v>5</v>
      </c>
      <c r="C11" s="284" t="s">
        <v>66</v>
      </c>
      <c r="D11" s="285">
        <v>1317</v>
      </c>
      <c r="E11" s="285">
        <v>3638.54</v>
      </c>
      <c r="F11" s="285">
        <f>3638.54*2.2</f>
        <v>8004.7880000000005</v>
      </c>
      <c r="G11" s="286">
        <v>475</v>
      </c>
      <c r="H11" s="287">
        <v>864</v>
      </c>
      <c r="I11" s="288">
        <f t="shared" si="0"/>
        <v>389</v>
      </c>
    </row>
    <row r="12" spans="1:9" ht="17.25" customHeight="1">
      <c r="B12" s="283">
        <v>6</v>
      </c>
      <c r="C12" s="284" t="s">
        <v>67</v>
      </c>
      <c r="D12" s="285">
        <v>1778</v>
      </c>
      <c r="E12" s="285">
        <v>5202.1499999999996</v>
      </c>
      <c r="F12" s="285">
        <f>5202.15*2.2</f>
        <v>11444.73</v>
      </c>
      <c r="G12" s="286">
        <v>880</v>
      </c>
      <c r="H12" s="287">
        <v>1434</v>
      </c>
      <c r="I12" s="288">
        <f t="shared" si="0"/>
        <v>554</v>
      </c>
    </row>
    <row r="13" spans="1:9" ht="17.25" customHeight="1">
      <c r="B13" s="283">
        <v>7</v>
      </c>
      <c r="C13" s="284" t="s">
        <v>68</v>
      </c>
      <c r="D13" s="285">
        <v>2202</v>
      </c>
      <c r="E13" s="285">
        <v>5060.8100000000004</v>
      </c>
      <c r="F13" s="285">
        <f>5060.81*2.2</f>
        <v>11133.782000000001</v>
      </c>
      <c r="G13" s="286">
        <v>807</v>
      </c>
      <c r="H13" s="287">
        <v>1472</v>
      </c>
      <c r="I13" s="288">
        <f t="shared" si="0"/>
        <v>665</v>
      </c>
    </row>
    <row r="14" spans="1:9" ht="17.25" customHeight="1">
      <c r="B14" s="289">
        <v>8</v>
      </c>
      <c r="C14" s="290" t="s">
        <v>69</v>
      </c>
      <c r="D14" s="291">
        <v>5338</v>
      </c>
      <c r="E14" s="291">
        <v>9086.2900000000009</v>
      </c>
      <c r="F14" s="291">
        <f>9086.29*2.2</f>
        <v>19989.838000000003</v>
      </c>
      <c r="G14" s="292">
        <v>2405</v>
      </c>
      <c r="H14" s="293">
        <v>2749</v>
      </c>
      <c r="I14" s="294">
        <f t="shared" si="0"/>
        <v>344</v>
      </c>
    </row>
    <row r="15" spans="1:9" ht="17.25" customHeight="1">
      <c r="B15" s="1192" t="s">
        <v>71</v>
      </c>
      <c r="C15" s="1193"/>
      <c r="D15" s="295">
        <v>23472</v>
      </c>
      <c r="E15" s="296">
        <f>SUM(E7:E14)</f>
        <v>53631.57</v>
      </c>
      <c r="F15" s="297">
        <f>SUM(F7:F14)</f>
        <v>117989.45400000001</v>
      </c>
      <c r="G15" s="298">
        <f>SUM(G7:G14)</f>
        <v>7914</v>
      </c>
      <c r="H15" s="299">
        <f>SUM(H7:H14)</f>
        <v>12448</v>
      </c>
      <c r="I15" s="300">
        <f t="shared" si="0"/>
        <v>4534</v>
      </c>
    </row>
    <row r="16" spans="1:9" ht="17.25" customHeight="1">
      <c r="B16" s="1189" t="s">
        <v>75</v>
      </c>
      <c r="C16" s="1189"/>
      <c r="D16" s="1189"/>
      <c r="E16" s="1189"/>
      <c r="F16" s="1189"/>
      <c r="G16" s="301"/>
      <c r="H16" s="139"/>
      <c r="I16" s="139"/>
    </row>
    <row r="17" spans="2:9" ht="17.25" customHeight="1">
      <c r="B17" s="277">
        <v>9</v>
      </c>
      <c r="C17" s="278" t="s">
        <v>51</v>
      </c>
      <c r="D17" s="279">
        <v>1361.82</v>
      </c>
      <c r="E17" s="279">
        <v>4478.7299999999996</v>
      </c>
      <c r="F17" s="279">
        <f>4478.73*2.2</f>
        <v>9853.2060000000001</v>
      </c>
      <c r="G17" s="302">
        <v>498</v>
      </c>
      <c r="H17" s="303">
        <v>1981</v>
      </c>
      <c r="I17" s="304">
        <f t="shared" ref="I17:I22" si="1">H17-G17</f>
        <v>1483</v>
      </c>
    </row>
    <row r="18" spans="2:9" ht="17.25" customHeight="1">
      <c r="B18" s="283">
        <v>10</v>
      </c>
      <c r="C18" s="284" t="s">
        <v>52</v>
      </c>
      <c r="D18" s="285">
        <v>6152</v>
      </c>
      <c r="E18" s="285">
        <v>12122.94</v>
      </c>
      <c r="F18" s="285">
        <f>12122.94*2.2</f>
        <v>26670.468000000004</v>
      </c>
      <c r="G18" s="286">
        <v>1291</v>
      </c>
      <c r="H18" s="305">
        <v>3067</v>
      </c>
      <c r="I18" s="306">
        <f t="shared" si="1"/>
        <v>1776</v>
      </c>
    </row>
    <row r="19" spans="2:9" ht="17.25" customHeight="1">
      <c r="B19" s="283">
        <v>11</v>
      </c>
      <c r="C19" s="284" t="s">
        <v>53</v>
      </c>
      <c r="D19" s="285">
        <v>1181</v>
      </c>
      <c r="E19" s="285">
        <v>2039.91</v>
      </c>
      <c r="F19" s="285">
        <f>2039.91*2.2</f>
        <v>4487.8020000000006</v>
      </c>
      <c r="G19" s="286">
        <v>702</v>
      </c>
      <c r="H19" s="305">
        <v>1037</v>
      </c>
      <c r="I19" s="306">
        <f t="shared" si="1"/>
        <v>335</v>
      </c>
    </row>
    <row r="20" spans="2:9" ht="17.25" customHeight="1">
      <c r="B20" s="283">
        <v>12</v>
      </c>
      <c r="C20" s="284" t="s">
        <v>54</v>
      </c>
      <c r="D20" s="285">
        <v>2296</v>
      </c>
      <c r="E20" s="285">
        <v>4963.83</v>
      </c>
      <c r="F20" s="285">
        <f>4963.83*2.2</f>
        <v>10920.426000000001</v>
      </c>
      <c r="G20" s="286">
        <v>726</v>
      </c>
      <c r="H20" s="305">
        <v>1619</v>
      </c>
      <c r="I20" s="306">
        <f t="shared" si="1"/>
        <v>893</v>
      </c>
    </row>
    <row r="21" spans="2:9" ht="17.25" customHeight="1">
      <c r="B21" s="283">
        <v>13</v>
      </c>
      <c r="C21" s="284" t="s">
        <v>95</v>
      </c>
      <c r="D21" s="285">
        <v>4713</v>
      </c>
      <c r="E21" s="291">
        <v>10317.65</v>
      </c>
      <c r="F21" s="291">
        <f>10317.65*2.2</f>
        <v>22698.83</v>
      </c>
      <c r="G21" s="292">
        <v>1414</v>
      </c>
      <c r="H21" s="307">
        <v>4129</v>
      </c>
      <c r="I21" s="308">
        <f t="shared" si="1"/>
        <v>2715</v>
      </c>
    </row>
    <row r="22" spans="2:9" ht="17.25" customHeight="1">
      <c r="B22" s="1187" t="s">
        <v>55</v>
      </c>
      <c r="C22" s="1188"/>
      <c r="D22" s="309">
        <v>15704</v>
      </c>
      <c r="E22" s="310">
        <f>SUM(E17:E21)</f>
        <v>33923.06</v>
      </c>
      <c r="F22" s="311">
        <f>SUM(F17:F21)</f>
        <v>74630.732000000018</v>
      </c>
      <c r="G22" s="298">
        <f>SUM(G17:G21)</f>
        <v>4631</v>
      </c>
      <c r="H22" s="312">
        <f>SUM(H17:H21)</f>
        <v>11833</v>
      </c>
      <c r="I22" s="313">
        <f t="shared" si="1"/>
        <v>7202</v>
      </c>
    </row>
    <row r="23" spans="2:9" ht="17.25" customHeight="1">
      <c r="B23" s="1189" t="s">
        <v>264</v>
      </c>
      <c r="C23" s="1189"/>
      <c r="D23" s="1189"/>
      <c r="E23" s="1189"/>
      <c r="F23" s="1189"/>
      <c r="G23" s="301"/>
      <c r="H23" s="301"/>
      <c r="I23" s="139"/>
    </row>
    <row r="24" spans="2:9" ht="17.25" customHeight="1">
      <c r="B24" s="277">
        <v>14</v>
      </c>
      <c r="C24" s="278" t="s">
        <v>59</v>
      </c>
      <c r="D24" s="279">
        <v>3773</v>
      </c>
      <c r="E24" s="279">
        <v>5928.26</v>
      </c>
      <c r="F24" s="279">
        <f>5928.26*2.2</f>
        <v>13042.172000000002</v>
      </c>
      <c r="G24" s="302">
        <v>1050</v>
      </c>
      <c r="H24" s="314">
        <v>2013</v>
      </c>
      <c r="I24" s="315">
        <f t="shared" ref="I24:I32" si="2">H24-G24</f>
        <v>963</v>
      </c>
    </row>
    <row r="25" spans="2:9" ht="17.25" customHeight="1">
      <c r="B25" s="283">
        <v>15</v>
      </c>
      <c r="C25" s="284" t="s">
        <v>56</v>
      </c>
      <c r="D25" s="285">
        <v>4647</v>
      </c>
      <c r="E25" s="285">
        <v>10085.98</v>
      </c>
      <c r="F25" s="285">
        <f>10085.98*2.2</f>
        <v>22189.155999999999</v>
      </c>
      <c r="G25" s="286">
        <v>674</v>
      </c>
      <c r="H25" s="305">
        <v>1068</v>
      </c>
      <c r="I25" s="306">
        <f t="shared" si="2"/>
        <v>394</v>
      </c>
    </row>
    <row r="26" spans="2:9" ht="17.25" customHeight="1">
      <c r="B26" s="283">
        <v>16</v>
      </c>
      <c r="C26" s="284" t="s">
        <v>140</v>
      </c>
      <c r="D26" s="285">
        <v>2154</v>
      </c>
      <c r="E26" s="285">
        <v>3344.43</v>
      </c>
      <c r="F26" s="285">
        <f>3344.43*2.2</f>
        <v>7357.7460000000001</v>
      </c>
      <c r="G26" s="286">
        <v>711</v>
      </c>
      <c r="H26" s="305">
        <v>965</v>
      </c>
      <c r="I26" s="306">
        <f t="shared" si="2"/>
        <v>254</v>
      </c>
    </row>
    <row r="27" spans="2:9" ht="17.25" customHeight="1">
      <c r="B27" s="283">
        <v>17</v>
      </c>
      <c r="C27" s="284" t="s">
        <v>58</v>
      </c>
      <c r="D27" s="285">
        <v>8900</v>
      </c>
      <c r="E27" s="285">
        <v>12690.45</v>
      </c>
      <c r="F27" s="285">
        <f>12690.45*1.7</f>
        <v>21573.764999999999</v>
      </c>
      <c r="G27" s="286">
        <v>1630</v>
      </c>
      <c r="H27" s="305">
        <v>2717</v>
      </c>
      <c r="I27" s="306">
        <f t="shared" si="2"/>
        <v>1087</v>
      </c>
    </row>
    <row r="28" spans="2:9" ht="17.25" customHeight="1">
      <c r="B28" s="283">
        <v>18</v>
      </c>
      <c r="C28" s="316" t="s">
        <v>57</v>
      </c>
      <c r="D28" s="285">
        <v>11800</v>
      </c>
      <c r="E28" s="285">
        <v>26435.360000000001</v>
      </c>
      <c r="F28" s="285">
        <f>26435.36*1.7</f>
        <v>44940.112000000001</v>
      </c>
      <c r="G28" s="286">
        <v>2467</v>
      </c>
      <c r="H28" s="305">
        <v>5532</v>
      </c>
      <c r="I28" s="306">
        <f t="shared" si="2"/>
        <v>3065</v>
      </c>
    </row>
    <row r="29" spans="2:9" ht="17.25" customHeight="1">
      <c r="B29" s="283">
        <v>19</v>
      </c>
      <c r="C29" s="316" t="s">
        <v>108</v>
      </c>
      <c r="D29" s="285">
        <v>10116</v>
      </c>
      <c r="E29" s="285">
        <v>21020.37</v>
      </c>
      <c r="F29" s="285">
        <f>21020.37*1.7</f>
        <v>35734.629000000001</v>
      </c>
      <c r="G29" s="286">
        <v>2890</v>
      </c>
      <c r="H29" s="305">
        <v>4040</v>
      </c>
      <c r="I29" s="306">
        <f t="shared" si="2"/>
        <v>1150</v>
      </c>
    </row>
    <row r="30" spans="2:9" ht="17.25" customHeight="1">
      <c r="B30" s="283">
        <v>20</v>
      </c>
      <c r="C30" s="316" t="s">
        <v>61</v>
      </c>
      <c r="D30" s="285">
        <v>2628</v>
      </c>
      <c r="E30" s="285">
        <v>5614.52</v>
      </c>
      <c r="F30" s="285">
        <f>5614.52*1.7</f>
        <v>9544.6840000000011</v>
      </c>
      <c r="G30" s="286">
        <v>521</v>
      </c>
      <c r="H30" s="305">
        <v>1658</v>
      </c>
      <c r="I30" s="306">
        <f t="shared" si="2"/>
        <v>1137</v>
      </c>
    </row>
    <row r="31" spans="2:9" ht="17.25" customHeight="1">
      <c r="B31" s="289">
        <v>21</v>
      </c>
      <c r="C31" s="317" t="s">
        <v>109</v>
      </c>
      <c r="D31" s="291">
        <v>16919</v>
      </c>
      <c r="E31" s="291">
        <v>38142.15</v>
      </c>
      <c r="F31" s="291">
        <f>38142.15*1.7</f>
        <v>64841.654999999999</v>
      </c>
      <c r="G31" s="292">
        <v>4040</v>
      </c>
      <c r="H31" s="307">
        <v>7693</v>
      </c>
      <c r="I31" s="308">
        <f t="shared" si="2"/>
        <v>3653</v>
      </c>
    </row>
    <row r="32" spans="2:9" ht="17.25" customHeight="1">
      <c r="B32" s="1187" t="s">
        <v>135</v>
      </c>
      <c r="C32" s="1188"/>
      <c r="D32" s="309">
        <v>60935</v>
      </c>
      <c r="E32" s="309">
        <f>SUM(E24:E31)</f>
        <v>123261.51999999999</v>
      </c>
      <c r="F32" s="311">
        <f>SUM(F24:F31)</f>
        <v>219223.91900000002</v>
      </c>
      <c r="G32" s="318">
        <f>SUM(G24:G31)</f>
        <v>13983</v>
      </c>
      <c r="H32" s="319">
        <f>SUM(H24:H31)</f>
        <v>25686</v>
      </c>
      <c r="I32" s="313">
        <f t="shared" si="2"/>
        <v>11703</v>
      </c>
    </row>
    <row r="33" spans="2:9" ht="17.25" customHeight="1">
      <c r="B33" s="1189" t="s">
        <v>72</v>
      </c>
      <c r="C33" s="1189"/>
      <c r="D33" s="1189"/>
      <c r="E33" s="1189"/>
      <c r="F33" s="1189"/>
      <c r="G33" s="139"/>
      <c r="H33" s="139"/>
      <c r="I33" s="139"/>
    </row>
    <row r="34" spans="2:9" ht="17.25" customHeight="1">
      <c r="B34" s="277">
        <v>22</v>
      </c>
      <c r="C34" s="320" t="s">
        <v>141</v>
      </c>
      <c r="D34" s="279">
        <v>18690.650000000001</v>
      </c>
      <c r="E34" s="279">
        <v>43802.78</v>
      </c>
      <c r="F34" s="279">
        <f>43802.78*2.2</f>
        <v>96366.116000000009</v>
      </c>
      <c r="G34" s="321">
        <v>5812</v>
      </c>
      <c r="H34" s="303">
        <v>6760</v>
      </c>
      <c r="I34" s="304">
        <f t="shared" ref="I34:I59" si="3">H34-G34</f>
        <v>948</v>
      </c>
    </row>
    <row r="35" spans="2:9" ht="17.25" customHeight="1">
      <c r="B35" s="283">
        <v>23</v>
      </c>
      <c r="C35" s="322" t="s">
        <v>31</v>
      </c>
      <c r="D35" s="285">
        <v>2741</v>
      </c>
      <c r="E35" s="285">
        <v>8134.18</v>
      </c>
      <c r="F35" s="285">
        <f>8134.18*2.2</f>
        <v>17895.196000000004</v>
      </c>
      <c r="G35" s="286">
        <v>1079</v>
      </c>
      <c r="H35" s="305">
        <v>3062</v>
      </c>
      <c r="I35" s="306">
        <f t="shared" si="3"/>
        <v>1983</v>
      </c>
    </row>
    <row r="36" spans="2:9" ht="17.25" customHeight="1">
      <c r="B36" s="283">
        <v>24</v>
      </c>
      <c r="C36" s="284" t="s">
        <v>36</v>
      </c>
      <c r="D36" s="285">
        <v>1994</v>
      </c>
      <c r="E36" s="285">
        <v>5540.76</v>
      </c>
      <c r="F36" s="285">
        <f>5540.76*2.2</f>
        <v>12189.672000000002</v>
      </c>
      <c r="G36" s="286">
        <v>729</v>
      </c>
      <c r="H36" s="305">
        <v>1494</v>
      </c>
      <c r="I36" s="306">
        <f t="shared" si="3"/>
        <v>765</v>
      </c>
    </row>
    <row r="37" spans="2:9" ht="17.25" customHeight="1">
      <c r="B37" s="283">
        <v>25</v>
      </c>
      <c r="C37" s="284" t="s">
        <v>44</v>
      </c>
      <c r="D37" s="285">
        <v>1588.135</v>
      </c>
      <c r="E37" s="285">
        <v>4726.25</v>
      </c>
      <c r="F37" s="285">
        <f>4726.25*2.2</f>
        <v>10397.75</v>
      </c>
      <c r="G37" s="286">
        <v>581</v>
      </c>
      <c r="H37" s="305">
        <v>1384</v>
      </c>
      <c r="I37" s="306">
        <f t="shared" si="3"/>
        <v>803</v>
      </c>
    </row>
    <row r="38" spans="2:9" ht="17.25" customHeight="1">
      <c r="B38" s="283">
        <v>26</v>
      </c>
      <c r="C38" s="284" t="s">
        <v>28</v>
      </c>
      <c r="D38" s="285">
        <v>895</v>
      </c>
      <c r="E38" s="285">
        <v>2130.1</v>
      </c>
      <c r="F38" s="285">
        <f>2130.1*2.2</f>
        <v>4686.22</v>
      </c>
      <c r="G38" s="286">
        <v>193</v>
      </c>
      <c r="H38" s="305">
        <v>567</v>
      </c>
      <c r="I38" s="306">
        <f t="shared" si="3"/>
        <v>374</v>
      </c>
    </row>
    <row r="39" spans="2:9" ht="17.25" customHeight="1">
      <c r="B39" s="283">
        <v>27</v>
      </c>
      <c r="C39" s="284" t="s">
        <v>48</v>
      </c>
      <c r="D39" s="285">
        <v>1933</v>
      </c>
      <c r="E39" s="285">
        <v>4376.88</v>
      </c>
      <c r="F39" s="285">
        <f>4376.88*2.2</f>
        <v>9629.1360000000004</v>
      </c>
      <c r="G39" s="286">
        <v>695</v>
      </c>
      <c r="H39" s="305">
        <v>1436</v>
      </c>
      <c r="I39" s="306">
        <f t="shared" si="3"/>
        <v>741</v>
      </c>
    </row>
    <row r="40" spans="2:9" ht="17.25" customHeight="1">
      <c r="B40" s="283">
        <v>28</v>
      </c>
      <c r="C40" s="284" t="s">
        <v>142</v>
      </c>
      <c r="D40" s="285">
        <v>711</v>
      </c>
      <c r="E40" s="285">
        <v>1676.39</v>
      </c>
      <c r="F40" s="285">
        <f>1676.39*2.2</f>
        <v>3688.0580000000004</v>
      </c>
      <c r="G40" s="286">
        <v>185</v>
      </c>
      <c r="H40" s="305">
        <v>595</v>
      </c>
      <c r="I40" s="306">
        <f t="shared" si="3"/>
        <v>410</v>
      </c>
    </row>
    <row r="41" spans="2:9" ht="17.25" customHeight="1">
      <c r="B41" s="283">
        <v>29</v>
      </c>
      <c r="C41" s="284" t="s">
        <v>143</v>
      </c>
      <c r="D41" s="285">
        <v>2001</v>
      </c>
      <c r="E41" s="285">
        <v>2500.69</v>
      </c>
      <c r="F41" s="285">
        <f>2500.69*2.2</f>
        <v>5501.5180000000009</v>
      </c>
      <c r="G41" s="286">
        <v>583</v>
      </c>
      <c r="H41" s="305">
        <v>677</v>
      </c>
      <c r="I41" s="306">
        <f t="shared" si="3"/>
        <v>94</v>
      </c>
    </row>
    <row r="42" spans="2:9" ht="17.25" customHeight="1">
      <c r="B42" s="283">
        <v>30</v>
      </c>
      <c r="C42" s="316" t="s">
        <v>4</v>
      </c>
      <c r="D42" s="285">
        <v>2122.83</v>
      </c>
      <c r="E42" s="285">
        <v>5198.57</v>
      </c>
      <c r="F42" s="285">
        <f>5198.57*2.2</f>
        <v>11436.854000000001</v>
      </c>
      <c r="G42" s="286">
        <v>1106</v>
      </c>
      <c r="H42" s="305">
        <v>2280</v>
      </c>
      <c r="I42" s="306">
        <f t="shared" si="3"/>
        <v>1174</v>
      </c>
    </row>
    <row r="43" spans="2:9" ht="17.25" customHeight="1">
      <c r="B43" s="283">
        <v>31</v>
      </c>
      <c r="C43" s="316" t="s">
        <v>29</v>
      </c>
      <c r="D43" s="285">
        <v>2446</v>
      </c>
      <c r="E43" s="285">
        <v>8287.1200000000008</v>
      </c>
      <c r="F43" s="285">
        <f>8287.12*2.2</f>
        <v>18231.664000000004</v>
      </c>
      <c r="G43" s="286">
        <v>1582</v>
      </c>
      <c r="H43" s="305">
        <v>3485</v>
      </c>
      <c r="I43" s="306">
        <f t="shared" si="3"/>
        <v>1903</v>
      </c>
    </row>
    <row r="44" spans="2:9" ht="17.25" customHeight="1">
      <c r="B44" s="283">
        <v>32</v>
      </c>
      <c r="C44" s="316" t="s">
        <v>30</v>
      </c>
      <c r="D44" s="285">
        <v>1266.4649999999999</v>
      </c>
      <c r="E44" s="285">
        <v>7759.5</v>
      </c>
      <c r="F44" s="285">
        <f>7759.5*2.2</f>
        <v>17070.900000000001</v>
      </c>
      <c r="G44" s="286">
        <v>857</v>
      </c>
      <c r="H44" s="305">
        <v>2791</v>
      </c>
      <c r="I44" s="306">
        <f t="shared" si="3"/>
        <v>1934</v>
      </c>
    </row>
    <row r="45" spans="2:9" ht="17.25" customHeight="1">
      <c r="B45" s="283">
        <v>33</v>
      </c>
      <c r="C45" s="316" t="s">
        <v>32</v>
      </c>
      <c r="D45" s="285">
        <v>6425</v>
      </c>
      <c r="E45" s="285">
        <v>13659.26</v>
      </c>
      <c r="F45" s="285">
        <f>13659.26*2.2</f>
        <v>30050.372000000003</v>
      </c>
      <c r="G45" s="286">
        <v>2383</v>
      </c>
      <c r="H45" s="305">
        <v>2778</v>
      </c>
      <c r="I45" s="306">
        <f t="shared" si="3"/>
        <v>395</v>
      </c>
    </row>
    <row r="46" spans="2:9" ht="17.25" customHeight="1">
      <c r="B46" s="283">
        <v>34</v>
      </c>
      <c r="C46" s="316" t="s">
        <v>33</v>
      </c>
      <c r="D46" s="285">
        <v>2516.65</v>
      </c>
      <c r="E46" s="285">
        <v>7315.78</v>
      </c>
      <c r="F46" s="285">
        <f>7315.78*2.2</f>
        <v>16094.716</v>
      </c>
      <c r="G46" s="286">
        <v>1203</v>
      </c>
      <c r="H46" s="305">
        <v>2869</v>
      </c>
      <c r="I46" s="306">
        <f t="shared" si="3"/>
        <v>1666</v>
      </c>
    </row>
    <row r="47" spans="2:9" ht="17.25" customHeight="1">
      <c r="B47" s="283">
        <v>35</v>
      </c>
      <c r="C47" s="316" t="s">
        <v>34</v>
      </c>
      <c r="D47" s="285">
        <v>3841</v>
      </c>
      <c r="E47" s="285">
        <v>9066.8799999999992</v>
      </c>
      <c r="F47" s="285">
        <f>9066.88*2.2</f>
        <v>19947.135999999999</v>
      </c>
      <c r="G47" s="286">
        <v>1731</v>
      </c>
      <c r="H47" s="305">
        <v>2934</v>
      </c>
      <c r="I47" s="306">
        <f t="shared" si="3"/>
        <v>1203</v>
      </c>
    </row>
    <row r="48" spans="2:9" ht="17.25" customHeight="1">
      <c r="B48" s="283">
        <v>36</v>
      </c>
      <c r="C48" s="316" t="s">
        <v>368</v>
      </c>
      <c r="D48" s="285">
        <v>13396</v>
      </c>
      <c r="E48" s="285">
        <v>28932.99</v>
      </c>
      <c r="F48" s="285">
        <f>28932.99*2.2</f>
        <v>63652.578000000009</v>
      </c>
      <c r="G48" s="286">
        <v>2576</v>
      </c>
      <c r="H48" s="305">
        <v>9565</v>
      </c>
      <c r="I48" s="306">
        <f t="shared" si="3"/>
        <v>6989</v>
      </c>
    </row>
    <row r="49" spans="2:9" ht="17.25" customHeight="1">
      <c r="B49" s="283">
        <v>37</v>
      </c>
      <c r="C49" s="316" t="s">
        <v>35</v>
      </c>
      <c r="D49" s="285">
        <v>2450</v>
      </c>
      <c r="E49" s="285">
        <v>8374.7900000000009</v>
      </c>
      <c r="F49" s="285">
        <f>8374.79*2.2</f>
        <v>18424.538000000004</v>
      </c>
      <c r="G49" s="286">
        <v>1039</v>
      </c>
      <c r="H49" s="305">
        <v>3819</v>
      </c>
      <c r="I49" s="306">
        <f t="shared" si="3"/>
        <v>2780</v>
      </c>
    </row>
    <row r="50" spans="2:9" ht="17.25" customHeight="1">
      <c r="B50" s="283">
        <v>38</v>
      </c>
      <c r="C50" s="316" t="s">
        <v>144</v>
      </c>
      <c r="D50" s="285">
        <v>1724</v>
      </c>
      <c r="E50" s="285">
        <v>5782.38</v>
      </c>
      <c r="F50" s="285">
        <f>5782.38*2.2</f>
        <v>12721.236000000001</v>
      </c>
      <c r="G50" s="286">
        <v>853</v>
      </c>
      <c r="H50" s="305">
        <v>1814</v>
      </c>
      <c r="I50" s="306">
        <f t="shared" si="3"/>
        <v>961</v>
      </c>
    </row>
    <row r="51" spans="2:9" ht="17.25" customHeight="1">
      <c r="B51" s="283">
        <v>39</v>
      </c>
      <c r="C51" s="316" t="s">
        <v>38</v>
      </c>
      <c r="D51" s="285">
        <v>978.68499999999995</v>
      </c>
      <c r="E51" s="285">
        <v>1766.15</v>
      </c>
      <c r="F51" s="285">
        <f>1766.15*2.2</f>
        <v>3885.5300000000007</v>
      </c>
      <c r="G51" s="286">
        <v>627</v>
      </c>
      <c r="H51" s="305">
        <v>870</v>
      </c>
      <c r="I51" s="306">
        <f t="shared" si="3"/>
        <v>243</v>
      </c>
    </row>
    <row r="52" spans="2:9" ht="17.25" customHeight="1">
      <c r="B52" s="283">
        <v>40</v>
      </c>
      <c r="C52" s="316" t="s">
        <v>39</v>
      </c>
      <c r="D52" s="285">
        <v>1217</v>
      </c>
      <c r="E52" s="285">
        <v>3827.46</v>
      </c>
      <c r="F52" s="285">
        <f>3827.46*2.2</f>
        <v>8420.4120000000003</v>
      </c>
      <c r="G52" s="286">
        <v>425</v>
      </c>
      <c r="H52" s="305">
        <v>862</v>
      </c>
      <c r="I52" s="306">
        <f t="shared" si="3"/>
        <v>437</v>
      </c>
    </row>
    <row r="53" spans="2:9" ht="17.25" customHeight="1">
      <c r="B53" s="283">
        <v>41</v>
      </c>
      <c r="C53" s="316" t="s">
        <v>40</v>
      </c>
      <c r="D53" s="285">
        <v>960</v>
      </c>
      <c r="E53" s="285">
        <v>2174.39</v>
      </c>
      <c r="F53" s="285">
        <f>2174.39*2.2</f>
        <v>4783.6580000000004</v>
      </c>
      <c r="G53" s="286">
        <v>367</v>
      </c>
      <c r="H53" s="305">
        <v>617</v>
      </c>
      <c r="I53" s="306">
        <f t="shared" si="3"/>
        <v>250</v>
      </c>
    </row>
    <row r="54" spans="2:9" ht="17.25" customHeight="1">
      <c r="B54" s="283">
        <v>42</v>
      </c>
      <c r="C54" s="316" t="s">
        <v>42</v>
      </c>
      <c r="D54" s="285">
        <v>2182.9850000000001</v>
      </c>
      <c r="E54" s="285">
        <v>5255.43</v>
      </c>
      <c r="F54" s="285">
        <f>5255.43*2.2</f>
        <v>11561.946000000002</v>
      </c>
      <c r="G54" s="286">
        <v>948</v>
      </c>
      <c r="H54" s="305">
        <v>1610</v>
      </c>
      <c r="I54" s="306">
        <f t="shared" si="3"/>
        <v>662</v>
      </c>
    </row>
    <row r="55" spans="2:9" ht="17.25" customHeight="1">
      <c r="B55" s="283">
        <v>43</v>
      </c>
      <c r="C55" s="316" t="s">
        <v>43</v>
      </c>
      <c r="D55" s="285">
        <v>1333</v>
      </c>
      <c r="E55" s="285">
        <v>2589.5</v>
      </c>
      <c r="F55" s="285">
        <f>2589.5*2.2</f>
        <v>5696.9000000000005</v>
      </c>
      <c r="G55" s="286">
        <v>430</v>
      </c>
      <c r="H55" s="305">
        <v>827</v>
      </c>
      <c r="I55" s="306">
        <f t="shared" si="3"/>
        <v>397</v>
      </c>
    </row>
    <row r="56" spans="2:9" ht="17.25" customHeight="1">
      <c r="B56" s="283">
        <v>44</v>
      </c>
      <c r="C56" s="316" t="s">
        <v>45</v>
      </c>
      <c r="D56" s="285">
        <v>2176</v>
      </c>
      <c r="E56" s="285">
        <v>5669.91</v>
      </c>
      <c r="F56" s="285">
        <f>5669.91*2.2</f>
        <v>12473.802000000001</v>
      </c>
      <c r="G56" s="286">
        <v>1218</v>
      </c>
      <c r="H56" s="305">
        <v>2219</v>
      </c>
      <c r="I56" s="306">
        <f t="shared" si="3"/>
        <v>1001</v>
      </c>
    </row>
    <row r="57" spans="2:9" ht="17.25" customHeight="1">
      <c r="B57" s="283">
        <v>45</v>
      </c>
      <c r="C57" s="316" t="s">
        <v>46</v>
      </c>
      <c r="D57" s="285">
        <v>2701</v>
      </c>
      <c r="E57" s="285">
        <v>6641.16</v>
      </c>
      <c r="F57" s="285">
        <f>6641.16*2.2</f>
        <v>14610.552000000001</v>
      </c>
      <c r="G57" s="286">
        <v>1506</v>
      </c>
      <c r="H57" s="305">
        <v>3128</v>
      </c>
      <c r="I57" s="306">
        <f t="shared" si="3"/>
        <v>1622</v>
      </c>
    </row>
    <row r="58" spans="2:9" ht="17.25" customHeight="1">
      <c r="B58" s="289">
        <v>46</v>
      </c>
      <c r="C58" s="317" t="s">
        <v>216</v>
      </c>
      <c r="D58" s="291">
        <v>3839</v>
      </c>
      <c r="E58" s="291">
        <v>15613.69</v>
      </c>
      <c r="F58" s="291">
        <f>15613.69*2.2</f>
        <v>34350.118000000002</v>
      </c>
      <c r="G58" s="292">
        <v>1901</v>
      </c>
      <c r="H58" s="307">
        <v>5281</v>
      </c>
      <c r="I58" s="308">
        <f t="shared" si="3"/>
        <v>3380</v>
      </c>
    </row>
    <row r="59" spans="2:9" ht="17.25" customHeight="1">
      <c r="B59" s="1187" t="s">
        <v>50</v>
      </c>
      <c r="C59" s="1188"/>
      <c r="D59" s="323">
        <v>82128.479999999996</v>
      </c>
      <c r="E59" s="323">
        <f>SUM(E34:E58)</f>
        <v>210802.99000000002</v>
      </c>
      <c r="F59" s="324">
        <f>SUM(F34:F58)</f>
        <v>463766.57800000015</v>
      </c>
      <c r="G59" s="325">
        <f>SUM(G34:G58)</f>
        <v>30609</v>
      </c>
      <c r="H59" s="326">
        <f>SUM(H34:H58)</f>
        <v>63724</v>
      </c>
      <c r="I59" s="313">
        <f t="shared" si="3"/>
        <v>33115</v>
      </c>
    </row>
    <row r="60" spans="2:9" ht="17.25" customHeight="1">
      <c r="B60" s="1189" t="s">
        <v>74</v>
      </c>
      <c r="C60" s="1189"/>
      <c r="D60" s="1189"/>
      <c r="E60" s="1189"/>
      <c r="F60" s="1189"/>
      <c r="G60" s="139"/>
      <c r="H60" s="139"/>
      <c r="I60" s="139"/>
    </row>
    <row r="61" spans="2:9" ht="17.25" customHeight="1">
      <c r="B61" s="277">
        <v>47</v>
      </c>
      <c r="C61" s="327" t="s">
        <v>5</v>
      </c>
      <c r="D61" s="279">
        <v>57175</v>
      </c>
      <c r="E61" s="279">
        <v>97182.07</v>
      </c>
      <c r="F61" s="279">
        <f>97182.07*1.5</f>
        <v>145773.10500000001</v>
      </c>
      <c r="G61" s="321">
        <v>9108</v>
      </c>
      <c r="H61" s="303">
        <v>12141</v>
      </c>
      <c r="I61" s="304">
        <f t="shared" ref="I61:I79" si="4">H61-G61</f>
        <v>3033</v>
      </c>
    </row>
    <row r="62" spans="2:9" ht="17.25" customHeight="1">
      <c r="B62" s="283">
        <v>48</v>
      </c>
      <c r="C62" s="284" t="s">
        <v>111</v>
      </c>
      <c r="D62" s="285">
        <v>2519</v>
      </c>
      <c r="E62" s="285">
        <v>4966.16</v>
      </c>
      <c r="F62" s="285">
        <f>4966.16*2.2</f>
        <v>10925.552</v>
      </c>
      <c r="G62" s="286">
        <v>1743</v>
      </c>
      <c r="H62" s="305">
        <v>2561</v>
      </c>
      <c r="I62" s="306">
        <f t="shared" si="4"/>
        <v>818</v>
      </c>
    </row>
    <row r="63" spans="2:9" ht="17.25" customHeight="1">
      <c r="B63" s="283">
        <v>49</v>
      </c>
      <c r="C63" s="284" t="s">
        <v>112</v>
      </c>
      <c r="D63" s="285">
        <v>1138</v>
      </c>
      <c r="E63" s="285">
        <v>3764.85</v>
      </c>
      <c r="F63" s="285">
        <f>3764.85*2.2</f>
        <v>8282.67</v>
      </c>
      <c r="G63" s="286">
        <v>449</v>
      </c>
      <c r="H63" s="305">
        <v>4724</v>
      </c>
      <c r="I63" s="306">
        <f t="shared" si="4"/>
        <v>4275</v>
      </c>
    </row>
    <row r="64" spans="2:9" ht="17.25" customHeight="1">
      <c r="B64" s="283">
        <v>50</v>
      </c>
      <c r="C64" s="284" t="s">
        <v>242</v>
      </c>
      <c r="D64" s="285">
        <v>223</v>
      </c>
      <c r="E64" s="285">
        <v>902</v>
      </c>
      <c r="F64" s="285">
        <f>901.948*2.2</f>
        <v>1984.2856000000002</v>
      </c>
      <c r="G64" s="286">
        <v>24</v>
      </c>
      <c r="H64" s="305">
        <v>108</v>
      </c>
      <c r="I64" s="306">
        <f t="shared" si="4"/>
        <v>84</v>
      </c>
    </row>
    <row r="65" spans="2:9" ht="17.25" customHeight="1">
      <c r="B65" s="283">
        <v>51</v>
      </c>
      <c r="C65" s="284" t="s">
        <v>129</v>
      </c>
      <c r="D65" s="285">
        <v>792</v>
      </c>
      <c r="E65" s="285">
        <v>1346</v>
      </c>
      <c r="F65" s="285">
        <f>1346.434*2.2</f>
        <v>2962.1548000000003</v>
      </c>
      <c r="G65" s="286">
        <v>198</v>
      </c>
      <c r="H65" s="305">
        <v>984</v>
      </c>
      <c r="I65" s="306">
        <f t="shared" si="4"/>
        <v>786</v>
      </c>
    </row>
    <row r="66" spans="2:9" ht="17.25" customHeight="1">
      <c r="B66" s="283">
        <v>52</v>
      </c>
      <c r="C66" s="284" t="s">
        <v>145</v>
      </c>
      <c r="D66" s="285">
        <v>13540</v>
      </c>
      <c r="E66" s="285">
        <v>27227.29</v>
      </c>
      <c r="F66" s="285">
        <f>27227.29*2.2</f>
        <v>59900.038000000008</v>
      </c>
      <c r="G66" s="286">
        <v>6007</v>
      </c>
      <c r="H66" s="305">
        <v>9734</v>
      </c>
      <c r="I66" s="306">
        <f t="shared" si="4"/>
        <v>3727</v>
      </c>
    </row>
    <row r="67" spans="2:9" ht="17.25" customHeight="1">
      <c r="B67" s="283">
        <v>53</v>
      </c>
      <c r="C67" s="284" t="s">
        <v>146</v>
      </c>
      <c r="D67" s="285">
        <v>35212</v>
      </c>
      <c r="E67" s="285">
        <v>62798.31</v>
      </c>
      <c r="F67" s="285">
        <f>62798.31*1.6</f>
        <v>100477.296</v>
      </c>
      <c r="G67" s="286">
        <v>7686</v>
      </c>
      <c r="H67" s="305">
        <v>9812</v>
      </c>
      <c r="I67" s="306">
        <f t="shared" si="4"/>
        <v>2126</v>
      </c>
    </row>
    <row r="68" spans="2:9" ht="17.25" customHeight="1">
      <c r="B68" s="283">
        <v>54</v>
      </c>
      <c r="C68" s="284" t="s">
        <v>147</v>
      </c>
      <c r="D68" s="285">
        <v>9044</v>
      </c>
      <c r="E68" s="285">
        <v>28062.7</v>
      </c>
      <c r="F68" s="285">
        <f>28062.7*2.2</f>
        <v>61737.94000000001</v>
      </c>
      <c r="G68" s="286">
        <v>2682</v>
      </c>
      <c r="H68" s="305">
        <v>14332</v>
      </c>
      <c r="I68" s="306">
        <f t="shared" si="4"/>
        <v>11650</v>
      </c>
    </row>
    <row r="69" spans="2:9" ht="17.25" customHeight="1">
      <c r="B69" s="283">
        <v>55</v>
      </c>
      <c r="C69" s="316" t="s">
        <v>17</v>
      </c>
      <c r="D69" s="285">
        <v>2307.42</v>
      </c>
      <c r="E69" s="285">
        <v>6862.68</v>
      </c>
      <c r="F69" s="285">
        <f>6862.68*1.5</f>
        <v>10294.02</v>
      </c>
      <c r="G69" s="286">
        <v>1231</v>
      </c>
      <c r="H69" s="305">
        <v>2944</v>
      </c>
      <c r="I69" s="306">
        <f t="shared" si="4"/>
        <v>1713</v>
      </c>
    </row>
    <row r="70" spans="2:9" ht="17.25" customHeight="1">
      <c r="B70" s="283">
        <v>56</v>
      </c>
      <c r="C70" s="316" t="s">
        <v>18</v>
      </c>
      <c r="D70" s="285">
        <v>7320</v>
      </c>
      <c r="E70" s="285">
        <v>15352.97</v>
      </c>
      <c r="F70" s="285">
        <f>15352.97*1.5</f>
        <v>23029.454999999998</v>
      </c>
      <c r="G70" s="286">
        <v>4125</v>
      </c>
      <c r="H70" s="305">
        <v>5974</v>
      </c>
      <c r="I70" s="306">
        <f t="shared" si="4"/>
        <v>1849</v>
      </c>
    </row>
    <row r="71" spans="2:9" ht="17.25" customHeight="1">
      <c r="B71" s="283">
        <v>57</v>
      </c>
      <c r="C71" s="316" t="s">
        <v>19</v>
      </c>
      <c r="D71" s="285">
        <v>2541</v>
      </c>
      <c r="E71" s="285">
        <v>5739.74</v>
      </c>
      <c r="F71" s="285">
        <f>5739.74*1.5</f>
        <v>8609.61</v>
      </c>
      <c r="G71" s="286">
        <v>1680</v>
      </c>
      <c r="H71" s="305">
        <v>2472</v>
      </c>
      <c r="I71" s="306">
        <f t="shared" si="4"/>
        <v>792</v>
      </c>
    </row>
    <row r="72" spans="2:9" ht="17.25" customHeight="1">
      <c r="B72" s="283">
        <v>58</v>
      </c>
      <c r="C72" s="316" t="s">
        <v>20</v>
      </c>
      <c r="D72" s="285">
        <v>3470</v>
      </c>
      <c r="E72" s="285">
        <v>8675.99</v>
      </c>
      <c r="F72" s="285">
        <f>8675.99*1.5</f>
        <v>13013.985000000001</v>
      </c>
      <c r="G72" s="286">
        <v>1404</v>
      </c>
      <c r="H72" s="305">
        <v>3824</v>
      </c>
      <c r="I72" s="306">
        <f t="shared" si="4"/>
        <v>2420</v>
      </c>
    </row>
    <row r="73" spans="2:9" ht="17.25" customHeight="1">
      <c r="B73" s="283">
        <v>59</v>
      </c>
      <c r="C73" s="316" t="s">
        <v>9</v>
      </c>
      <c r="D73" s="285">
        <v>3483</v>
      </c>
      <c r="E73" s="285">
        <v>3172.16</v>
      </c>
      <c r="F73" s="285">
        <f>3172.16*1.5</f>
        <v>4758.24</v>
      </c>
      <c r="G73" s="286">
        <v>474</v>
      </c>
      <c r="H73" s="305">
        <v>551</v>
      </c>
      <c r="I73" s="306">
        <f t="shared" si="4"/>
        <v>77</v>
      </c>
    </row>
    <row r="74" spans="2:9" ht="17.25" customHeight="1">
      <c r="B74" s="283">
        <v>60</v>
      </c>
      <c r="C74" s="316" t="s">
        <v>115</v>
      </c>
      <c r="D74" s="285">
        <v>7886</v>
      </c>
      <c r="E74" s="285">
        <v>10755.57</v>
      </c>
      <c r="F74" s="285">
        <f>10755.57*1.5</f>
        <v>16133.355</v>
      </c>
      <c r="G74" s="286">
        <v>3315</v>
      </c>
      <c r="H74" s="305">
        <v>3695</v>
      </c>
      <c r="I74" s="306">
        <f t="shared" si="4"/>
        <v>380</v>
      </c>
    </row>
    <row r="75" spans="2:9" ht="17.25" customHeight="1">
      <c r="B75" s="283">
        <v>61</v>
      </c>
      <c r="C75" s="316" t="s">
        <v>11</v>
      </c>
      <c r="D75" s="285">
        <v>2857</v>
      </c>
      <c r="E75" s="285">
        <v>9014.5300000000007</v>
      </c>
      <c r="F75" s="285">
        <f>9014.53*1.5</f>
        <v>13521.795000000002</v>
      </c>
      <c r="G75" s="286">
        <v>1118</v>
      </c>
      <c r="H75" s="305">
        <v>2387</v>
      </c>
      <c r="I75" s="306">
        <f t="shared" si="4"/>
        <v>1269</v>
      </c>
    </row>
    <row r="76" spans="2:9" ht="17.25" customHeight="1">
      <c r="B76" s="283">
        <v>62</v>
      </c>
      <c r="C76" s="316" t="s">
        <v>13</v>
      </c>
      <c r="D76" s="285">
        <v>7148</v>
      </c>
      <c r="E76" s="285">
        <v>13203.6</v>
      </c>
      <c r="F76" s="285">
        <f>13203.6*1.5</f>
        <v>19805.400000000001</v>
      </c>
      <c r="G76" s="286">
        <v>4529</v>
      </c>
      <c r="H76" s="305">
        <v>6108</v>
      </c>
      <c r="I76" s="306">
        <f t="shared" si="4"/>
        <v>1579</v>
      </c>
    </row>
    <row r="77" spans="2:9" ht="17.25" customHeight="1">
      <c r="B77" s="283">
        <v>63</v>
      </c>
      <c r="C77" s="316" t="s">
        <v>14</v>
      </c>
      <c r="D77" s="285">
        <v>8602</v>
      </c>
      <c r="E77" s="285">
        <v>15370.76</v>
      </c>
      <c r="F77" s="285">
        <f>15370.76*1.5</f>
        <v>23056.14</v>
      </c>
      <c r="G77" s="286">
        <v>4006</v>
      </c>
      <c r="H77" s="305">
        <v>5904</v>
      </c>
      <c r="I77" s="306">
        <f t="shared" si="4"/>
        <v>1898</v>
      </c>
    </row>
    <row r="78" spans="2:9" ht="17.25" customHeight="1">
      <c r="B78" s="289">
        <v>64</v>
      </c>
      <c r="C78" s="317" t="s">
        <v>15</v>
      </c>
      <c r="D78" s="291">
        <v>7669</v>
      </c>
      <c r="E78" s="291">
        <v>11726.01</v>
      </c>
      <c r="F78" s="291">
        <f>11726.01*1.5</f>
        <v>17589.014999999999</v>
      </c>
      <c r="G78" s="292">
        <v>784</v>
      </c>
      <c r="H78" s="307">
        <v>1011</v>
      </c>
      <c r="I78" s="328">
        <f t="shared" si="4"/>
        <v>227</v>
      </c>
    </row>
    <row r="79" spans="2:9" ht="17.25" customHeight="1">
      <c r="B79" s="1192" t="s">
        <v>116</v>
      </c>
      <c r="C79" s="1193"/>
      <c r="D79" s="295">
        <v>172927</v>
      </c>
      <c r="E79" s="295">
        <f>SUM(E61:E78)</f>
        <v>326123.39</v>
      </c>
      <c r="F79" s="297">
        <f>SUM(F61:F78)</f>
        <v>541854.0564</v>
      </c>
      <c r="G79" s="329">
        <f>SUM(G61:G78)</f>
        <v>50563</v>
      </c>
      <c r="H79" s="330">
        <f>SUM(H61:H78)</f>
        <v>89266</v>
      </c>
      <c r="I79" s="331">
        <f t="shared" si="4"/>
        <v>38703</v>
      </c>
    </row>
    <row r="80" spans="2:9" ht="17.25" customHeight="1">
      <c r="B80" s="332"/>
      <c r="C80" s="332"/>
      <c r="D80" s="333"/>
      <c r="E80" s="333"/>
      <c r="F80" s="333"/>
      <c r="G80" s="139"/>
      <c r="H80" s="139"/>
      <c r="I80" s="139"/>
    </row>
    <row r="81" spans="2:9" ht="17.25" customHeight="1">
      <c r="B81" s="289">
        <v>65</v>
      </c>
      <c r="C81" s="334" t="s">
        <v>26</v>
      </c>
      <c r="D81" s="335">
        <v>110016</v>
      </c>
      <c r="E81" s="335">
        <v>176965.45</v>
      </c>
      <c r="F81" s="335">
        <f>176965.45*1.5</f>
        <v>265448.17500000005</v>
      </c>
      <c r="G81" s="336">
        <v>9974</v>
      </c>
      <c r="H81" s="337">
        <v>13403</v>
      </c>
      <c r="I81" s="313">
        <f>H81-G81</f>
        <v>3429</v>
      </c>
    </row>
    <row r="82" spans="2:9" ht="17.25" customHeight="1">
      <c r="B82" s="338"/>
      <c r="C82" s="339"/>
      <c r="D82" s="340"/>
      <c r="E82" s="340"/>
      <c r="F82" s="340"/>
      <c r="G82" s="139"/>
      <c r="H82" s="139"/>
      <c r="I82" s="139"/>
    </row>
    <row r="83" spans="2:9" ht="17.25" customHeight="1">
      <c r="B83" s="1194" t="s">
        <v>148</v>
      </c>
      <c r="C83" s="1195"/>
      <c r="D83" s="341">
        <v>465182</v>
      </c>
      <c r="E83" s="341">
        <v>924708.37</v>
      </c>
      <c r="F83" s="342">
        <f>F81+F79+F59+F32+F22+F15</f>
        <v>1682912.9144000001</v>
      </c>
      <c r="G83" s="336">
        <f>G81+G79+G59+G32+G22+G15</f>
        <v>117674</v>
      </c>
      <c r="H83" s="343">
        <f>H15+H22+H32+H59+H79+H81</f>
        <v>216360</v>
      </c>
      <c r="I83" s="313">
        <f>H83-G83</f>
        <v>98686</v>
      </c>
    </row>
    <row r="84" spans="2:9" ht="17.25" customHeight="1">
      <c r="B84" s="338"/>
      <c r="C84" s="344"/>
      <c r="D84" s="344"/>
      <c r="E84" s="344"/>
      <c r="F84" s="139"/>
      <c r="G84" s="139"/>
      <c r="H84" s="139"/>
      <c r="I84" s="139"/>
    </row>
    <row r="85" spans="2:9" ht="17.25" customHeight="1">
      <c r="B85" s="274"/>
      <c r="C85" s="1190"/>
      <c r="D85" s="1190"/>
      <c r="E85" s="1190"/>
      <c r="F85" s="1191"/>
      <c r="G85" s="1191"/>
      <c r="H85" s="1191"/>
      <c r="I85" s="1191"/>
    </row>
    <row r="86" spans="2:9" ht="17.25" customHeight="1">
      <c r="B86" s="274"/>
      <c r="C86" s="275" t="s">
        <v>369</v>
      </c>
      <c r="D86" s="269"/>
      <c r="E86" s="269"/>
      <c r="F86" s="267"/>
      <c r="G86" s="267"/>
      <c r="H86" s="267"/>
      <c r="I86" s="267"/>
    </row>
  </sheetData>
  <mergeCells count="19">
    <mergeCell ref="I4:I5"/>
    <mergeCell ref="B6:F6"/>
    <mergeCell ref="B15:C15"/>
    <mergeCell ref="B16:F16"/>
    <mergeCell ref="B2:H2"/>
    <mergeCell ref="B4:B5"/>
    <mergeCell ref="C4:C5"/>
    <mergeCell ref="D4:E4"/>
    <mergeCell ref="F4:F5"/>
    <mergeCell ref="G4:H4"/>
    <mergeCell ref="B22:C22"/>
    <mergeCell ref="B23:F23"/>
    <mergeCell ref="B32:C32"/>
    <mergeCell ref="B33:F33"/>
    <mergeCell ref="C85:I85"/>
    <mergeCell ref="B59:C59"/>
    <mergeCell ref="B60:F60"/>
    <mergeCell ref="B79:C79"/>
    <mergeCell ref="B83:C83"/>
  </mergeCells>
  <phoneticPr fontId="10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17"/>
  <dimension ref="A1:GA179"/>
  <sheetViews>
    <sheetView topLeftCell="A4" workbookViewId="0">
      <pane xSplit="2" ySplit="3" topLeftCell="C7" activePane="bottomRight" state="frozen"/>
      <selection activeCell="A4" sqref="A4"/>
      <selection pane="topRight" activeCell="C4" sqref="C4"/>
      <selection pane="bottomLeft" activeCell="A7" sqref="A7"/>
      <selection pane="bottomRight" activeCell="C7" sqref="C7"/>
    </sheetView>
  </sheetViews>
  <sheetFormatPr defaultRowHeight="15"/>
  <cols>
    <col min="1" max="1" width="6.5703125" style="13" customWidth="1"/>
    <col min="2" max="2" width="35.85546875" style="14" customWidth="1"/>
    <col min="3" max="7" width="20.7109375" customWidth="1"/>
    <col min="8" max="8" width="20.7109375" style="356" customWidth="1"/>
    <col min="9" max="12" width="20.7109375" customWidth="1"/>
    <col min="13" max="13" width="20.7109375" style="357" customWidth="1"/>
    <col min="14" max="14" width="20.7109375" style="356" customWidth="1"/>
    <col min="15" max="17" width="20.7109375" customWidth="1"/>
    <col min="18" max="18" width="20.7109375" style="25" customWidth="1"/>
    <col min="19" max="19" width="20.7109375" customWidth="1"/>
    <col min="20" max="20" width="20.7109375" style="356" customWidth="1"/>
    <col min="21" max="25" width="20.7109375" customWidth="1"/>
    <col min="26" max="26" width="20.7109375" style="356" customWidth="1"/>
    <col min="27" max="31" width="20.7109375" customWidth="1"/>
    <col min="32" max="32" width="20.7109375" style="356" customWidth="1"/>
    <col min="33" max="37" width="20.7109375" customWidth="1"/>
    <col min="38" max="38" width="20.7109375" style="356" customWidth="1"/>
    <col min="39" max="43" width="20.7109375" customWidth="1"/>
    <col min="44" max="44" width="20.7109375" style="356" customWidth="1"/>
    <col min="45" max="48" width="20.7109375" customWidth="1"/>
    <col min="49" max="50" width="20.7109375" style="357" customWidth="1"/>
    <col min="51" max="55" width="20.7109375" style="27" customWidth="1"/>
    <col min="56" max="62" width="20.7109375" style="359" customWidth="1"/>
    <col min="63" max="67" width="20.7109375" style="27" customWidth="1"/>
    <col min="68" max="68" width="20.7109375" style="359" customWidth="1"/>
    <col min="69" max="73" width="22.7109375" customWidth="1"/>
    <col min="74" max="74" width="22.7109375" style="356" customWidth="1"/>
    <col min="75" max="79" width="20.7109375" customWidth="1"/>
    <col min="80" max="80" width="20.7109375" style="356" customWidth="1"/>
    <col min="81" max="85" width="20.7109375" customWidth="1"/>
    <col min="86" max="86" width="20.7109375" style="356" customWidth="1"/>
    <col min="87" max="91" width="20.7109375" customWidth="1"/>
    <col min="92" max="92" width="20.7109375" style="356" customWidth="1"/>
    <col min="93" max="97" width="20.7109375" customWidth="1"/>
    <col min="98" max="98" width="20.7109375" style="356" customWidth="1"/>
    <col min="99" max="103" width="20.7109375" customWidth="1"/>
    <col min="104" max="104" width="20.7109375" style="356" customWidth="1"/>
    <col min="105" max="109" width="20.7109375" customWidth="1"/>
    <col min="110" max="110" width="20.7109375" style="356" customWidth="1"/>
    <col min="111" max="115" width="20.7109375" customWidth="1"/>
    <col min="116" max="116" width="20.7109375" style="356" customWidth="1"/>
    <col min="117" max="121" width="20.7109375" customWidth="1"/>
    <col min="122" max="128" width="20.7109375" style="356" customWidth="1"/>
    <col min="129" max="133" width="20.7109375" customWidth="1"/>
    <col min="134" max="146" width="20.7109375" style="356" customWidth="1"/>
    <col min="147" max="151" width="20.7109375" customWidth="1"/>
    <col min="152" max="152" width="20.7109375" style="356" customWidth="1"/>
    <col min="153" max="153" width="12.85546875" customWidth="1"/>
    <col min="154" max="154" width="13" customWidth="1"/>
    <col min="155" max="155" width="11.42578125" customWidth="1"/>
    <col min="156" max="156" width="13" customWidth="1"/>
    <col min="159" max="159" width="15.7109375" customWidth="1"/>
  </cols>
  <sheetData>
    <row r="1" spans="1:159" ht="15" hidden="1" customHeight="1"/>
    <row r="2" spans="1:159" ht="15" hidden="1" customHeight="1"/>
    <row r="3" spans="1:159" ht="15" hidden="1" customHeight="1"/>
    <row r="5" spans="1:159" ht="15.75" thickBot="1">
      <c r="B5" s="44" t="s">
        <v>423</v>
      </c>
    </row>
    <row r="6" spans="1:159" s="424" customFormat="1" ht="55.5" customHeight="1" thickTop="1">
      <c r="A6" s="1256" t="s">
        <v>82</v>
      </c>
      <c r="B6" s="1258" t="s">
        <v>414</v>
      </c>
      <c r="C6" s="1225" t="s">
        <v>83</v>
      </c>
      <c r="D6" s="1226"/>
      <c r="E6" s="1226"/>
      <c r="F6" s="1226"/>
      <c r="G6" s="1226"/>
      <c r="H6" s="1248"/>
      <c r="I6" s="1225" t="s">
        <v>84</v>
      </c>
      <c r="J6" s="1226"/>
      <c r="K6" s="1226"/>
      <c r="L6" s="1226"/>
      <c r="M6" s="1226"/>
      <c r="N6" s="1227"/>
      <c r="O6" s="1225" t="s">
        <v>85</v>
      </c>
      <c r="P6" s="1226"/>
      <c r="Q6" s="1226"/>
      <c r="R6" s="1226"/>
      <c r="S6" s="1226"/>
      <c r="T6" s="1227"/>
      <c r="U6" s="1225" t="s">
        <v>86</v>
      </c>
      <c r="V6" s="1226"/>
      <c r="W6" s="1226"/>
      <c r="X6" s="1226"/>
      <c r="Y6" s="1226"/>
      <c r="Z6" s="1227"/>
      <c r="AA6" s="1225" t="s">
        <v>87</v>
      </c>
      <c r="AB6" s="1226"/>
      <c r="AC6" s="1226"/>
      <c r="AD6" s="1226"/>
      <c r="AE6" s="1226"/>
      <c r="AF6" s="1227"/>
      <c r="AG6" s="1225" t="s">
        <v>88</v>
      </c>
      <c r="AH6" s="1226"/>
      <c r="AI6" s="1226"/>
      <c r="AJ6" s="1226"/>
      <c r="AK6" s="1226"/>
      <c r="AL6" s="1227"/>
      <c r="AM6" s="1225" t="s">
        <v>101</v>
      </c>
      <c r="AN6" s="1226"/>
      <c r="AO6" s="1226"/>
      <c r="AP6" s="1226"/>
      <c r="AQ6" s="1226"/>
      <c r="AR6" s="1227"/>
      <c r="AS6" s="1250" t="s">
        <v>125</v>
      </c>
      <c r="AT6" s="1251"/>
      <c r="AU6" s="1251"/>
      <c r="AV6" s="1251"/>
      <c r="AW6" s="1251"/>
      <c r="AX6" s="1252"/>
      <c r="AY6" s="1225" t="s">
        <v>102</v>
      </c>
      <c r="AZ6" s="1226"/>
      <c r="BA6" s="1226"/>
      <c r="BB6" s="1226"/>
      <c r="BC6" s="1226"/>
      <c r="BD6" s="1227"/>
      <c r="BE6" s="1253" t="s">
        <v>246</v>
      </c>
      <c r="BF6" s="1254"/>
      <c r="BG6" s="1254"/>
      <c r="BH6" s="1254"/>
      <c r="BI6" s="1254"/>
      <c r="BJ6" s="1255"/>
      <c r="BK6" s="1225" t="s">
        <v>237</v>
      </c>
      <c r="BL6" s="1226"/>
      <c r="BM6" s="1226"/>
      <c r="BN6" s="1226"/>
      <c r="BO6" s="1226"/>
      <c r="BP6" s="1227"/>
      <c r="BQ6" s="1249" t="s">
        <v>103</v>
      </c>
      <c r="BR6" s="1249"/>
      <c r="BS6" s="1249"/>
      <c r="BT6" s="1249"/>
      <c r="BU6" s="1249"/>
      <c r="BV6" s="1249"/>
      <c r="BW6" s="1225" t="s">
        <v>91</v>
      </c>
      <c r="BX6" s="1226"/>
      <c r="BY6" s="1226"/>
      <c r="BZ6" s="1226"/>
      <c r="CA6" s="1226"/>
      <c r="CB6" s="1227"/>
      <c r="CC6" s="1225" t="s">
        <v>92</v>
      </c>
      <c r="CD6" s="1226"/>
      <c r="CE6" s="1226"/>
      <c r="CF6" s="1226"/>
      <c r="CG6" s="1226"/>
      <c r="CH6" s="1227"/>
      <c r="CI6" s="1245" t="s">
        <v>93</v>
      </c>
      <c r="CJ6" s="1246"/>
      <c r="CK6" s="1246"/>
      <c r="CL6" s="1246"/>
      <c r="CM6" s="1246"/>
      <c r="CN6" s="1247"/>
      <c r="CO6" s="1225" t="s">
        <v>99</v>
      </c>
      <c r="CP6" s="1226"/>
      <c r="CQ6" s="1226"/>
      <c r="CR6" s="1226"/>
      <c r="CS6" s="1226"/>
      <c r="CT6" s="1227"/>
      <c r="CU6" s="1225" t="s">
        <v>98</v>
      </c>
      <c r="CV6" s="1226"/>
      <c r="CW6" s="1226"/>
      <c r="CX6" s="1226"/>
      <c r="CY6" s="1226"/>
      <c r="CZ6" s="1248"/>
      <c r="DA6" s="1237" t="s">
        <v>90</v>
      </c>
      <c r="DB6" s="1238"/>
      <c r="DC6" s="1238"/>
      <c r="DD6" s="1238"/>
      <c r="DE6" s="1238"/>
      <c r="DF6" s="1239"/>
      <c r="DG6" s="1236"/>
      <c r="DH6" s="1236"/>
      <c r="DI6" s="1236"/>
      <c r="DJ6" s="1236"/>
      <c r="DK6" s="1236"/>
      <c r="DL6" s="1236"/>
      <c r="DM6" s="1237" t="s">
        <v>134</v>
      </c>
      <c r="DN6" s="1238"/>
      <c r="DO6" s="1238"/>
      <c r="DP6" s="1238"/>
      <c r="DQ6" s="1238"/>
      <c r="DR6" s="1239"/>
      <c r="DS6" s="1240"/>
      <c r="DT6" s="1240"/>
      <c r="DU6" s="1240"/>
      <c r="DV6" s="1240"/>
      <c r="DW6" s="1240"/>
      <c r="DX6" s="1241"/>
      <c r="DY6" s="1242" t="s">
        <v>89</v>
      </c>
      <c r="DZ6" s="1243"/>
      <c r="EA6" s="1243"/>
      <c r="EB6" s="1243"/>
      <c r="EC6" s="1243"/>
      <c r="ED6" s="1244"/>
      <c r="EE6" s="1225" t="s">
        <v>390</v>
      </c>
      <c r="EF6" s="1226"/>
      <c r="EG6" s="1226"/>
      <c r="EH6" s="1226"/>
      <c r="EI6" s="1226"/>
      <c r="EJ6" s="1227"/>
      <c r="EK6" s="1228" t="s">
        <v>433</v>
      </c>
      <c r="EL6" s="1229"/>
      <c r="EM6" s="1229"/>
      <c r="EN6" s="1229"/>
      <c r="EO6" s="1229"/>
      <c r="EP6" s="1230"/>
      <c r="EQ6" s="1228" t="s">
        <v>404</v>
      </c>
      <c r="ER6" s="1229"/>
      <c r="ES6" s="1229"/>
      <c r="ET6" s="1229"/>
      <c r="EU6" s="1229"/>
      <c r="EV6" s="1230"/>
    </row>
    <row r="7" spans="1:159" s="27" customFormat="1" ht="70.5" customHeight="1">
      <c r="A7" s="1257"/>
      <c r="B7" s="1259"/>
      <c r="C7" s="415" t="s">
        <v>403</v>
      </c>
      <c r="D7" s="416" t="s">
        <v>424</v>
      </c>
      <c r="E7" s="416" t="s">
        <v>425</v>
      </c>
      <c r="F7" s="416" t="s">
        <v>426</v>
      </c>
      <c r="G7" s="417" t="s">
        <v>373</v>
      </c>
      <c r="H7" s="532" t="s">
        <v>374</v>
      </c>
      <c r="I7" s="415" t="s">
        <v>403</v>
      </c>
      <c r="J7" s="416" t="s">
        <v>424</v>
      </c>
      <c r="K7" s="416" t="s">
        <v>425</v>
      </c>
      <c r="L7" s="416" t="s">
        <v>426</v>
      </c>
      <c r="M7" s="417" t="s">
        <v>373</v>
      </c>
      <c r="N7" s="532" t="s">
        <v>374</v>
      </c>
      <c r="O7" s="415" t="s">
        <v>403</v>
      </c>
      <c r="P7" s="416" t="s">
        <v>424</v>
      </c>
      <c r="Q7" s="416" t="s">
        <v>425</v>
      </c>
      <c r="R7" s="416" t="s">
        <v>426</v>
      </c>
      <c r="S7" s="417" t="s">
        <v>373</v>
      </c>
      <c r="T7" s="532" t="s">
        <v>374</v>
      </c>
      <c r="U7" s="415" t="s">
        <v>403</v>
      </c>
      <c r="V7" s="416" t="s">
        <v>424</v>
      </c>
      <c r="W7" s="416" t="s">
        <v>425</v>
      </c>
      <c r="X7" s="416" t="s">
        <v>426</v>
      </c>
      <c r="Y7" s="417" t="s">
        <v>373</v>
      </c>
      <c r="Z7" s="532" t="s">
        <v>374</v>
      </c>
      <c r="AA7" s="415" t="s">
        <v>403</v>
      </c>
      <c r="AB7" s="416" t="s">
        <v>424</v>
      </c>
      <c r="AC7" s="416" t="s">
        <v>425</v>
      </c>
      <c r="AD7" s="416" t="s">
        <v>426</v>
      </c>
      <c r="AE7" s="417" t="s">
        <v>373</v>
      </c>
      <c r="AF7" s="532" t="s">
        <v>374</v>
      </c>
      <c r="AG7" s="415" t="s">
        <v>403</v>
      </c>
      <c r="AH7" s="416" t="s">
        <v>424</v>
      </c>
      <c r="AI7" s="416" t="s">
        <v>425</v>
      </c>
      <c r="AJ7" s="416" t="s">
        <v>426</v>
      </c>
      <c r="AK7" s="417" t="s">
        <v>373</v>
      </c>
      <c r="AL7" s="532" t="s">
        <v>374</v>
      </c>
      <c r="AM7" s="415" t="s">
        <v>403</v>
      </c>
      <c r="AN7" s="416" t="s">
        <v>424</v>
      </c>
      <c r="AO7" s="416" t="s">
        <v>425</v>
      </c>
      <c r="AP7" s="416" t="s">
        <v>426</v>
      </c>
      <c r="AQ7" s="417" t="s">
        <v>373</v>
      </c>
      <c r="AR7" s="532" t="s">
        <v>374</v>
      </c>
      <c r="AS7" s="415" t="s">
        <v>403</v>
      </c>
      <c r="AT7" s="416" t="s">
        <v>424</v>
      </c>
      <c r="AU7" s="416" t="s">
        <v>425</v>
      </c>
      <c r="AV7" s="416" t="s">
        <v>426</v>
      </c>
      <c r="AW7" s="417" t="s">
        <v>373</v>
      </c>
      <c r="AX7" s="532" t="s">
        <v>374</v>
      </c>
      <c r="AY7" s="415" t="s">
        <v>403</v>
      </c>
      <c r="AZ7" s="416" t="s">
        <v>424</v>
      </c>
      <c r="BA7" s="416" t="s">
        <v>425</v>
      </c>
      <c r="BB7" s="416" t="s">
        <v>426</v>
      </c>
      <c r="BC7" s="417" t="s">
        <v>373</v>
      </c>
      <c r="BD7" s="532" t="s">
        <v>374</v>
      </c>
      <c r="BE7" s="415" t="s">
        <v>403</v>
      </c>
      <c r="BF7" s="416" t="s">
        <v>424</v>
      </c>
      <c r="BG7" s="416" t="s">
        <v>425</v>
      </c>
      <c r="BH7" s="416" t="s">
        <v>426</v>
      </c>
      <c r="BI7" s="417" t="s">
        <v>373</v>
      </c>
      <c r="BJ7" s="532" t="s">
        <v>374</v>
      </c>
      <c r="BK7" s="415" t="s">
        <v>403</v>
      </c>
      <c r="BL7" s="416" t="s">
        <v>424</v>
      </c>
      <c r="BM7" s="416" t="s">
        <v>425</v>
      </c>
      <c r="BN7" s="416" t="s">
        <v>426</v>
      </c>
      <c r="BO7" s="417" t="s">
        <v>373</v>
      </c>
      <c r="BP7" s="532" t="s">
        <v>374</v>
      </c>
      <c r="BQ7" s="415" t="s">
        <v>403</v>
      </c>
      <c r="BR7" s="416" t="s">
        <v>424</v>
      </c>
      <c r="BS7" s="416" t="s">
        <v>425</v>
      </c>
      <c r="BT7" s="416" t="s">
        <v>426</v>
      </c>
      <c r="BU7" s="417" t="s">
        <v>373</v>
      </c>
      <c r="BV7" s="532" t="s">
        <v>374</v>
      </c>
      <c r="BW7" s="415" t="s">
        <v>403</v>
      </c>
      <c r="BX7" s="416" t="s">
        <v>424</v>
      </c>
      <c r="BY7" s="416" t="s">
        <v>425</v>
      </c>
      <c r="BZ7" s="416" t="s">
        <v>426</v>
      </c>
      <c r="CA7" s="417" t="s">
        <v>373</v>
      </c>
      <c r="CB7" s="532" t="s">
        <v>374</v>
      </c>
      <c r="CC7" s="415" t="s">
        <v>403</v>
      </c>
      <c r="CD7" s="416" t="s">
        <v>424</v>
      </c>
      <c r="CE7" s="416" t="s">
        <v>425</v>
      </c>
      <c r="CF7" s="416" t="s">
        <v>426</v>
      </c>
      <c r="CG7" s="417" t="s">
        <v>373</v>
      </c>
      <c r="CH7" s="532" t="s">
        <v>374</v>
      </c>
      <c r="CI7" s="415" t="s">
        <v>403</v>
      </c>
      <c r="CJ7" s="416" t="s">
        <v>424</v>
      </c>
      <c r="CK7" s="416" t="s">
        <v>425</v>
      </c>
      <c r="CL7" s="416" t="s">
        <v>426</v>
      </c>
      <c r="CM7" s="417" t="s">
        <v>373</v>
      </c>
      <c r="CN7" s="532" t="s">
        <v>374</v>
      </c>
      <c r="CO7" s="415" t="s">
        <v>403</v>
      </c>
      <c r="CP7" s="416" t="s">
        <v>424</v>
      </c>
      <c r="CQ7" s="416" t="s">
        <v>425</v>
      </c>
      <c r="CR7" s="416" t="s">
        <v>426</v>
      </c>
      <c r="CS7" s="417" t="s">
        <v>373</v>
      </c>
      <c r="CT7" s="532" t="s">
        <v>374</v>
      </c>
      <c r="CU7" s="415" t="s">
        <v>403</v>
      </c>
      <c r="CV7" s="416" t="s">
        <v>424</v>
      </c>
      <c r="CW7" s="416" t="s">
        <v>425</v>
      </c>
      <c r="CX7" s="416" t="s">
        <v>426</v>
      </c>
      <c r="CY7" s="417" t="s">
        <v>373</v>
      </c>
      <c r="CZ7" s="532" t="s">
        <v>374</v>
      </c>
      <c r="DA7" s="695" t="s">
        <v>403</v>
      </c>
      <c r="DB7" s="416" t="s">
        <v>424</v>
      </c>
      <c r="DC7" s="416" t="s">
        <v>425</v>
      </c>
      <c r="DD7" s="416" t="s">
        <v>426</v>
      </c>
      <c r="DE7" s="417" t="s">
        <v>373</v>
      </c>
      <c r="DF7" s="696" t="s">
        <v>374</v>
      </c>
      <c r="DG7" s="720" t="s">
        <v>403</v>
      </c>
      <c r="DH7" s="677" t="s">
        <v>424</v>
      </c>
      <c r="DI7" s="677" t="s">
        <v>425</v>
      </c>
      <c r="DJ7" s="677" t="s">
        <v>426</v>
      </c>
      <c r="DK7" s="678" t="s">
        <v>373</v>
      </c>
      <c r="DL7" s="679" t="s">
        <v>374</v>
      </c>
      <c r="DM7" s="695" t="s">
        <v>403</v>
      </c>
      <c r="DN7" s="416" t="s">
        <v>424</v>
      </c>
      <c r="DO7" s="416" t="s">
        <v>425</v>
      </c>
      <c r="DP7" s="416" t="s">
        <v>426</v>
      </c>
      <c r="DQ7" s="417" t="s">
        <v>373</v>
      </c>
      <c r="DR7" s="696" t="s">
        <v>374</v>
      </c>
      <c r="DS7" s="680" t="s">
        <v>403</v>
      </c>
      <c r="DT7" s="416" t="s">
        <v>424</v>
      </c>
      <c r="DU7" s="416" t="s">
        <v>425</v>
      </c>
      <c r="DV7" s="416" t="s">
        <v>426</v>
      </c>
      <c r="DW7" s="417" t="s">
        <v>373</v>
      </c>
      <c r="DX7" s="532" t="s">
        <v>374</v>
      </c>
      <c r="DY7" s="415" t="s">
        <v>403</v>
      </c>
      <c r="DZ7" s="416" t="s">
        <v>424</v>
      </c>
      <c r="EA7" s="416" t="s">
        <v>425</v>
      </c>
      <c r="EB7" s="416" t="s">
        <v>426</v>
      </c>
      <c r="EC7" s="417" t="s">
        <v>373</v>
      </c>
      <c r="ED7" s="532" t="s">
        <v>374</v>
      </c>
      <c r="EE7" s="415" t="s">
        <v>403</v>
      </c>
      <c r="EF7" s="416" t="s">
        <v>424</v>
      </c>
      <c r="EG7" s="416" t="s">
        <v>425</v>
      </c>
      <c r="EH7" s="416" t="s">
        <v>426</v>
      </c>
      <c r="EI7" s="417" t="s">
        <v>373</v>
      </c>
      <c r="EJ7" s="532" t="s">
        <v>374</v>
      </c>
      <c r="EK7" s="415" t="s">
        <v>403</v>
      </c>
      <c r="EL7" s="416" t="s">
        <v>424</v>
      </c>
      <c r="EM7" s="416" t="s">
        <v>425</v>
      </c>
      <c r="EN7" s="416" t="s">
        <v>426</v>
      </c>
      <c r="EO7" s="417" t="s">
        <v>373</v>
      </c>
      <c r="EP7" s="532" t="s">
        <v>374</v>
      </c>
      <c r="EQ7" s="415" t="s">
        <v>403</v>
      </c>
      <c r="ER7" s="416" t="s">
        <v>424</v>
      </c>
      <c r="ES7" s="416" t="s">
        <v>425</v>
      </c>
      <c r="ET7" s="416" t="s">
        <v>426</v>
      </c>
      <c r="EU7" s="417" t="s">
        <v>373</v>
      </c>
      <c r="EV7" s="532" t="s">
        <v>374</v>
      </c>
    </row>
    <row r="8" spans="1:159" ht="16.5" customHeight="1" thickBot="1">
      <c r="A8" s="1231" t="s">
        <v>76</v>
      </c>
      <c r="B8" s="1232"/>
      <c r="C8" s="1233"/>
      <c r="D8" s="15"/>
      <c r="E8" s="15"/>
      <c r="F8" s="15"/>
      <c r="G8" s="15"/>
      <c r="H8" s="162"/>
      <c r="I8" s="533"/>
      <c r="J8" s="418"/>
      <c r="K8" s="418"/>
      <c r="L8" s="418"/>
      <c r="M8" s="534"/>
      <c r="N8" s="419"/>
      <c r="O8" s="533"/>
      <c r="P8" s="418"/>
      <c r="Q8" s="418"/>
      <c r="R8" s="535"/>
      <c r="S8" s="418"/>
      <c r="T8" s="419"/>
      <c r="U8" s="533"/>
      <c r="V8" s="36"/>
      <c r="W8" s="418"/>
      <c r="X8" s="418"/>
      <c r="Y8" s="418"/>
      <c r="Z8" s="419"/>
      <c r="AA8" s="533"/>
      <c r="AB8" s="418"/>
      <c r="AC8" s="418"/>
      <c r="AD8" s="418"/>
      <c r="AE8" s="418"/>
      <c r="AF8" s="419"/>
      <c r="AG8" s="533"/>
      <c r="AH8" s="418"/>
      <c r="AI8" s="418"/>
      <c r="AJ8" s="418"/>
      <c r="AK8" s="418"/>
      <c r="AL8" s="419"/>
      <c r="AM8" s="533"/>
      <c r="AN8" s="418"/>
      <c r="AO8" s="418"/>
      <c r="AP8" s="418"/>
      <c r="AQ8" s="418"/>
      <c r="AR8" s="419"/>
      <c r="AS8" s="533"/>
      <c r="AT8" s="418"/>
      <c r="AU8" s="418"/>
      <c r="AV8" s="418"/>
      <c r="AW8" s="534"/>
      <c r="AX8" s="540"/>
      <c r="AY8" s="542"/>
      <c r="AZ8" s="122"/>
      <c r="BA8" s="122"/>
      <c r="BB8" s="122"/>
      <c r="BC8" s="122"/>
      <c r="BD8" s="543"/>
      <c r="BE8" s="675"/>
      <c r="BF8" s="675"/>
      <c r="BG8" s="675"/>
      <c r="BH8" s="675"/>
      <c r="BI8" s="675"/>
      <c r="BJ8" s="675"/>
      <c r="BK8" s="546"/>
      <c r="BL8" s="122"/>
      <c r="BM8" s="122"/>
      <c r="BN8" s="122"/>
      <c r="BO8" s="122"/>
      <c r="BP8" s="543"/>
      <c r="BQ8" s="15"/>
      <c r="BR8" s="15"/>
      <c r="BS8" s="15"/>
      <c r="BT8" s="15"/>
      <c r="BU8" s="15"/>
      <c r="BV8" s="162"/>
      <c r="BW8" s="533"/>
      <c r="BX8" s="418"/>
      <c r="BY8" s="418"/>
      <c r="BZ8" s="418"/>
      <c r="CA8" s="418"/>
      <c r="CB8" s="419"/>
      <c r="CC8" s="533"/>
      <c r="CD8" s="418"/>
      <c r="CE8" s="418"/>
      <c r="CF8" s="418"/>
      <c r="CG8" s="418"/>
      <c r="CH8" s="419"/>
      <c r="CI8" s="15"/>
      <c r="CJ8" s="15"/>
      <c r="CK8" s="15"/>
      <c r="CL8" s="15"/>
      <c r="CM8" s="15"/>
      <c r="CN8" s="162"/>
      <c r="CO8" s="533"/>
      <c r="CP8" s="418"/>
      <c r="CQ8" s="418"/>
      <c r="CR8" s="418"/>
      <c r="CS8" s="418"/>
      <c r="CT8" s="419"/>
      <c r="CU8" s="533"/>
      <c r="CV8" s="418"/>
      <c r="CW8" s="418"/>
      <c r="CX8" s="418"/>
      <c r="CY8" s="418"/>
      <c r="CZ8" s="693"/>
      <c r="DA8" s="722"/>
      <c r="DB8" s="422"/>
      <c r="DC8" s="422"/>
      <c r="DD8" s="422"/>
      <c r="DE8" s="422"/>
      <c r="DF8" s="723"/>
      <c r="DG8" s="681"/>
      <c r="DH8" s="418"/>
      <c r="DI8" s="418"/>
      <c r="DJ8" s="418"/>
      <c r="DK8" s="418"/>
      <c r="DL8" s="693"/>
      <c r="DM8" s="697"/>
      <c r="DN8" s="418"/>
      <c r="DO8" s="418"/>
      <c r="DP8" s="418"/>
      <c r="DQ8" s="418"/>
      <c r="DR8" s="698"/>
      <c r="DS8" s="614"/>
      <c r="DT8" s="614"/>
      <c r="DU8" s="614"/>
      <c r="DV8" s="614"/>
      <c r="DW8" s="614"/>
      <c r="DX8" s="614"/>
      <c r="DY8" s="662"/>
      <c r="DZ8" s="663"/>
      <c r="EA8" s="663"/>
      <c r="EB8" s="663"/>
      <c r="EC8" s="663"/>
      <c r="ED8" s="664"/>
      <c r="EE8" s="583"/>
      <c r="EF8" s="584"/>
      <c r="EG8" s="584"/>
      <c r="EH8" s="584"/>
      <c r="EI8" s="584"/>
      <c r="EJ8" s="419"/>
      <c r="EK8" s="614"/>
      <c r="EL8" s="614"/>
      <c r="EM8" s="614"/>
      <c r="EN8" s="614"/>
      <c r="EO8" s="614"/>
      <c r="EP8" s="614"/>
      <c r="EQ8" s="1234"/>
      <c r="ER8" s="1235"/>
      <c r="ES8" s="1235"/>
      <c r="ET8" s="1235"/>
      <c r="EU8" s="1235"/>
      <c r="EV8" s="593"/>
    </row>
    <row r="9" spans="1:159" s="439" customFormat="1" ht="18.95" customHeight="1" thickTop="1">
      <c r="A9" s="426">
        <v>1</v>
      </c>
      <c r="B9" s="427" t="s">
        <v>70</v>
      </c>
      <c r="C9" s="425">
        <f>6619343+36406</f>
        <v>6655749</v>
      </c>
      <c r="D9" s="428">
        <v>363172</v>
      </c>
      <c r="E9" s="428">
        <v>565821</v>
      </c>
      <c r="F9" s="428">
        <f t="shared" ref="F9:F16" si="0">SUM(C9+D9-E9)</f>
        <v>6453100</v>
      </c>
      <c r="G9" s="428">
        <v>4536</v>
      </c>
      <c r="H9" s="632"/>
      <c r="I9" s="442">
        <f>3012887+1343</f>
        <v>3014230</v>
      </c>
      <c r="J9" s="443">
        <v>102209</v>
      </c>
      <c r="K9" s="443">
        <v>262748</v>
      </c>
      <c r="L9" s="428">
        <f>SUM(I9+J9-K9)</f>
        <v>2853691</v>
      </c>
      <c r="M9" s="508">
        <v>1615</v>
      </c>
      <c r="N9" s="453"/>
      <c r="O9" s="425">
        <f>2124618+142.5</f>
        <v>2124760.5</v>
      </c>
      <c r="P9" s="428">
        <v>220810</v>
      </c>
      <c r="Q9" s="428">
        <v>155206.5</v>
      </c>
      <c r="R9" s="428">
        <f>SUM(O9+P9-Q9)</f>
        <v>2190364</v>
      </c>
      <c r="S9" s="443">
        <v>1</v>
      </c>
      <c r="T9" s="536"/>
      <c r="U9" s="425">
        <f>1551432+14544</f>
        <v>1565976</v>
      </c>
      <c r="V9" s="428">
        <v>237347.26</v>
      </c>
      <c r="W9" s="428">
        <v>168818.46</v>
      </c>
      <c r="X9" s="428">
        <f>SUM(U9+V9-W9)</f>
        <v>1634504.8</v>
      </c>
      <c r="Y9" s="428">
        <v>892</v>
      </c>
      <c r="Z9" s="453"/>
      <c r="AA9" s="425">
        <v>0</v>
      </c>
      <c r="AB9" s="428"/>
      <c r="AC9" s="428"/>
      <c r="AD9" s="428">
        <f>SUM(AA9+AB9-AC9)</f>
        <v>0</v>
      </c>
      <c r="AE9" s="428"/>
      <c r="AF9" s="453"/>
      <c r="AG9" s="425">
        <v>0</v>
      </c>
      <c r="AH9" s="428"/>
      <c r="AI9" s="428"/>
      <c r="AJ9" s="428">
        <f>SUM(AG9+AH9-AI9)</f>
        <v>0</v>
      </c>
      <c r="AK9" s="428"/>
      <c r="AL9" s="453"/>
      <c r="AM9" s="425">
        <v>0</v>
      </c>
      <c r="AN9" s="428"/>
      <c r="AO9" s="428"/>
      <c r="AP9" s="428">
        <f>SUM(AM9+AN9-AO9)</f>
        <v>0</v>
      </c>
      <c r="AQ9" s="428"/>
      <c r="AR9" s="453"/>
      <c r="AS9" s="425">
        <v>0</v>
      </c>
      <c r="AT9" s="428">
        <v>0</v>
      </c>
      <c r="AU9" s="428">
        <v>0</v>
      </c>
      <c r="AV9" s="428">
        <f>SUM(AS9+AT9-AU9)</f>
        <v>0</v>
      </c>
      <c r="AW9" s="508">
        <v>0</v>
      </c>
      <c r="AX9" s="453">
        <v>0</v>
      </c>
      <c r="AY9" s="544">
        <f>4341530+17552</f>
        <v>4359082</v>
      </c>
      <c r="AZ9" s="444">
        <v>163806</v>
      </c>
      <c r="BA9" s="444">
        <v>542963</v>
      </c>
      <c r="BB9" s="444">
        <f>SUM(AY9+AZ9-BA9)</f>
        <v>3979925</v>
      </c>
      <c r="BC9" s="428">
        <v>1697</v>
      </c>
      <c r="BD9" s="453"/>
      <c r="BE9" s="502"/>
      <c r="BF9" s="428"/>
      <c r="BG9" s="428"/>
      <c r="BH9" s="428">
        <f>SUM(BE9+BF9-BG9)</f>
        <v>0</v>
      </c>
      <c r="BI9" s="21"/>
      <c r="BJ9" s="625"/>
      <c r="BK9" s="425">
        <v>600370.06000000006</v>
      </c>
      <c r="BL9" s="428" t="e">
        <f>SUM(#REF!)</f>
        <v>#REF!</v>
      </c>
      <c r="BM9" s="428" t="e">
        <f>SUM(#REF!)</f>
        <v>#REF!</v>
      </c>
      <c r="BN9" s="428" t="e">
        <f>SUM(#REF!)</f>
        <v>#REF!</v>
      </c>
      <c r="BO9" s="428" t="e">
        <f>SUM(#REF!)</f>
        <v>#REF!</v>
      </c>
      <c r="BP9" s="428" t="e">
        <f>SUM(#REF!)</f>
        <v>#REF!</v>
      </c>
      <c r="BQ9" s="741">
        <f t="shared" ref="BQ9:BV16" si="1">SUM(C9+I9+O9+AA9+AG9+AM9+AS9+U9+AY9+BK9+BE9)</f>
        <v>18320167.559999999</v>
      </c>
      <c r="BR9" s="741" t="e">
        <f t="shared" si="1"/>
        <v>#REF!</v>
      </c>
      <c r="BS9" s="741" t="e">
        <f t="shared" si="1"/>
        <v>#REF!</v>
      </c>
      <c r="BT9" s="741" t="e">
        <f t="shared" si="1"/>
        <v>#REF!</v>
      </c>
      <c r="BU9" s="562" t="e">
        <f t="shared" si="1"/>
        <v>#REF!</v>
      </c>
      <c r="BV9" s="676" t="e">
        <f t="shared" si="1"/>
        <v>#REF!</v>
      </c>
      <c r="BW9" s="502"/>
      <c r="BX9" s="429"/>
      <c r="BY9" s="429"/>
      <c r="BZ9" s="429"/>
      <c r="CA9" s="429">
        <f>SUM(BW9+BX9-BY9-BZ9)</f>
        <v>0</v>
      </c>
      <c r="CB9" s="430"/>
      <c r="CC9" s="502"/>
      <c r="CD9" s="429"/>
      <c r="CE9" s="429"/>
      <c r="CF9" s="429"/>
      <c r="CG9" s="429"/>
      <c r="CH9" s="430"/>
      <c r="CI9" s="435"/>
      <c r="CJ9" s="435"/>
      <c r="CK9" s="435"/>
      <c r="CL9" s="435"/>
      <c r="CM9" s="435"/>
      <c r="CN9" s="459"/>
      <c r="CO9" s="502"/>
      <c r="CP9" s="429"/>
      <c r="CQ9" s="429"/>
      <c r="CR9" s="428">
        <f>SUM(CO9+CP9-CQ9)</f>
        <v>0</v>
      </c>
      <c r="CS9" s="429"/>
      <c r="CT9" s="430"/>
      <c r="CU9" s="502"/>
      <c r="CV9" s="429"/>
      <c r="CW9" s="429"/>
      <c r="CX9" s="429"/>
      <c r="CY9" s="429"/>
      <c r="CZ9" s="714"/>
      <c r="DA9" s="722"/>
      <c r="DB9" s="422"/>
      <c r="DC9" s="422"/>
      <c r="DD9" s="9">
        <f>SUM(DA9+DB9-DC9)</f>
        <v>0</v>
      </c>
      <c r="DE9" s="422"/>
      <c r="DF9" s="723"/>
      <c r="DG9" s="472"/>
      <c r="DH9" s="472"/>
      <c r="DI9" s="472"/>
      <c r="DJ9" s="472"/>
      <c r="DK9" s="472"/>
      <c r="DL9" s="472"/>
      <c r="DM9" s="699"/>
      <c r="DN9" s="429"/>
      <c r="DO9" s="429"/>
      <c r="DP9" s="429"/>
      <c r="DQ9" s="429"/>
      <c r="DR9" s="700"/>
      <c r="DS9" s="615"/>
      <c r="DT9" s="615"/>
      <c r="DU9" s="615"/>
      <c r="DV9" s="615"/>
      <c r="DW9" s="615"/>
      <c r="DX9" s="615"/>
      <c r="DY9" s="665"/>
      <c r="DZ9" s="666"/>
      <c r="EA9" s="666"/>
      <c r="EB9" s="666"/>
      <c r="EC9" s="666"/>
      <c r="ED9" s="667"/>
      <c r="EE9" s="585"/>
      <c r="EF9" s="586"/>
      <c r="EG9" s="586"/>
      <c r="EH9" s="586"/>
      <c r="EI9" s="586"/>
      <c r="EJ9" s="430"/>
      <c r="EK9" s="688">
        <f t="shared" ref="EK9:EP16" si="2">SUM(BW9+CC9+CI9+CO9+CU9+DA9+DG9+DM9+DS9+DY9+EE9)</f>
        <v>0</v>
      </c>
      <c r="EL9" s="688">
        <f t="shared" si="2"/>
        <v>0</v>
      </c>
      <c r="EM9" s="688">
        <f t="shared" si="2"/>
        <v>0</v>
      </c>
      <c r="EN9" s="688">
        <f t="shared" si="2"/>
        <v>0</v>
      </c>
      <c r="EO9" s="688">
        <f t="shared" si="2"/>
        <v>0</v>
      </c>
      <c r="EP9" s="687">
        <f t="shared" si="2"/>
        <v>0</v>
      </c>
      <c r="EQ9" s="739">
        <f t="shared" ref="EQ9:EV16" si="3">SUM(EK9+BQ9)</f>
        <v>18320167.559999999</v>
      </c>
      <c r="ER9" s="739" t="e">
        <f t="shared" si="3"/>
        <v>#REF!</v>
      </c>
      <c r="ES9" s="739" t="e">
        <f t="shared" si="3"/>
        <v>#REF!</v>
      </c>
      <c r="ET9" s="739" t="e">
        <f t="shared" si="3"/>
        <v>#REF!</v>
      </c>
      <c r="EU9" s="739" t="e">
        <f t="shared" si="3"/>
        <v>#REF!</v>
      </c>
      <c r="EV9" s="740" t="e">
        <f t="shared" si="3"/>
        <v>#REF!</v>
      </c>
      <c r="EW9" s="438" t="e">
        <f>SUM('общ.сводрайон без курсовой '!C9-#REF!-#REF!)</f>
        <v>#REF!</v>
      </c>
      <c r="EX9" s="438" t="e">
        <f>SUM('общ.сводрайон без курсовой '!D9-#REF!-#REF!)</f>
        <v>#REF!</v>
      </c>
      <c r="EY9" s="438" t="e">
        <f>SUM('общ.сводрайон без курсовой '!E9-#REF!-#REF!)</f>
        <v>#REF!</v>
      </c>
      <c r="EZ9" s="438" t="e">
        <f>SUM('общ.сводрайон без курсовой '!F9-#REF!-#REF!)</f>
        <v>#REF!</v>
      </c>
      <c r="FC9" s="438"/>
    </row>
    <row r="10" spans="1:159" s="439" customFormat="1" ht="18.95" customHeight="1">
      <c r="A10" s="440">
        <v>2</v>
      </c>
      <c r="B10" s="441" t="s">
        <v>63</v>
      </c>
      <c r="C10" s="442">
        <f>537858+1710</f>
        <v>539568</v>
      </c>
      <c r="D10" s="443">
        <v>36004</v>
      </c>
      <c r="E10" s="443">
        <v>67475</v>
      </c>
      <c r="F10" s="428">
        <f t="shared" si="0"/>
        <v>508097</v>
      </c>
      <c r="G10" s="428">
        <v>425</v>
      </c>
      <c r="H10" s="632"/>
      <c r="I10" s="425">
        <v>0</v>
      </c>
      <c r="J10" s="428"/>
      <c r="K10" s="428"/>
      <c r="L10" s="428">
        <f t="shared" ref="L10:L16" si="4">SUM(I10+J10-K10)</f>
        <v>0</v>
      </c>
      <c r="M10" s="508"/>
      <c r="N10" s="453"/>
      <c r="O10" s="425">
        <v>828747</v>
      </c>
      <c r="P10" s="428">
        <v>83300</v>
      </c>
      <c r="Q10" s="428">
        <v>44688</v>
      </c>
      <c r="R10" s="428">
        <f t="shared" ref="R10:R16" si="5">SUM(O10+P10-Q10)</f>
        <v>867359</v>
      </c>
      <c r="S10" s="428"/>
      <c r="T10" s="453"/>
      <c r="U10" s="425">
        <f>29159+216</f>
        <v>29375</v>
      </c>
      <c r="V10" s="428">
        <v>260</v>
      </c>
      <c r="W10" s="428">
        <v>104</v>
      </c>
      <c r="X10" s="428">
        <f t="shared" ref="X10:X16" si="6">SUM(U10+V10-W10)</f>
        <v>29531</v>
      </c>
      <c r="Y10" s="428">
        <v>27</v>
      </c>
      <c r="Z10" s="453"/>
      <c r="AA10" s="425">
        <v>0</v>
      </c>
      <c r="AB10" s="428"/>
      <c r="AC10" s="428"/>
      <c r="AD10" s="428">
        <f t="shared" ref="AD10:AD16" si="7">SUM(AA10+AB10-AC10)</f>
        <v>0</v>
      </c>
      <c r="AE10" s="428"/>
      <c r="AF10" s="453"/>
      <c r="AG10" s="425">
        <v>0</v>
      </c>
      <c r="AH10" s="428"/>
      <c r="AI10" s="428"/>
      <c r="AJ10" s="428">
        <f t="shared" ref="AJ10:AJ16" si="8">SUM(AG10+AH10-AI10)</f>
        <v>0</v>
      </c>
      <c r="AK10" s="428"/>
      <c r="AL10" s="453"/>
      <c r="AM10" s="425">
        <v>0</v>
      </c>
      <c r="AN10" s="428"/>
      <c r="AO10" s="428"/>
      <c r="AP10" s="428">
        <f t="shared" ref="AP10:AP16" si="9">SUM(AM10+AN10-AO10)</f>
        <v>0</v>
      </c>
      <c r="AQ10" s="428"/>
      <c r="AR10" s="453"/>
      <c r="AS10" s="425">
        <v>0</v>
      </c>
      <c r="AT10" s="428">
        <v>0</v>
      </c>
      <c r="AU10" s="428">
        <v>0</v>
      </c>
      <c r="AV10" s="428">
        <f t="shared" ref="AV10:AV16" si="10">SUM(AS10+AT10-AU10)</f>
        <v>0</v>
      </c>
      <c r="AW10" s="508">
        <v>0</v>
      </c>
      <c r="AX10" s="453">
        <v>0</v>
      </c>
      <c r="AY10" s="544">
        <f>1798172+3118</f>
        <v>1801290</v>
      </c>
      <c r="AZ10" s="444">
        <v>0</v>
      </c>
      <c r="BA10" s="444">
        <v>113126</v>
      </c>
      <c r="BB10" s="444">
        <f t="shared" ref="BB10:BB16" si="11">SUM(AY10+AZ10-BA10)</f>
        <v>1688164</v>
      </c>
      <c r="BC10" s="428">
        <v>576</v>
      </c>
      <c r="BD10" s="453"/>
      <c r="BE10" s="502"/>
      <c r="BF10" s="428"/>
      <c r="BG10" s="428"/>
      <c r="BH10" s="428">
        <f t="shared" ref="BH10:BH16" si="12">SUM(BE10+BF10-BG10)</f>
        <v>0</v>
      </c>
      <c r="BI10" s="83"/>
      <c r="BJ10" s="626"/>
      <c r="BK10" s="425">
        <v>6200</v>
      </c>
      <c r="BL10" s="428" t="e">
        <f>SUM(#REF!)</f>
        <v>#REF!</v>
      </c>
      <c r="BM10" s="428" t="e">
        <f>SUM(#REF!)</f>
        <v>#REF!</v>
      </c>
      <c r="BN10" s="428" t="e">
        <f>SUM(#REF!)</f>
        <v>#REF!</v>
      </c>
      <c r="BO10" s="428" t="e">
        <f>SUM(#REF!)</f>
        <v>#REF!</v>
      </c>
      <c r="BP10" s="428" t="e">
        <f>SUM(#REF!)</f>
        <v>#REF!</v>
      </c>
      <c r="BQ10" s="741">
        <f t="shared" si="1"/>
        <v>3205180</v>
      </c>
      <c r="BR10" s="741" t="e">
        <f t="shared" si="1"/>
        <v>#REF!</v>
      </c>
      <c r="BS10" s="741" t="e">
        <f t="shared" si="1"/>
        <v>#REF!</v>
      </c>
      <c r="BT10" s="741" t="e">
        <f t="shared" si="1"/>
        <v>#REF!</v>
      </c>
      <c r="BU10" s="562" t="e">
        <f t="shared" si="1"/>
        <v>#REF!</v>
      </c>
      <c r="BV10" s="676" t="e">
        <f t="shared" si="1"/>
        <v>#REF!</v>
      </c>
      <c r="BW10" s="502"/>
      <c r="BX10" s="429"/>
      <c r="BY10" s="429"/>
      <c r="BZ10" s="429"/>
      <c r="CA10" s="429">
        <f t="shared" ref="CA10:CA16" si="13">SUM(BW10+BX10-BY10-BZ10)</f>
        <v>0</v>
      </c>
      <c r="CB10" s="430"/>
      <c r="CC10" s="502"/>
      <c r="CD10" s="429"/>
      <c r="CE10" s="429"/>
      <c r="CF10" s="429"/>
      <c r="CG10" s="429"/>
      <c r="CH10" s="430"/>
      <c r="CI10" s="435"/>
      <c r="CJ10" s="435"/>
      <c r="CK10" s="435"/>
      <c r="CL10" s="435"/>
      <c r="CM10" s="435"/>
      <c r="CN10" s="459"/>
      <c r="CO10" s="502"/>
      <c r="CP10" s="429"/>
      <c r="CQ10" s="429"/>
      <c r="CR10" s="428">
        <f t="shared" ref="CR10:CR16" si="14">SUM(CO10+CP10-CQ10)</f>
        <v>0</v>
      </c>
      <c r="CS10" s="429"/>
      <c r="CT10" s="430"/>
      <c r="CU10" s="502"/>
      <c r="CV10" s="429"/>
      <c r="CW10" s="429"/>
      <c r="CX10" s="429"/>
      <c r="CY10" s="429"/>
      <c r="CZ10" s="714"/>
      <c r="DA10" s="722"/>
      <c r="DB10" s="422"/>
      <c r="DC10" s="422"/>
      <c r="DD10" s="9">
        <f t="shared" ref="DD10:DD16" si="15">SUM(DA10+DB10-DC10)</f>
        <v>0</v>
      </c>
      <c r="DE10" s="422"/>
      <c r="DF10" s="723"/>
      <c r="DG10" s="472"/>
      <c r="DH10" s="472"/>
      <c r="DI10" s="472"/>
      <c r="DJ10" s="472"/>
      <c r="DK10" s="472"/>
      <c r="DL10" s="472"/>
      <c r="DM10" s="699"/>
      <c r="DN10" s="429"/>
      <c r="DO10" s="429"/>
      <c r="DP10" s="429"/>
      <c r="DQ10" s="429"/>
      <c r="DR10" s="700"/>
      <c r="DS10" s="615"/>
      <c r="DT10" s="615"/>
      <c r="DU10" s="615"/>
      <c r="DV10" s="615"/>
      <c r="DW10" s="615"/>
      <c r="DX10" s="615"/>
      <c r="DY10" s="502"/>
      <c r="DZ10" s="429"/>
      <c r="EA10" s="429"/>
      <c r="EB10" s="429"/>
      <c r="EC10" s="429"/>
      <c r="ED10" s="430"/>
      <c r="EE10" s="585"/>
      <c r="EF10" s="586"/>
      <c r="EG10" s="586"/>
      <c r="EH10" s="586"/>
      <c r="EI10" s="586"/>
      <c r="EJ10" s="430"/>
      <c r="EK10" s="688">
        <f t="shared" si="2"/>
        <v>0</v>
      </c>
      <c r="EL10" s="688">
        <f t="shared" si="2"/>
        <v>0</v>
      </c>
      <c r="EM10" s="688">
        <f t="shared" si="2"/>
        <v>0</v>
      </c>
      <c r="EN10" s="688">
        <f t="shared" si="2"/>
        <v>0</v>
      </c>
      <c r="EO10" s="688">
        <f t="shared" si="2"/>
        <v>0</v>
      </c>
      <c r="EP10" s="687">
        <f t="shared" si="2"/>
        <v>0</v>
      </c>
      <c r="EQ10" s="739">
        <f t="shared" si="3"/>
        <v>3205180</v>
      </c>
      <c r="ER10" s="739" t="e">
        <f t="shared" si="3"/>
        <v>#REF!</v>
      </c>
      <c r="ES10" s="739" t="e">
        <f t="shared" si="3"/>
        <v>#REF!</v>
      </c>
      <c r="ET10" s="739" t="e">
        <f t="shared" si="3"/>
        <v>#REF!</v>
      </c>
      <c r="EU10" s="739" t="e">
        <f t="shared" si="3"/>
        <v>#REF!</v>
      </c>
      <c r="EV10" s="740" t="e">
        <f t="shared" si="3"/>
        <v>#REF!</v>
      </c>
      <c r="EW10" s="438" t="e">
        <f>SUM('общ.сводрайон без курсовой '!C10-#REF!-#REF!)</f>
        <v>#REF!</v>
      </c>
      <c r="EX10" s="438" t="e">
        <f>SUM('общ.сводрайон без курсовой '!D10-#REF!-#REF!)</f>
        <v>#REF!</v>
      </c>
      <c r="EY10" s="438" t="e">
        <f>SUM('общ.сводрайон без курсовой '!E10-#REF!-#REF!)</f>
        <v>#REF!</v>
      </c>
      <c r="EZ10" s="438" t="e">
        <f>SUM('общ.сводрайон без курсовой '!F10-#REF!-#REF!)</f>
        <v>#REF!</v>
      </c>
    </row>
    <row r="11" spans="1:159" s="439" customFormat="1" ht="18.95" customHeight="1">
      <c r="A11" s="440">
        <v>3</v>
      </c>
      <c r="B11" s="441" t="s">
        <v>64</v>
      </c>
      <c r="C11" s="442">
        <f>1245998-28843</f>
        <v>1217155</v>
      </c>
      <c r="D11" s="443">
        <v>124337</v>
      </c>
      <c r="E11" s="443">
        <v>74164</v>
      </c>
      <c r="F11" s="428">
        <f t="shared" si="0"/>
        <v>1267328</v>
      </c>
      <c r="G11" s="428">
        <v>741</v>
      </c>
      <c r="H11" s="632"/>
      <c r="I11" s="425">
        <v>0</v>
      </c>
      <c r="J11" s="428"/>
      <c r="K11" s="428"/>
      <c r="L11" s="428">
        <f t="shared" si="4"/>
        <v>0</v>
      </c>
      <c r="M11" s="508"/>
      <c r="N11" s="453"/>
      <c r="O11" s="425">
        <f>787575-1183</f>
        <v>786392</v>
      </c>
      <c r="P11" s="428">
        <v>131364</v>
      </c>
      <c r="Q11" s="428">
        <v>82367</v>
      </c>
      <c r="R11" s="428">
        <f t="shared" si="5"/>
        <v>835389</v>
      </c>
      <c r="S11" s="443"/>
      <c r="T11" s="536"/>
      <c r="U11" s="425">
        <v>0</v>
      </c>
      <c r="V11" s="428"/>
      <c r="W11" s="428"/>
      <c r="X11" s="428">
        <f t="shared" si="6"/>
        <v>0</v>
      </c>
      <c r="Y11" s="428"/>
      <c r="Z11" s="453"/>
      <c r="AA11" s="425">
        <v>0</v>
      </c>
      <c r="AB11" s="428"/>
      <c r="AC11" s="428"/>
      <c r="AD11" s="428">
        <f t="shared" si="7"/>
        <v>0</v>
      </c>
      <c r="AE11" s="428"/>
      <c r="AF11" s="453"/>
      <c r="AG11" s="425">
        <v>0</v>
      </c>
      <c r="AH11" s="428"/>
      <c r="AI11" s="428"/>
      <c r="AJ11" s="428">
        <f t="shared" si="8"/>
        <v>0</v>
      </c>
      <c r="AK11" s="428"/>
      <c r="AL11" s="453"/>
      <c r="AM11" s="425">
        <v>0</v>
      </c>
      <c r="AN11" s="428"/>
      <c r="AO11" s="428"/>
      <c r="AP11" s="428">
        <f t="shared" si="9"/>
        <v>0</v>
      </c>
      <c r="AQ11" s="428"/>
      <c r="AR11" s="453"/>
      <c r="AS11" s="425">
        <v>0</v>
      </c>
      <c r="AT11" s="428">
        <v>0</v>
      </c>
      <c r="AU11" s="428">
        <v>0</v>
      </c>
      <c r="AV11" s="428">
        <f t="shared" si="10"/>
        <v>0</v>
      </c>
      <c r="AW11" s="508">
        <v>0</v>
      </c>
      <c r="AX11" s="453">
        <v>0</v>
      </c>
      <c r="AY11" s="544">
        <f>914493+1900</f>
        <v>916393</v>
      </c>
      <c r="AZ11" s="444">
        <v>27605</v>
      </c>
      <c r="BA11" s="444">
        <v>31732</v>
      </c>
      <c r="BB11" s="444">
        <f t="shared" si="11"/>
        <v>912266</v>
      </c>
      <c r="BC11" s="428">
        <v>418</v>
      </c>
      <c r="BD11" s="453"/>
      <c r="BE11" s="502"/>
      <c r="BF11" s="428"/>
      <c r="BG11" s="428"/>
      <c r="BH11" s="428">
        <f t="shared" si="12"/>
        <v>0</v>
      </c>
      <c r="BI11" s="83"/>
      <c r="BJ11" s="626"/>
      <c r="BK11" s="425">
        <v>0</v>
      </c>
      <c r="BL11" s="428" t="e">
        <f>SUM(#REF!)</f>
        <v>#REF!</v>
      </c>
      <c r="BM11" s="428" t="e">
        <f>SUM(#REF!)</f>
        <v>#REF!</v>
      </c>
      <c r="BN11" s="428" t="e">
        <f>SUM(#REF!)</f>
        <v>#REF!</v>
      </c>
      <c r="BO11" s="428" t="e">
        <f>SUM(#REF!)</f>
        <v>#REF!</v>
      </c>
      <c r="BP11" s="428" t="e">
        <f>SUM(#REF!)</f>
        <v>#REF!</v>
      </c>
      <c r="BQ11" s="741">
        <f t="shared" si="1"/>
        <v>2919940</v>
      </c>
      <c r="BR11" s="741" t="e">
        <f t="shared" si="1"/>
        <v>#REF!</v>
      </c>
      <c r="BS11" s="741" t="e">
        <f t="shared" si="1"/>
        <v>#REF!</v>
      </c>
      <c r="BT11" s="741" t="e">
        <f t="shared" si="1"/>
        <v>#REF!</v>
      </c>
      <c r="BU11" s="562" t="e">
        <f t="shared" si="1"/>
        <v>#REF!</v>
      </c>
      <c r="BV11" s="676" t="e">
        <f t="shared" si="1"/>
        <v>#REF!</v>
      </c>
      <c r="BW11" s="502"/>
      <c r="BX11" s="429"/>
      <c r="BY11" s="429"/>
      <c r="BZ11" s="429"/>
      <c r="CA11" s="429">
        <f t="shared" si="13"/>
        <v>0</v>
      </c>
      <c r="CB11" s="430"/>
      <c r="CC11" s="502"/>
      <c r="CD11" s="429"/>
      <c r="CE11" s="429"/>
      <c r="CF11" s="429"/>
      <c r="CG11" s="429"/>
      <c r="CH11" s="430"/>
      <c r="CI11" s="435"/>
      <c r="CJ11" s="435"/>
      <c r="CK11" s="435"/>
      <c r="CL11" s="435"/>
      <c r="CM11" s="435"/>
      <c r="CN11" s="459"/>
      <c r="CO11" s="502"/>
      <c r="CP11" s="429"/>
      <c r="CQ11" s="429"/>
      <c r="CR11" s="428">
        <f t="shared" si="14"/>
        <v>0</v>
      </c>
      <c r="CS11" s="429"/>
      <c r="CT11" s="430"/>
      <c r="CU11" s="502"/>
      <c r="CV11" s="429"/>
      <c r="CW11" s="429"/>
      <c r="CX11" s="429"/>
      <c r="CY11" s="429"/>
      <c r="CZ11" s="714"/>
      <c r="DA11" s="722"/>
      <c r="DB11" s="422"/>
      <c r="DC11" s="422"/>
      <c r="DD11" s="9">
        <f t="shared" si="15"/>
        <v>0</v>
      </c>
      <c r="DE11" s="422"/>
      <c r="DF11" s="723"/>
      <c r="DG11" s="472"/>
      <c r="DH11" s="472"/>
      <c r="DI11" s="472"/>
      <c r="DJ11" s="472"/>
      <c r="DK11" s="472"/>
      <c r="DL11" s="472"/>
      <c r="DM11" s="699"/>
      <c r="DN11" s="429"/>
      <c r="DO11" s="429"/>
      <c r="DP11" s="429"/>
      <c r="DQ11" s="429"/>
      <c r="DR11" s="700"/>
      <c r="DS11" s="615"/>
      <c r="DT11" s="615"/>
      <c r="DU11" s="615"/>
      <c r="DV11" s="615"/>
      <c r="DW11" s="615"/>
      <c r="DX11" s="615"/>
      <c r="DY11" s="502"/>
      <c r="DZ11" s="429"/>
      <c r="EA11" s="429"/>
      <c r="EB11" s="429"/>
      <c r="EC11" s="429"/>
      <c r="ED11" s="430"/>
      <c r="EE11" s="585"/>
      <c r="EF11" s="586"/>
      <c r="EG11" s="586"/>
      <c r="EH11" s="586"/>
      <c r="EI11" s="586"/>
      <c r="EJ11" s="430"/>
      <c r="EK11" s="688">
        <f t="shared" si="2"/>
        <v>0</v>
      </c>
      <c r="EL11" s="688">
        <f t="shared" si="2"/>
        <v>0</v>
      </c>
      <c r="EM11" s="688">
        <f t="shared" si="2"/>
        <v>0</v>
      </c>
      <c r="EN11" s="688">
        <f t="shared" si="2"/>
        <v>0</v>
      </c>
      <c r="EO11" s="688">
        <f t="shared" si="2"/>
        <v>0</v>
      </c>
      <c r="EP11" s="687">
        <f t="shared" si="2"/>
        <v>0</v>
      </c>
      <c r="EQ11" s="739">
        <f t="shared" si="3"/>
        <v>2919940</v>
      </c>
      <c r="ER11" s="739" t="e">
        <f t="shared" si="3"/>
        <v>#REF!</v>
      </c>
      <c r="ES11" s="739" t="e">
        <f t="shared" si="3"/>
        <v>#REF!</v>
      </c>
      <c r="ET11" s="739" t="e">
        <f t="shared" si="3"/>
        <v>#REF!</v>
      </c>
      <c r="EU11" s="739" t="e">
        <f t="shared" si="3"/>
        <v>#REF!</v>
      </c>
      <c r="EV11" s="740" t="e">
        <f t="shared" si="3"/>
        <v>#REF!</v>
      </c>
      <c r="EW11" s="438" t="e">
        <f>SUM('общ.сводрайон без курсовой '!C11-#REF!-#REF!)</f>
        <v>#REF!</v>
      </c>
      <c r="EX11" s="438" t="e">
        <f>SUM('общ.сводрайон без курсовой '!D11-#REF!-#REF!)</f>
        <v>#REF!</v>
      </c>
      <c r="EY11" s="438" t="e">
        <f>SUM('общ.сводрайон без курсовой '!E11-#REF!-#REF!)</f>
        <v>#REF!</v>
      </c>
      <c r="EZ11" s="438" t="e">
        <f>SUM('общ.сводрайон без курсовой '!F11-#REF!-#REF!)</f>
        <v>#REF!</v>
      </c>
    </row>
    <row r="12" spans="1:159" s="439" customFormat="1" ht="18.95" customHeight="1">
      <c r="A12" s="440">
        <f>A11+1</f>
        <v>4</v>
      </c>
      <c r="B12" s="441" t="s">
        <v>65</v>
      </c>
      <c r="C12" s="425">
        <f>467406-8648</f>
        <v>458758</v>
      </c>
      <c r="D12" s="428">
        <v>0</v>
      </c>
      <c r="E12" s="428">
        <v>52025</v>
      </c>
      <c r="F12" s="428">
        <f t="shared" si="0"/>
        <v>406733</v>
      </c>
      <c r="G12" s="428">
        <v>249</v>
      </c>
      <c r="H12" s="632"/>
      <c r="I12" s="425">
        <v>0</v>
      </c>
      <c r="J12" s="428"/>
      <c r="K12" s="428"/>
      <c r="L12" s="428">
        <f t="shared" si="4"/>
        <v>0</v>
      </c>
      <c r="M12" s="508"/>
      <c r="N12" s="453"/>
      <c r="O12" s="425">
        <v>899592</v>
      </c>
      <c r="P12" s="428">
        <v>77800</v>
      </c>
      <c r="Q12" s="428">
        <v>68194</v>
      </c>
      <c r="R12" s="428">
        <f t="shared" si="5"/>
        <v>909198</v>
      </c>
      <c r="S12" s="428"/>
      <c r="T12" s="453"/>
      <c r="U12" s="425">
        <f>31594+155</f>
        <v>31749</v>
      </c>
      <c r="V12" s="428"/>
      <c r="W12" s="428"/>
      <c r="X12" s="428">
        <f t="shared" si="6"/>
        <v>31749</v>
      </c>
      <c r="Y12" s="428"/>
      <c r="Z12" s="453"/>
      <c r="AA12" s="425">
        <v>0</v>
      </c>
      <c r="AB12" s="428"/>
      <c r="AC12" s="428"/>
      <c r="AD12" s="428">
        <f t="shared" si="7"/>
        <v>0</v>
      </c>
      <c r="AE12" s="428"/>
      <c r="AF12" s="453"/>
      <c r="AG12" s="425">
        <v>0</v>
      </c>
      <c r="AH12" s="428"/>
      <c r="AI12" s="428"/>
      <c r="AJ12" s="428">
        <f t="shared" si="8"/>
        <v>0</v>
      </c>
      <c r="AK12" s="428"/>
      <c r="AL12" s="453"/>
      <c r="AM12" s="425">
        <v>0</v>
      </c>
      <c r="AN12" s="428"/>
      <c r="AO12" s="428"/>
      <c r="AP12" s="428">
        <f t="shared" si="9"/>
        <v>0</v>
      </c>
      <c r="AQ12" s="428"/>
      <c r="AR12" s="453"/>
      <c r="AS12" s="425">
        <v>0</v>
      </c>
      <c r="AT12" s="428">
        <v>0</v>
      </c>
      <c r="AU12" s="428">
        <v>0</v>
      </c>
      <c r="AV12" s="428">
        <f t="shared" si="10"/>
        <v>0</v>
      </c>
      <c r="AW12" s="508">
        <v>0</v>
      </c>
      <c r="AX12" s="453">
        <v>0</v>
      </c>
      <c r="AY12" s="544">
        <f>536387+1433</f>
        <v>537820</v>
      </c>
      <c r="AZ12" s="444">
        <v>32000</v>
      </c>
      <c r="BA12" s="444">
        <v>33484</v>
      </c>
      <c r="BB12" s="444">
        <f t="shared" si="11"/>
        <v>536336</v>
      </c>
      <c r="BC12" s="428">
        <v>235</v>
      </c>
      <c r="BD12" s="453"/>
      <c r="BE12" s="502"/>
      <c r="BF12" s="428"/>
      <c r="BG12" s="428"/>
      <c r="BH12" s="428">
        <f t="shared" si="12"/>
        <v>0</v>
      </c>
      <c r="BI12" s="83"/>
      <c r="BJ12" s="626"/>
      <c r="BK12" s="425">
        <v>0</v>
      </c>
      <c r="BL12" s="428" t="e">
        <f>SUM(#REF!)</f>
        <v>#REF!</v>
      </c>
      <c r="BM12" s="428" t="e">
        <f>SUM(#REF!)</f>
        <v>#REF!</v>
      </c>
      <c r="BN12" s="428" t="e">
        <f>SUM(#REF!)</f>
        <v>#REF!</v>
      </c>
      <c r="BO12" s="428" t="e">
        <f>SUM(#REF!)</f>
        <v>#REF!</v>
      </c>
      <c r="BP12" s="428" t="e">
        <f>SUM(#REF!)</f>
        <v>#REF!</v>
      </c>
      <c r="BQ12" s="741">
        <f t="shared" si="1"/>
        <v>1927919</v>
      </c>
      <c r="BR12" s="741" t="e">
        <f t="shared" si="1"/>
        <v>#REF!</v>
      </c>
      <c r="BS12" s="741" t="e">
        <f t="shared" si="1"/>
        <v>#REF!</v>
      </c>
      <c r="BT12" s="741" t="e">
        <f t="shared" si="1"/>
        <v>#REF!</v>
      </c>
      <c r="BU12" s="562" t="e">
        <f t="shared" si="1"/>
        <v>#REF!</v>
      </c>
      <c r="BV12" s="676" t="e">
        <f t="shared" si="1"/>
        <v>#REF!</v>
      </c>
      <c r="BW12" s="502"/>
      <c r="BX12" s="429"/>
      <c r="BY12" s="429"/>
      <c r="BZ12" s="429"/>
      <c r="CA12" s="429">
        <f t="shared" si="13"/>
        <v>0</v>
      </c>
      <c r="CB12" s="430"/>
      <c r="CC12" s="502"/>
      <c r="CD12" s="429"/>
      <c r="CE12" s="429"/>
      <c r="CF12" s="429"/>
      <c r="CG12" s="429"/>
      <c r="CH12" s="430"/>
      <c r="CI12" s="435"/>
      <c r="CJ12" s="435"/>
      <c r="CK12" s="435"/>
      <c r="CL12" s="435"/>
      <c r="CM12" s="435"/>
      <c r="CN12" s="459"/>
      <c r="CO12" s="502"/>
      <c r="CP12" s="429"/>
      <c r="CQ12" s="429"/>
      <c r="CR12" s="428">
        <f t="shared" si="14"/>
        <v>0</v>
      </c>
      <c r="CS12" s="429"/>
      <c r="CT12" s="430"/>
      <c r="CU12" s="502"/>
      <c r="CV12" s="429"/>
      <c r="CW12" s="429"/>
      <c r="CX12" s="429"/>
      <c r="CY12" s="429"/>
      <c r="CZ12" s="714"/>
      <c r="DA12" s="722"/>
      <c r="DB12" s="422"/>
      <c r="DC12" s="422"/>
      <c r="DD12" s="9">
        <f t="shared" si="15"/>
        <v>0</v>
      </c>
      <c r="DE12" s="422"/>
      <c r="DF12" s="723"/>
      <c r="DG12" s="472"/>
      <c r="DH12" s="472"/>
      <c r="DI12" s="472"/>
      <c r="DJ12" s="472"/>
      <c r="DK12" s="472"/>
      <c r="DL12" s="472"/>
      <c r="DM12" s="699"/>
      <c r="DN12" s="429"/>
      <c r="DO12" s="429"/>
      <c r="DP12" s="429"/>
      <c r="DQ12" s="429"/>
      <c r="DR12" s="700"/>
      <c r="DS12" s="615"/>
      <c r="DT12" s="615"/>
      <c r="DU12" s="615"/>
      <c r="DV12" s="615"/>
      <c r="DW12" s="615"/>
      <c r="DX12" s="615"/>
      <c r="DY12" s="502"/>
      <c r="DZ12" s="429"/>
      <c r="EA12" s="429"/>
      <c r="EB12" s="429"/>
      <c r="EC12" s="429"/>
      <c r="ED12" s="430"/>
      <c r="EE12" s="585"/>
      <c r="EF12" s="586"/>
      <c r="EG12" s="586"/>
      <c r="EH12" s="586"/>
      <c r="EI12" s="586"/>
      <c r="EJ12" s="430"/>
      <c r="EK12" s="688">
        <f t="shared" si="2"/>
        <v>0</v>
      </c>
      <c r="EL12" s="688">
        <f t="shared" si="2"/>
        <v>0</v>
      </c>
      <c r="EM12" s="688">
        <f t="shared" si="2"/>
        <v>0</v>
      </c>
      <c r="EN12" s="688">
        <f t="shared" si="2"/>
        <v>0</v>
      </c>
      <c r="EO12" s="688">
        <f t="shared" si="2"/>
        <v>0</v>
      </c>
      <c r="EP12" s="687">
        <f t="shared" si="2"/>
        <v>0</v>
      </c>
      <c r="EQ12" s="739">
        <f t="shared" si="3"/>
        <v>1927919</v>
      </c>
      <c r="ER12" s="739" t="e">
        <f t="shared" si="3"/>
        <v>#REF!</v>
      </c>
      <c r="ES12" s="739" t="e">
        <f t="shared" si="3"/>
        <v>#REF!</v>
      </c>
      <c r="ET12" s="739" t="e">
        <f t="shared" si="3"/>
        <v>#REF!</v>
      </c>
      <c r="EU12" s="739" t="e">
        <f t="shared" si="3"/>
        <v>#REF!</v>
      </c>
      <c r="EV12" s="740" t="e">
        <f t="shared" si="3"/>
        <v>#REF!</v>
      </c>
      <c r="EW12" s="438" t="e">
        <f>SUM('общ.сводрайон без курсовой '!C12-#REF!-#REF!)</f>
        <v>#REF!</v>
      </c>
      <c r="EX12" s="438" t="e">
        <f>SUM('общ.сводрайон без курсовой '!D12-#REF!-#REF!)</f>
        <v>#REF!</v>
      </c>
      <c r="EY12" s="438" t="e">
        <f>SUM('общ.сводрайон без курсовой '!E12-#REF!-#REF!)</f>
        <v>#REF!</v>
      </c>
      <c r="EZ12" s="438" t="e">
        <f>SUM('общ.сводрайон без курсовой '!F12-#REF!-#REF!)</f>
        <v>#REF!</v>
      </c>
    </row>
    <row r="13" spans="1:159" s="439" customFormat="1" ht="18.95" customHeight="1">
      <c r="A13" s="440">
        <f>A12+1</f>
        <v>5</v>
      </c>
      <c r="B13" s="441" t="s">
        <v>66</v>
      </c>
      <c r="C13" s="425">
        <v>445865</v>
      </c>
      <c r="D13" s="428">
        <v>15605</v>
      </c>
      <c r="E13" s="428">
        <v>40912</v>
      </c>
      <c r="F13" s="428">
        <f t="shared" si="0"/>
        <v>420558</v>
      </c>
      <c r="G13" s="428">
        <v>327</v>
      </c>
      <c r="H13" s="632"/>
      <c r="I13" s="425">
        <v>0</v>
      </c>
      <c r="J13" s="428"/>
      <c r="K13" s="428"/>
      <c r="L13" s="428">
        <f t="shared" si="4"/>
        <v>0</v>
      </c>
      <c r="M13" s="508"/>
      <c r="N13" s="453"/>
      <c r="O13" s="425">
        <v>661322</v>
      </c>
      <c r="P13" s="428">
        <v>54300</v>
      </c>
      <c r="Q13" s="428">
        <v>73630</v>
      </c>
      <c r="R13" s="428">
        <f t="shared" si="5"/>
        <v>641992</v>
      </c>
      <c r="S13" s="428"/>
      <c r="T13" s="453"/>
      <c r="U13" s="425">
        <v>0</v>
      </c>
      <c r="V13" s="428"/>
      <c r="W13" s="428"/>
      <c r="X13" s="428">
        <f t="shared" si="6"/>
        <v>0</v>
      </c>
      <c r="Y13" s="428"/>
      <c r="Z13" s="453"/>
      <c r="AA13" s="425">
        <v>0</v>
      </c>
      <c r="AB13" s="428"/>
      <c r="AC13" s="428"/>
      <c r="AD13" s="428">
        <f t="shared" si="7"/>
        <v>0</v>
      </c>
      <c r="AE13" s="428"/>
      <c r="AF13" s="453"/>
      <c r="AG13" s="425">
        <v>0</v>
      </c>
      <c r="AH13" s="428"/>
      <c r="AI13" s="428"/>
      <c r="AJ13" s="428">
        <f t="shared" si="8"/>
        <v>0</v>
      </c>
      <c r="AK13" s="428"/>
      <c r="AL13" s="453"/>
      <c r="AM13" s="425">
        <v>0</v>
      </c>
      <c r="AN13" s="428"/>
      <c r="AO13" s="428"/>
      <c r="AP13" s="428">
        <f t="shared" si="9"/>
        <v>0</v>
      </c>
      <c r="AQ13" s="428"/>
      <c r="AR13" s="453"/>
      <c r="AS13" s="425">
        <v>0</v>
      </c>
      <c r="AT13" s="428">
        <v>0</v>
      </c>
      <c r="AU13" s="428">
        <v>0</v>
      </c>
      <c r="AV13" s="428">
        <f t="shared" si="10"/>
        <v>0</v>
      </c>
      <c r="AW13" s="508">
        <v>0</v>
      </c>
      <c r="AX13" s="453">
        <v>0</v>
      </c>
      <c r="AY13" s="544">
        <f>2437277+4257</f>
        <v>2441534</v>
      </c>
      <c r="AZ13" s="444">
        <v>29017</v>
      </c>
      <c r="BA13" s="444">
        <v>71295</v>
      </c>
      <c r="BB13" s="444">
        <f t="shared" si="11"/>
        <v>2399256</v>
      </c>
      <c r="BC13" s="428">
        <v>536</v>
      </c>
      <c r="BD13" s="453"/>
      <c r="BE13" s="502"/>
      <c r="BF13" s="428"/>
      <c r="BG13" s="428"/>
      <c r="BH13" s="428">
        <f t="shared" si="12"/>
        <v>0</v>
      </c>
      <c r="BI13" s="83"/>
      <c r="BJ13" s="626"/>
      <c r="BK13" s="425">
        <v>0</v>
      </c>
      <c r="BL13" s="428" t="e">
        <f>SUM(#REF!)</f>
        <v>#REF!</v>
      </c>
      <c r="BM13" s="428" t="e">
        <f>SUM(#REF!)</f>
        <v>#REF!</v>
      </c>
      <c r="BN13" s="428" t="e">
        <f>SUM(#REF!)</f>
        <v>#REF!</v>
      </c>
      <c r="BO13" s="428" t="e">
        <f>SUM(#REF!)</f>
        <v>#REF!</v>
      </c>
      <c r="BP13" s="428" t="e">
        <f>SUM(#REF!)</f>
        <v>#REF!</v>
      </c>
      <c r="BQ13" s="741">
        <f t="shared" si="1"/>
        <v>3548721</v>
      </c>
      <c r="BR13" s="741" t="e">
        <f t="shared" si="1"/>
        <v>#REF!</v>
      </c>
      <c r="BS13" s="741" t="e">
        <f t="shared" si="1"/>
        <v>#REF!</v>
      </c>
      <c r="BT13" s="741" t="e">
        <f t="shared" si="1"/>
        <v>#REF!</v>
      </c>
      <c r="BU13" s="562" t="e">
        <f t="shared" si="1"/>
        <v>#REF!</v>
      </c>
      <c r="BV13" s="676" t="e">
        <f t="shared" si="1"/>
        <v>#REF!</v>
      </c>
      <c r="BW13" s="502"/>
      <c r="BX13" s="429"/>
      <c r="BY13" s="429"/>
      <c r="BZ13" s="429"/>
      <c r="CA13" s="429">
        <f t="shared" si="13"/>
        <v>0</v>
      </c>
      <c r="CB13" s="430"/>
      <c r="CC13" s="502"/>
      <c r="CD13" s="429"/>
      <c r="CE13" s="429"/>
      <c r="CF13" s="429"/>
      <c r="CG13" s="429"/>
      <c r="CH13" s="430"/>
      <c r="CI13" s="435"/>
      <c r="CJ13" s="435"/>
      <c r="CK13" s="435"/>
      <c r="CL13" s="435"/>
      <c r="CM13" s="435"/>
      <c r="CN13" s="459"/>
      <c r="CO13" s="502"/>
      <c r="CP13" s="429"/>
      <c r="CQ13" s="429"/>
      <c r="CR13" s="428">
        <f t="shared" si="14"/>
        <v>0</v>
      </c>
      <c r="CS13" s="429"/>
      <c r="CT13" s="430"/>
      <c r="CU13" s="502"/>
      <c r="CV13" s="429"/>
      <c r="CW13" s="429"/>
      <c r="CX13" s="429"/>
      <c r="CY13" s="429"/>
      <c r="CZ13" s="714"/>
      <c r="DA13" s="722"/>
      <c r="DB13" s="422"/>
      <c r="DC13" s="422"/>
      <c r="DD13" s="9">
        <f t="shared" si="15"/>
        <v>0</v>
      </c>
      <c r="DE13" s="422"/>
      <c r="DF13" s="723"/>
      <c r="DG13" s="472"/>
      <c r="DH13" s="472"/>
      <c r="DI13" s="472"/>
      <c r="DJ13" s="472"/>
      <c r="DK13" s="472"/>
      <c r="DL13" s="472"/>
      <c r="DM13" s="699"/>
      <c r="DN13" s="429"/>
      <c r="DO13" s="429"/>
      <c r="DP13" s="429"/>
      <c r="DQ13" s="429"/>
      <c r="DR13" s="700"/>
      <c r="DS13" s="615"/>
      <c r="DT13" s="615"/>
      <c r="DU13" s="615"/>
      <c r="DV13" s="615"/>
      <c r="DW13" s="615"/>
      <c r="DX13" s="615"/>
      <c r="DY13" s="502"/>
      <c r="DZ13" s="429"/>
      <c r="EA13" s="429"/>
      <c r="EB13" s="429"/>
      <c r="EC13" s="429"/>
      <c r="ED13" s="430"/>
      <c r="EE13" s="585"/>
      <c r="EF13" s="586"/>
      <c r="EG13" s="586"/>
      <c r="EH13" s="586"/>
      <c r="EI13" s="586"/>
      <c r="EJ13" s="430"/>
      <c r="EK13" s="688">
        <f t="shared" si="2"/>
        <v>0</v>
      </c>
      <c r="EL13" s="688">
        <f t="shared" si="2"/>
        <v>0</v>
      </c>
      <c r="EM13" s="688">
        <f t="shared" si="2"/>
        <v>0</v>
      </c>
      <c r="EN13" s="688">
        <f t="shared" si="2"/>
        <v>0</v>
      </c>
      <c r="EO13" s="688">
        <f t="shared" si="2"/>
        <v>0</v>
      </c>
      <c r="EP13" s="687">
        <f t="shared" si="2"/>
        <v>0</v>
      </c>
      <c r="EQ13" s="739">
        <f t="shared" si="3"/>
        <v>3548721</v>
      </c>
      <c r="ER13" s="739" t="e">
        <f t="shared" si="3"/>
        <v>#REF!</v>
      </c>
      <c r="ES13" s="739" t="e">
        <f t="shared" si="3"/>
        <v>#REF!</v>
      </c>
      <c r="ET13" s="739" t="e">
        <f t="shared" si="3"/>
        <v>#REF!</v>
      </c>
      <c r="EU13" s="739" t="e">
        <f t="shared" si="3"/>
        <v>#REF!</v>
      </c>
      <c r="EV13" s="740" t="e">
        <f t="shared" si="3"/>
        <v>#REF!</v>
      </c>
      <c r="EW13" s="438" t="e">
        <f>SUM('общ.сводрайон без курсовой '!C13-#REF!-#REF!)</f>
        <v>#REF!</v>
      </c>
      <c r="EX13" s="438" t="e">
        <f>SUM('общ.сводрайон без курсовой '!D13-#REF!-#REF!)</f>
        <v>#REF!</v>
      </c>
      <c r="EY13" s="438" t="e">
        <f>SUM('общ.сводрайон без курсовой '!E13-#REF!-#REF!)</f>
        <v>#REF!</v>
      </c>
      <c r="EZ13" s="438" t="e">
        <f>SUM('общ.сводрайон без курсовой '!F13-#REF!-#REF!)</f>
        <v>#REF!</v>
      </c>
    </row>
    <row r="14" spans="1:159" s="439" customFormat="1" ht="18.95" customHeight="1">
      <c r="A14" s="440">
        <f>A13+1</f>
        <v>6</v>
      </c>
      <c r="B14" s="441" t="s">
        <v>67</v>
      </c>
      <c r="C14" s="425">
        <f>851560+1</f>
        <v>851561</v>
      </c>
      <c r="D14" s="428">
        <v>82600</v>
      </c>
      <c r="E14" s="428">
        <v>169546</v>
      </c>
      <c r="F14" s="428">
        <f t="shared" si="0"/>
        <v>764615</v>
      </c>
      <c r="G14" s="428">
        <v>365</v>
      </c>
      <c r="H14" s="632"/>
      <c r="I14" s="425">
        <v>0</v>
      </c>
      <c r="J14" s="428"/>
      <c r="K14" s="428"/>
      <c r="L14" s="428">
        <f t="shared" si="4"/>
        <v>0</v>
      </c>
      <c r="M14" s="508"/>
      <c r="N14" s="453"/>
      <c r="O14" s="425">
        <f>841391.77-0.26</f>
        <v>841391.51</v>
      </c>
      <c r="P14" s="428">
        <v>97711</v>
      </c>
      <c r="Q14" s="428">
        <v>77466.509999999995</v>
      </c>
      <c r="R14" s="428">
        <f t="shared" si="5"/>
        <v>861636</v>
      </c>
      <c r="S14" s="443"/>
      <c r="T14" s="536">
        <v>1</v>
      </c>
      <c r="U14" s="425">
        <f>273657+1709</f>
        <v>275366</v>
      </c>
      <c r="V14" s="428">
        <v>7017</v>
      </c>
      <c r="W14" s="428">
        <v>9666</v>
      </c>
      <c r="X14" s="428">
        <f t="shared" si="6"/>
        <v>272717</v>
      </c>
      <c r="Y14" s="428">
        <v>129</v>
      </c>
      <c r="Z14" s="453"/>
      <c r="AA14" s="425">
        <v>0</v>
      </c>
      <c r="AB14" s="428"/>
      <c r="AC14" s="428"/>
      <c r="AD14" s="428">
        <f t="shared" si="7"/>
        <v>0</v>
      </c>
      <c r="AE14" s="428"/>
      <c r="AF14" s="453"/>
      <c r="AG14" s="425">
        <v>0</v>
      </c>
      <c r="AH14" s="428"/>
      <c r="AI14" s="428"/>
      <c r="AJ14" s="428">
        <f t="shared" si="8"/>
        <v>0</v>
      </c>
      <c r="AK14" s="428"/>
      <c r="AL14" s="453"/>
      <c r="AM14" s="425">
        <v>0</v>
      </c>
      <c r="AN14" s="428"/>
      <c r="AO14" s="428"/>
      <c r="AP14" s="428">
        <f t="shared" si="9"/>
        <v>0</v>
      </c>
      <c r="AQ14" s="428"/>
      <c r="AR14" s="453"/>
      <c r="AS14" s="425">
        <v>0</v>
      </c>
      <c r="AT14" s="428">
        <v>0</v>
      </c>
      <c r="AU14" s="428">
        <v>0</v>
      </c>
      <c r="AV14" s="428">
        <f t="shared" si="10"/>
        <v>0</v>
      </c>
      <c r="AW14" s="508">
        <v>0</v>
      </c>
      <c r="AX14" s="453">
        <v>0</v>
      </c>
      <c r="AY14" s="544">
        <f>2032653+2615</f>
        <v>2035268</v>
      </c>
      <c r="AZ14" s="444">
        <v>78130</v>
      </c>
      <c r="BA14" s="444">
        <v>165286</v>
      </c>
      <c r="BB14" s="444">
        <f t="shared" si="11"/>
        <v>1948112</v>
      </c>
      <c r="BC14" s="428">
        <v>488</v>
      </c>
      <c r="BD14" s="453"/>
      <c r="BE14" s="502"/>
      <c r="BF14" s="428"/>
      <c r="BG14" s="428"/>
      <c r="BH14" s="428">
        <f t="shared" si="12"/>
        <v>0</v>
      </c>
      <c r="BI14" s="83"/>
      <c r="BJ14" s="626"/>
      <c r="BK14" s="425">
        <v>0</v>
      </c>
      <c r="BL14" s="428" t="e">
        <f>SUM(#REF!)</f>
        <v>#REF!</v>
      </c>
      <c r="BM14" s="428" t="e">
        <f>SUM(#REF!)</f>
        <v>#REF!</v>
      </c>
      <c r="BN14" s="428" t="e">
        <f>SUM(#REF!)</f>
        <v>#REF!</v>
      </c>
      <c r="BO14" s="428" t="e">
        <f>SUM(#REF!)</f>
        <v>#REF!</v>
      </c>
      <c r="BP14" s="428" t="e">
        <f>SUM(#REF!)</f>
        <v>#REF!</v>
      </c>
      <c r="BQ14" s="741">
        <f t="shared" si="1"/>
        <v>4003586.51</v>
      </c>
      <c r="BR14" s="741" t="e">
        <f t="shared" si="1"/>
        <v>#REF!</v>
      </c>
      <c r="BS14" s="741" t="e">
        <f t="shared" si="1"/>
        <v>#REF!</v>
      </c>
      <c r="BT14" s="741" t="e">
        <f t="shared" si="1"/>
        <v>#REF!</v>
      </c>
      <c r="BU14" s="562" t="e">
        <f t="shared" si="1"/>
        <v>#REF!</v>
      </c>
      <c r="BV14" s="676" t="e">
        <f t="shared" si="1"/>
        <v>#REF!</v>
      </c>
      <c r="BW14" s="502"/>
      <c r="BX14" s="429"/>
      <c r="BY14" s="429"/>
      <c r="BZ14" s="429"/>
      <c r="CA14" s="429">
        <f t="shared" si="13"/>
        <v>0</v>
      </c>
      <c r="CB14" s="430"/>
      <c r="CC14" s="502"/>
      <c r="CD14" s="429"/>
      <c r="CE14" s="429"/>
      <c r="CF14" s="429"/>
      <c r="CG14" s="429"/>
      <c r="CH14" s="430"/>
      <c r="CI14" s="435"/>
      <c r="CJ14" s="435"/>
      <c r="CK14" s="435"/>
      <c r="CL14" s="435"/>
      <c r="CM14" s="435"/>
      <c r="CN14" s="459"/>
      <c r="CO14" s="502"/>
      <c r="CP14" s="429"/>
      <c r="CQ14" s="429"/>
      <c r="CR14" s="428">
        <f t="shared" si="14"/>
        <v>0</v>
      </c>
      <c r="CS14" s="429"/>
      <c r="CT14" s="430"/>
      <c r="CU14" s="502"/>
      <c r="CV14" s="429"/>
      <c r="CW14" s="429"/>
      <c r="CX14" s="429"/>
      <c r="CY14" s="429"/>
      <c r="CZ14" s="714"/>
      <c r="DA14" s="722"/>
      <c r="DB14" s="422"/>
      <c r="DC14" s="422"/>
      <c r="DD14" s="9">
        <f t="shared" si="15"/>
        <v>0</v>
      </c>
      <c r="DE14" s="422"/>
      <c r="DF14" s="723"/>
      <c r="DG14" s="472"/>
      <c r="DH14" s="472"/>
      <c r="DI14" s="472"/>
      <c r="DJ14" s="472"/>
      <c r="DK14" s="472"/>
      <c r="DL14" s="472"/>
      <c r="DM14" s="699"/>
      <c r="DN14" s="429"/>
      <c r="DO14" s="429"/>
      <c r="DP14" s="429"/>
      <c r="DQ14" s="429"/>
      <c r="DR14" s="700"/>
      <c r="DS14" s="615"/>
      <c r="DT14" s="615"/>
      <c r="DU14" s="615"/>
      <c r="DV14" s="615"/>
      <c r="DW14" s="615"/>
      <c r="DX14" s="615"/>
      <c r="DY14" s="502"/>
      <c r="DZ14" s="429"/>
      <c r="EA14" s="429"/>
      <c r="EB14" s="429"/>
      <c r="EC14" s="429"/>
      <c r="ED14" s="430"/>
      <c r="EE14" s="585"/>
      <c r="EF14" s="586"/>
      <c r="EG14" s="586"/>
      <c r="EH14" s="586"/>
      <c r="EI14" s="586"/>
      <c r="EJ14" s="430"/>
      <c r="EK14" s="688">
        <f t="shared" si="2"/>
        <v>0</v>
      </c>
      <c r="EL14" s="688">
        <f t="shared" si="2"/>
        <v>0</v>
      </c>
      <c r="EM14" s="688">
        <f t="shared" si="2"/>
        <v>0</v>
      </c>
      <c r="EN14" s="688">
        <f t="shared" si="2"/>
        <v>0</v>
      </c>
      <c r="EO14" s="688">
        <f t="shared" si="2"/>
        <v>0</v>
      </c>
      <c r="EP14" s="687">
        <f t="shared" si="2"/>
        <v>0</v>
      </c>
      <c r="EQ14" s="739">
        <f t="shared" si="3"/>
        <v>4003586.51</v>
      </c>
      <c r="ER14" s="739" t="e">
        <f t="shared" si="3"/>
        <v>#REF!</v>
      </c>
      <c r="ES14" s="739" t="e">
        <f t="shared" si="3"/>
        <v>#REF!</v>
      </c>
      <c r="ET14" s="739" t="e">
        <f t="shared" si="3"/>
        <v>#REF!</v>
      </c>
      <c r="EU14" s="739" t="e">
        <f t="shared" si="3"/>
        <v>#REF!</v>
      </c>
      <c r="EV14" s="740" t="e">
        <f t="shared" si="3"/>
        <v>#REF!</v>
      </c>
      <c r="EW14" s="438" t="e">
        <f>SUM('общ.сводрайон без курсовой '!C14-#REF!-#REF!)</f>
        <v>#REF!</v>
      </c>
      <c r="EX14" s="438" t="e">
        <f>SUM('общ.сводрайон без курсовой '!D14-#REF!-#REF!)</f>
        <v>#REF!</v>
      </c>
      <c r="EY14" s="438" t="e">
        <f>SUM('общ.сводрайон без курсовой '!E14-#REF!-#REF!)</f>
        <v>#REF!</v>
      </c>
      <c r="EZ14" s="438" t="e">
        <f>SUM('общ.сводрайон без курсовой '!F14-#REF!-#REF!)</f>
        <v>#REF!</v>
      </c>
    </row>
    <row r="15" spans="1:159" s="439" customFormat="1" ht="18.95" customHeight="1">
      <c r="A15" s="440">
        <f>A14+1</f>
        <v>7</v>
      </c>
      <c r="B15" s="441" t="s">
        <v>68</v>
      </c>
      <c r="C15" s="425">
        <v>555537</v>
      </c>
      <c r="D15" s="428">
        <v>161248</v>
      </c>
      <c r="E15" s="428">
        <v>168258</v>
      </c>
      <c r="F15" s="428">
        <f t="shared" si="0"/>
        <v>548527</v>
      </c>
      <c r="G15" s="428">
        <v>207</v>
      </c>
      <c r="H15" s="632"/>
      <c r="I15" s="425">
        <v>0</v>
      </c>
      <c r="J15" s="428"/>
      <c r="K15" s="428"/>
      <c r="L15" s="428">
        <f t="shared" si="4"/>
        <v>0</v>
      </c>
      <c r="M15" s="508"/>
      <c r="N15" s="453"/>
      <c r="O15" s="425">
        <v>1062720</v>
      </c>
      <c r="P15" s="428">
        <v>56448</v>
      </c>
      <c r="Q15" s="428">
        <v>72173</v>
      </c>
      <c r="R15" s="428">
        <f t="shared" si="5"/>
        <v>1046995</v>
      </c>
      <c r="S15" s="428"/>
      <c r="T15" s="453"/>
      <c r="U15" s="425">
        <f>203501+1074</f>
        <v>204575</v>
      </c>
      <c r="V15" s="428"/>
      <c r="W15" s="428">
        <v>2689</v>
      </c>
      <c r="X15" s="428">
        <f t="shared" si="6"/>
        <v>201886</v>
      </c>
      <c r="Y15" s="428">
        <v>96</v>
      </c>
      <c r="Z15" s="453"/>
      <c r="AA15" s="425">
        <v>0</v>
      </c>
      <c r="AB15" s="428"/>
      <c r="AC15" s="428"/>
      <c r="AD15" s="428">
        <f t="shared" si="7"/>
        <v>0</v>
      </c>
      <c r="AE15" s="428"/>
      <c r="AF15" s="453"/>
      <c r="AG15" s="425">
        <v>0</v>
      </c>
      <c r="AH15" s="428"/>
      <c r="AI15" s="428"/>
      <c r="AJ15" s="428">
        <f t="shared" si="8"/>
        <v>0</v>
      </c>
      <c r="AK15" s="428"/>
      <c r="AL15" s="453"/>
      <c r="AM15" s="425">
        <v>0</v>
      </c>
      <c r="AN15" s="428"/>
      <c r="AO15" s="428"/>
      <c r="AP15" s="428">
        <f t="shared" si="9"/>
        <v>0</v>
      </c>
      <c r="AQ15" s="428"/>
      <c r="AR15" s="453"/>
      <c r="AS15" s="425">
        <v>0</v>
      </c>
      <c r="AT15" s="428">
        <v>0</v>
      </c>
      <c r="AU15" s="428">
        <v>0</v>
      </c>
      <c r="AV15" s="428">
        <f t="shared" si="10"/>
        <v>0</v>
      </c>
      <c r="AW15" s="508">
        <v>0</v>
      </c>
      <c r="AX15" s="453">
        <v>0</v>
      </c>
      <c r="AY15" s="544">
        <f>2136308+3712</f>
        <v>2140020</v>
      </c>
      <c r="AZ15" s="444">
        <v>0</v>
      </c>
      <c r="BA15" s="444">
        <v>73197</v>
      </c>
      <c r="BB15" s="444">
        <f t="shared" si="11"/>
        <v>2066823</v>
      </c>
      <c r="BC15" s="428">
        <v>592</v>
      </c>
      <c r="BD15" s="453"/>
      <c r="BE15" s="502"/>
      <c r="BF15" s="428"/>
      <c r="BG15" s="428"/>
      <c r="BH15" s="428">
        <f t="shared" si="12"/>
        <v>0</v>
      </c>
      <c r="BI15" s="83"/>
      <c r="BJ15" s="626"/>
      <c r="BK15" s="425">
        <v>0</v>
      </c>
      <c r="BL15" s="428" t="e">
        <f>SUM(#REF!)</f>
        <v>#REF!</v>
      </c>
      <c r="BM15" s="428" t="e">
        <f>SUM(#REF!)</f>
        <v>#REF!</v>
      </c>
      <c r="BN15" s="428" t="e">
        <f>SUM(#REF!)</f>
        <v>#REF!</v>
      </c>
      <c r="BO15" s="428" t="e">
        <f>SUM(#REF!)</f>
        <v>#REF!</v>
      </c>
      <c r="BP15" s="428" t="e">
        <f>SUM(#REF!)</f>
        <v>#REF!</v>
      </c>
      <c r="BQ15" s="741">
        <f t="shared" si="1"/>
        <v>3962852</v>
      </c>
      <c r="BR15" s="741" t="e">
        <f t="shared" si="1"/>
        <v>#REF!</v>
      </c>
      <c r="BS15" s="741" t="e">
        <f t="shared" si="1"/>
        <v>#REF!</v>
      </c>
      <c r="BT15" s="741" t="e">
        <f t="shared" si="1"/>
        <v>#REF!</v>
      </c>
      <c r="BU15" s="562" t="e">
        <f t="shared" si="1"/>
        <v>#REF!</v>
      </c>
      <c r="BV15" s="676" t="e">
        <f t="shared" si="1"/>
        <v>#REF!</v>
      </c>
      <c r="BW15" s="502"/>
      <c r="BX15" s="429"/>
      <c r="BY15" s="429"/>
      <c r="BZ15" s="429"/>
      <c r="CA15" s="429">
        <f t="shared" si="13"/>
        <v>0</v>
      </c>
      <c r="CB15" s="430"/>
      <c r="CC15" s="502"/>
      <c r="CD15" s="429"/>
      <c r="CE15" s="429"/>
      <c r="CF15" s="429"/>
      <c r="CG15" s="429"/>
      <c r="CH15" s="430"/>
      <c r="CI15" s="435"/>
      <c r="CJ15" s="435"/>
      <c r="CK15" s="435"/>
      <c r="CL15" s="435"/>
      <c r="CM15" s="435"/>
      <c r="CN15" s="459"/>
      <c r="CO15" s="502"/>
      <c r="CP15" s="429"/>
      <c r="CQ15" s="429"/>
      <c r="CR15" s="428">
        <f t="shared" si="14"/>
        <v>0</v>
      </c>
      <c r="CS15" s="429"/>
      <c r="CT15" s="430"/>
      <c r="CU15" s="502"/>
      <c r="CV15" s="429"/>
      <c r="CW15" s="429"/>
      <c r="CX15" s="429"/>
      <c r="CY15" s="429"/>
      <c r="CZ15" s="714"/>
      <c r="DA15" s="722"/>
      <c r="DB15" s="422"/>
      <c r="DC15" s="422"/>
      <c r="DD15" s="9">
        <f t="shared" si="15"/>
        <v>0</v>
      </c>
      <c r="DE15" s="422"/>
      <c r="DF15" s="723"/>
      <c r="DG15" s="472"/>
      <c r="DH15" s="472"/>
      <c r="DI15" s="472"/>
      <c r="DJ15" s="472"/>
      <c r="DK15" s="472"/>
      <c r="DL15" s="472"/>
      <c r="DM15" s="699"/>
      <c r="DN15" s="429"/>
      <c r="DO15" s="429"/>
      <c r="DP15" s="429"/>
      <c r="DQ15" s="429"/>
      <c r="DR15" s="700"/>
      <c r="DS15" s="615"/>
      <c r="DT15" s="615"/>
      <c r="DU15" s="615"/>
      <c r="DV15" s="615"/>
      <c r="DW15" s="615"/>
      <c r="DX15" s="615"/>
      <c r="DY15" s="502"/>
      <c r="DZ15" s="429"/>
      <c r="EA15" s="429"/>
      <c r="EB15" s="429"/>
      <c r="EC15" s="429"/>
      <c r="ED15" s="430"/>
      <c r="EE15" s="585"/>
      <c r="EF15" s="586"/>
      <c r="EG15" s="586"/>
      <c r="EH15" s="586"/>
      <c r="EI15" s="586"/>
      <c r="EJ15" s="430"/>
      <c r="EK15" s="688">
        <f t="shared" si="2"/>
        <v>0</v>
      </c>
      <c r="EL15" s="688">
        <f t="shared" si="2"/>
        <v>0</v>
      </c>
      <c r="EM15" s="688">
        <f t="shared" si="2"/>
        <v>0</v>
      </c>
      <c r="EN15" s="688">
        <f t="shared" si="2"/>
        <v>0</v>
      </c>
      <c r="EO15" s="688">
        <f t="shared" si="2"/>
        <v>0</v>
      </c>
      <c r="EP15" s="687">
        <f t="shared" si="2"/>
        <v>0</v>
      </c>
      <c r="EQ15" s="739">
        <f t="shared" si="3"/>
        <v>3962852</v>
      </c>
      <c r="ER15" s="739" t="e">
        <f t="shared" si="3"/>
        <v>#REF!</v>
      </c>
      <c r="ES15" s="739" t="e">
        <f t="shared" si="3"/>
        <v>#REF!</v>
      </c>
      <c r="ET15" s="739" t="e">
        <f t="shared" si="3"/>
        <v>#REF!</v>
      </c>
      <c r="EU15" s="739" t="e">
        <f t="shared" si="3"/>
        <v>#REF!</v>
      </c>
      <c r="EV15" s="740" t="e">
        <f t="shared" si="3"/>
        <v>#REF!</v>
      </c>
      <c r="EW15" s="438" t="e">
        <f>SUM('общ.сводрайон без курсовой '!C15-#REF!-#REF!)</f>
        <v>#REF!</v>
      </c>
      <c r="EX15" s="438" t="e">
        <f>SUM('общ.сводрайон без курсовой '!D15-#REF!-#REF!)</f>
        <v>#REF!</v>
      </c>
      <c r="EY15" s="438" t="e">
        <f>SUM('общ.сводрайон без курсовой '!E15-#REF!-#REF!)</f>
        <v>#REF!</v>
      </c>
      <c r="EZ15" s="438" t="e">
        <f>SUM('общ.сводрайон без курсовой '!F15-#REF!-#REF!)</f>
        <v>#REF!</v>
      </c>
    </row>
    <row r="16" spans="1:159" s="439" customFormat="1" ht="18.95" customHeight="1">
      <c r="A16" s="440">
        <f>A15+1</f>
        <v>8</v>
      </c>
      <c r="B16" s="441" t="s">
        <v>69</v>
      </c>
      <c r="C16" s="425">
        <v>0</v>
      </c>
      <c r="D16" s="428">
        <v>0</v>
      </c>
      <c r="E16" s="428">
        <v>0</v>
      </c>
      <c r="F16" s="428">
        <f t="shared" si="0"/>
        <v>0</v>
      </c>
      <c r="G16" s="428">
        <v>0</v>
      </c>
      <c r="H16" s="453"/>
      <c r="I16" s="425">
        <v>0</v>
      </c>
      <c r="J16" s="428"/>
      <c r="K16" s="428"/>
      <c r="L16" s="428">
        <f t="shared" si="4"/>
        <v>0</v>
      </c>
      <c r="M16" s="508"/>
      <c r="N16" s="453"/>
      <c r="O16" s="425">
        <v>989186.15</v>
      </c>
      <c r="P16" s="428">
        <v>61820</v>
      </c>
      <c r="Q16" s="428">
        <v>142456.15</v>
      </c>
      <c r="R16" s="428">
        <f t="shared" si="5"/>
        <v>908549.99999999988</v>
      </c>
      <c r="S16" s="428"/>
      <c r="T16" s="453"/>
      <c r="U16" s="425">
        <f>819131+3808</f>
        <v>822939</v>
      </c>
      <c r="V16" s="428">
        <v>270537</v>
      </c>
      <c r="W16" s="428">
        <v>107514</v>
      </c>
      <c r="X16" s="428">
        <f t="shared" si="6"/>
        <v>985962</v>
      </c>
      <c r="Y16" s="428">
        <v>422</v>
      </c>
      <c r="Z16" s="453"/>
      <c r="AA16" s="425">
        <v>0</v>
      </c>
      <c r="AB16" s="428"/>
      <c r="AC16" s="428"/>
      <c r="AD16" s="428">
        <f t="shared" si="7"/>
        <v>0</v>
      </c>
      <c r="AE16" s="428"/>
      <c r="AF16" s="453"/>
      <c r="AG16" s="425">
        <v>0</v>
      </c>
      <c r="AH16" s="428"/>
      <c r="AI16" s="428"/>
      <c r="AJ16" s="428">
        <f t="shared" si="8"/>
        <v>0</v>
      </c>
      <c r="AK16" s="428"/>
      <c r="AL16" s="453"/>
      <c r="AM16" s="425">
        <v>0</v>
      </c>
      <c r="AN16" s="428"/>
      <c r="AO16" s="428"/>
      <c r="AP16" s="428">
        <f t="shared" si="9"/>
        <v>0</v>
      </c>
      <c r="AQ16" s="428"/>
      <c r="AR16" s="453"/>
      <c r="AS16" s="425">
        <v>0</v>
      </c>
      <c r="AT16" s="428">
        <v>0</v>
      </c>
      <c r="AU16" s="428">
        <v>0</v>
      </c>
      <c r="AV16" s="428">
        <f t="shared" si="10"/>
        <v>0</v>
      </c>
      <c r="AW16" s="508">
        <v>0</v>
      </c>
      <c r="AX16" s="453">
        <v>0</v>
      </c>
      <c r="AY16" s="544">
        <f>5546203+9804</f>
        <v>5556007</v>
      </c>
      <c r="AZ16" s="444">
        <v>145977</v>
      </c>
      <c r="BA16" s="444">
        <v>622955</v>
      </c>
      <c r="BB16" s="444">
        <f t="shared" si="11"/>
        <v>5079029</v>
      </c>
      <c r="BC16" s="428">
        <v>1797</v>
      </c>
      <c r="BD16" s="453"/>
      <c r="BE16" s="502"/>
      <c r="BF16" s="428"/>
      <c r="BG16" s="428"/>
      <c r="BH16" s="428">
        <f t="shared" si="12"/>
        <v>0</v>
      </c>
      <c r="BI16" s="83"/>
      <c r="BJ16" s="626"/>
      <c r="BK16" s="425">
        <v>2476</v>
      </c>
      <c r="BL16" s="428" t="e">
        <f>SUM(#REF!)</f>
        <v>#REF!</v>
      </c>
      <c r="BM16" s="428" t="e">
        <f>SUM(#REF!)</f>
        <v>#REF!</v>
      </c>
      <c r="BN16" s="428" t="e">
        <f>SUM(#REF!)</f>
        <v>#REF!</v>
      </c>
      <c r="BO16" s="428" t="e">
        <f>SUM(#REF!)</f>
        <v>#REF!</v>
      </c>
      <c r="BP16" s="428" t="e">
        <f>SUM(#REF!)</f>
        <v>#REF!</v>
      </c>
      <c r="BQ16" s="741">
        <f t="shared" si="1"/>
        <v>7370608.1500000004</v>
      </c>
      <c r="BR16" s="741" t="e">
        <f t="shared" si="1"/>
        <v>#REF!</v>
      </c>
      <c r="BS16" s="741" t="e">
        <f t="shared" si="1"/>
        <v>#REF!</v>
      </c>
      <c r="BT16" s="741" t="e">
        <f t="shared" si="1"/>
        <v>#REF!</v>
      </c>
      <c r="BU16" s="562" t="e">
        <f t="shared" si="1"/>
        <v>#REF!</v>
      </c>
      <c r="BV16" s="676" t="e">
        <f t="shared" si="1"/>
        <v>#REF!</v>
      </c>
      <c r="BW16" s="502"/>
      <c r="BX16" s="429"/>
      <c r="BY16" s="429"/>
      <c r="BZ16" s="429"/>
      <c r="CA16" s="429">
        <f t="shared" si="13"/>
        <v>0</v>
      </c>
      <c r="CB16" s="430"/>
      <c r="CC16" s="502"/>
      <c r="CD16" s="429"/>
      <c r="CE16" s="429"/>
      <c r="CF16" s="429"/>
      <c r="CG16" s="429"/>
      <c r="CH16" s="430"/>
      <c r="CI16" s="435"/>
      <c r="CJ16" s="435"/>
      <c r="CK16" s="435"/>
      <c r="CL16" s="435"/>
      <c r="CM16" s="435"/>
      <c r="CN16" s="459"/>
      <c r="CO16" s="502"/>
      <c r="CP16" s="429"/>
      <c r="CQ16" s="429"/>
      <c r="CR16" s="428">
        <f t="shared" si="14"/>
        <v>0</v>
      </c>
      <c r="CS16" s="429"/>
      <c r="CT16" s="430"/>
      <c r="CU16" s="502"/>
      <c r="CV16" s="429"/>
      <c r="CW16" s="429"/>
      <c r="CX16" s="429"/>
      <c r="CY16" s="429"/>
      <c r="CZ16" s="714"/>
      <c r="DA16" s="722"/>
      <c r="DB16" s="422"/>
      <c r="DC16" s="422"/>
      <c r="DD16" s="9">
        <f t="shared" si="15"/>
        <v>0</v>
      </c>
      <c r="DE16" s="422"/>
      <c r="DF16" s="723"/>
      <c r="DG16" s="472"/>
      <c r="DH16" s="472"/>
      <c r="DI16" s="472"/>
      <c r="DJ16" s="472"/>
      <c r="DK16" s="472"/>
      <c r="DL16" s="472"/>
      <c r="DM16" s="699"/>
      <c r="DN16" s="429"/>
      <c r="DO16" s="429"/>
      <c r="DP16" s="429"/>
      <c r="DQ16" s="429"/>
      <c r="DR16" s="700"/>
      <c r="DS16" s="615"/>
      <c r="DT16" s="615"/>
      <c r="DU16" s="615"/>
      <c r="DV16" s="615"/>
      <c r="DW16" s="615"/>
      <c r="DX16" s="615"/>
      <c r="DY16" s="502"/>
      <c r="DZ16" s="429"/>
      <c r="EA16" s="429"/>
      <c r="EB16" s="429"/>
      <c r="EC16" s="429"/>
      <c r="ED16" s="430"/>
      <c r="EE16" s="585"/>
      <c r="EF16" s="586"/>
      <c r="EG16" s="586"/>
      <c r="EH16" s="586"/>
      <c r="EI16" s="586"/>
      <c r="EJ16" s="430"/>
      <c r="EK16" s="688">
        <f t="shared" si="2"/>
        <v>0</v>
      </c>
      <c r="EL16" s="688">
        <f t="shared" si="2"/>
        <v>0</v>
      </c>
      <c r="EM16" s="688">
        <f t="shared" si="2"/>
        <v>0</v>
      </c>
      <c r="EN16" s="688">
        <f t="shared" si="2"/>
        <v>0</v>
      </c>
      <c r="EO16" s="688">
        <f t="shared" si="2"/>
        <v>0</v>
      </c>
      <c r="EP16" s="687">
        <f t="shared" si="2"/>
        <v>0</v>
      </c>
      <c r="EQ16" s="739">
        <f t="shared" si="3"/>
        <v>7370608.1500000004</v>
      </c>
      <c r="ER16" s="739" t="e">
        <f t="shared" si="3"/>
        <v>#REF!</v>
      </c>
      <c r="ES16" s="739" t="e">
        <f t="shared" si="3"/>
        <v>#REF!</v>
      </c>
      <c r="ET16" s="739" t="e">
        <f t="shared" si="3"/>
        <v>#REF!</v>
      </c>
      <c r="EU16" s="739" t="e">
        <f t="shared" si="3"/>
        <v>#REF!</v>
      </c>
      <c r="EV16" s="740" t="e">
        <f t="shared" si="3"/>
        <v>#REF!</v>
      </c>
      <c r="EW16" s="438" t="e">
        <f>SUM('общ.сводрайон без курсовой '!C16-#REF!-#REF!)</f>
        <v>#REF!</v>
      </c>
      <c r="EX16" s="438" t="e">
        <f>SUM('общ.сводрайон без курсовой '!D16-#REF!-#REF!)</f>
        <v>#REF!</v>
      </c>
      <c r="EY16" s="438" t="e">
        <f>SUM('общ.сводрайон без курсовой '!E16-#REF!-#REF!)</f>
        <v>#REF!</v>
      </c>
      <c r="EZ16" s="438" t="e">
        <f>SUM('общ.сводрайон без курсовой '!F16-#REF!-#REF!)</f>
        <v>#REF!</v>
      </c>
    </row>
    <row r="17" spans="1:156" s="439" customFormat="1" ht="18.95" customHeight="1">
      <c r="A17" s="1223" t="s">
        <v>71</v>
      </c>
      <c r="B17" s="1224"/>
      <c r="C17" s="445">
        <f t="shared" ref="C17:BN17" si="16">SUM(C9:C16)</f>
        <v>10724193</v>
      </c>
      <c r="D17" s="446">
        <f t="shared" si="16"/>
        <v>782966</v>
      </c>
      <c r="E17" s="446">
        <f t="shared" si="16"/>
        <v>1138201</v>
      </c>
      <c r="F17" s="446">
        <f t="shared" si="16"/>
        <v>10368958</v>
      </c>
      <c r="G17" s="446">
        <f t="shared" si="16"/>
        <v>6850</v>
      </c>
      <c r="H17" s="447">
        <f t="shared" si="16"/>
        <v>0</v>
      </c>
      <c r="I17" s="445">
        <f t="shared" si="16"/>
        <v>3014230</v>
      </c>
      <c r="J17" s="446">
        <f t="shared" si="16"/>
        <v>102209</v>
      </c>
      <c r="K17" s="446">
        <f t="shared" si="16"/>
        <v>262748</v>
      </c>
      <c r="L17" s="446">
        <f t="shared" si="16"/>
        <v>2853691</v>
      </c>
      <c r="M17" s="527">
        <f t="shared" si="16"/>
        <v>1615</v>
      </c>
      <c r="N17" s="447">
        <f t="shared" si="16"/>
        <v>0</v>
      </c>
      <c r="O17" s="445">
        <f t="shared" si="16"/>
        <v>8194111.1600000001</v>
      </c>
      <c r="P17" s="446">
        <f t="shared" si="16"/>
        <v>783553</v>
      </c>
      <c r="Q17" s="446">
        <f t="shared" si="16"/>
        <v>716181.16</v>
      </c>
      <c r="R17" s="446">
        <f t="shared" si="16"/>
        <v>8261483</v>
      </c>
      <c r="S17" s="446">
        <f t="shared" si="16"/>
        <v>1</v>
      </c>
      <c r="T17" s="447">
        <f t="shared" si="16"/>
        <v>1</v>
      </c>
      <c r="U17" s="445">
        <f t="shared" si="16"/>
        <v>2929980</v>
      </c>
      <c r="V17" s="446">
        <f t="shared" si="16"/>
        <v>515161.26</v>
      </c>
      <c r="W17" s="446">
        <f t="shared" si="16"/>
        <v>288791.45999999996</v>
      </c>
      <c r="X17" s="446">
        <f t="shared" si="16"/>
        <v>3156349.8</v>
      </c>
      <c r="Y17" s="446">
        <f t="shared" si="16"/>
        <v>1566</v>
      </c>
      <c r="Z17" s="447">
        <f t="shared" si="16"/>
        <v>0</v>
      </c>
      <c r="AA17" s="445">
        <f t="shared" si="16"/>
        <v>0</v>
      </c>
      <c r="AB17" s="446">
        <f t="shared" si="16"/>
        <v>0</v>
      </c>
      <c r="AC17" s="446">
        <f t="shared" si="16"/>
        <v>0</v>
      </c>
      <c r="AD17" s="446">
        <f t="shared" si="16"/>
        <v>0</v>
      </c>
      <c r="AE17" s="446">
        <f t="shared" si="16"/>
        <v>0</v>
      </c>
      <c r="AF17" s="447">
        <f t="shared" si="16"/>
        <v>0</v>
      </c>
      <c r="AG17" s="445">
        <f t="shared" si="16"/>
        <v>0</v>
      </c>
      <c r="AH17" s="446">
        <f t="shared" si="16"/>
        <v>0</v>
      </c>
      <c r="AI17" s="446">
        <f t="shared" si="16"/>
        <v>0</v>
      </c>
      <c r="AJ17" s="446">
        <f t="shared" si="16"/>
        <v>0</v>
      </c>
      <c r="AK17" s="446">
        <f t="shared" si="16"/>
        <v>0</v>
      </c>
      <c r="AL17" s="447">
        <f t="shared" si="16"/>
        <v>0</v>
      </c>
      <c r="AM17" s="445">
        <f t="shared" si="16"/>
        <v>0</v>
      </c>
      <c r="AN17" s="446">
        <f t="shared" si="16"/>
        <v>0</v>
      </c>
      <c r="AO17" s="446">
        <f t="shared" si="16"/>
        <v>0</v>
      </c>
      <c r="AP17" s="446">
        <f t="shared" si="16"/>
        <v>0</v>
      </c>
      <c r="AQ17" s="446">
        <f t="shared" si="16"/>
        <v>0</v>
      </c>
      <c r="AR17" s="447">
        <f t="shared" si="16"/>
        <v>0</v>
      </c>
      <c r="AS17" s="445">
        <f t="shared" si="16"/>
        <v>0</v>
      </c>
      <c r="AT17" s="446">
        <f t="shared" si="16"/>
        <v>0</v>
      </c>
      <c r="AU17" s="446">
        <f t="shared" si="16"/>
        <v>0</v>
      </c>
      <c r="AV17" s="446">
        <f t="shared" si="16"/>
        <v>0</v>
      </c>
      <c r="AW17" s="527">
        <f t="shared" si="16"/>
        <v>0</v>
      </c>
      <c r="AX17" s="447">
        <f t="shared" si="16"/>
        <v>0</v>
      </c>
      <c r="AY17" s="445">
        <f t="shared" si="16"/>
        <v>19787414</v>
      </c>
      <c r="AZ17" s="446">
        <f t="shared" si="16"/>
        <v>476535</v>
      </c>
      <c r="BA17" s="446">
        <f t="shared" si="16"/>
        <v>1654038</v>
      </c>
      <c r="BB17" s="446">
        <f t="shared" si="16"/>
        <v>18609911</v>
      </c>
      <c r="BC17" s="446">
        <f t="shared" si="16"/>
        <v>6339</v>
      </c>
      <c r="BD17" s="447">
        <f t="shared" si="16"/>
        <v>0</v>
      </c>
      <c r="BE17" s="445">
        <f t="shared" si="16"/>
        <v>0</v>
      </c>
      <c r="BF17" s="446">
        <f t="shared" si="16"/>
        <v>0</v>
      </c>
      <c r="BG17" s="446">
        <f t="shared" si="16"/>
        <v>0</v>
      </c>
      <c r="BH17" s="446">
        <f t="shared" si="16"/>
        <v>0</v>
      </c>
      <c r="BI17" s="747">
        <f t="shared" si="16"/>
        <v>0</v>
      </c>
      <c r="BJ17" s="747">
        <f t="shared" si="16"/>
        <v>0</v>
      </c>
      <c r="BK17" s="445">
        <f t="shared" si="16"/>
        <v>609046.06000000006</v>
      </c>
      <c r="BL17" s="446" t="e">
        <f t="shared" si="16"/>
        <v>#REF!</v>
      </c>
      <c r="BM17" s="446" t="e">
        <f t="shared" si="16"/>
        <v>#REF!</v>
      </c>
      <c r="BN17" s="446" t="e">
        <f t="shared" si="16"/>
        <v>#REF!</v>
      </c>
      <c r="BO17" s="446" t="e">
        <f t="shared" ref="BO17:DR17" si="17">SUM(BO9:BO16)</f>
        <v>#REF!</v>
      </c>
      <c r="BP17" s="447" t="e">
        <f t="shared" si="17"/>
        <v>#REF!</v>
      </c>
      <c r="BQ17" s="548">
        <f t="shared" si="17"/>
        <v>45258974.219999999</v>
      </c>
      <c r="BR17" s="549" t="e">
        <f t="shared" si="17"/>
        <v>#REF!</v>
      </c>
      <c r="BS17" s="549" t="e">
        <f t="shared" si="17"/>
        <v>#REF!</v>
      </c>
      <c r="BT17" s="549" t="e">
        <f t="shared" si="17"/>
        <v>#REF!</v>
      </c>
      <c r="BU17" s="550" t="e">
        <f t="shared" si="17"/>
        <v>#REF!</v>
      </c>
      <c r="BV17" s="574" t="e">
        <f t="shared" si="17"/>
        <v>#REF!</v>
      </c>
      <c r="BW17" s="445">
        <f t="shared" si="17"/>
        <v>0</v>
      </c>
      <c r="BX17" s="446">
        <f t="shared" si="17"/>
        <v>0</v>
      </c>
      <c r="BY17" s="446">
        <f t="shared" si="17"/>
        <v>0</v>
      </c>
      <c r="BZ17" s="446">
        <f t="shared" si="17"/>
        <v>0</v>
      </c>
      <c r="CA17" s="446">
        <f t="shared" si="17"/>
        <v>0</v>
      </c>
      <c r="CB17" s="447">
        <f t="shared" si="17"/>
        <v>0</v>
      </c>
      <c r="CC17" s="445">
        <f t="shared" si="17"/>
        <v>0</v>
      </c>
      <c r="CD17" s="446">
        <f t="shared" si="17"/>
        <v>0</v>
      </c>
      <c r="CE17" s="446">
        <f t="shared" si="17"/>
        <v>0</v>
      </c>
      <c r="CF17" s="446">
        <f t="shared" si="17"/>
        <v>0</v>
      </c>
      <c r="CG17" s="446">
        <f t="shared" si="17"/>
        <v>0</v>
      </c>
      <c r="CH17" s="447">
        <f>SUM(CH9:CH16)</f>
        <v>0</v>
      </c>
      <c r="CI17" s="448">
        <f t="shared" si="17"/>
        <v>0</v>
      </c>
      <c r="CJ17" s="449">
        <f t="shared" si="17"/>
        <v>0</v>
      </c>
      <c r="CK17" s="449">
        <f t="shared" si="17"/>
        <v>0</v>
      </c>
      <c r="CL17" s="449">
        <f t="shared" si="17"/>
        <v>0</v>
      </c>
      <c r="CM17" s="450">
        <f t="shared" si="17"/>
        <v>0</v>
      </c>
      <c r="CN17" s="452">
        <f t="shared" si="17"/>
        <v>0</v>
      </c>
      <c r="CO17" s="445">
        <f t="shared" si="17"/>
        <v>0</v>
      </c>
      <c r="CP17" s="446">
        <f t="shared" si="17"/>
        <v>0</v>
      </c>
      <c r="CQ17" s="446">
        <f t="shared" si="17"/>
        <v>0</v>
      </c>
      <c r="CR17" s="446">
        <f t="shared" si="17"/>
        <v>0</v>
      </c>
      <c r="CS17" s="446">
        <f t="shared" si="17"/>
        <v>0</v>
      </c>
      <c r="CT17" s="447">
        <f t="shared" si="17"/>
        <v>0</v>
      </c>
      <c r="CU17" s="445">
        <f t="shared" si="17"/>
        <v>0</v>
      </c>
      <c r="CV17" s="446">
        <f t="shared" si="17"/>
        <v>0</v>
      </c>
      <c r="CW17" s="446">
        <f t="shared" si="17"/>
        <v>0</v>
      </c>
      <c r="CX17" s="446">
        <f t="shared" si="17"/>
        <v>0</v>
      </c>
      <c r="CY17" s="446">
        <f t="shared" si="17"/>
        <v>0</v>
      </c>
      <c r="CZ17" s="715">
        <f t="shared" si="17"/>
        <v>0</v>
      </c>
      <c r="DA17" s="724">
        <f t="shared" si="17"/>
        <v>0</v>
      </c>
      <c r="DB17" s="578">
        <f t="shared" si="17"/>
        <v>0</v>
      </c>
      <c r="DC17" s="578">
        <f t="shared" si="17"/>
        <v>0</v>
      </c>
      <c r="DD17" s="578">
        <f t="shared" si="17"/>
        <v>0</v>
      </c>
      <c r="DE17" s="578">
        <f t="shared" si="17"/>
        <v>0</v>
      </c>
      <c r="DF17" s="725">
        <f t="shared" si="17"/>
        <v>0</v>
      </c>
      <c r="DG17" s="684"/>
      <c r="DH17" s="686"/>
      <c r="DI17" s="686"/>
      <c r="DJ17" s="686"/>
      <c r="DK17" s="686"/>
      <c r="DL17" s="683"/>
      <c r="DM17" s="701">
        <f t="shared" si="17"/>
        <v>0</v>
      </c>
      <c r="DN17" s="446">
        <f t="shared" si="17"/>
        <v>0</v>
      </c>
      <c r="DO17" s="446">
        <f t="shared" si="17"/>
        <v>0</v>
      </c>
      <c r="DP17" s="446">
        <f t="shared" si="17"/>
        <v>0</v>
      </c>
      <c r="DQ17" s="446">
        <f t="shared" si="17"/>
        <v>0</v>
      </c>
      <c r="DR17" s="702">
        <f t="shared" si="17"/>
        <v>0</v>
      </c>
      <c r="DS17" s="616"/>
      <c r="DT17" s="616"/>
      <c r="DU17" s="616"/>
      <c r="DV17" s="616"/>
      <c r="DW17" s="616"/>
      <c r="DX17" s="616"/>
      <c r="DY17" s="445">
        <f t="shared" ref="DY17:EJ17" si="18">SUM(DY9:DY16)</f>
        <v>0</v>
      </c>
      <c r="DZ17" s="446">
        <f t="shared" si="18"/>
        <v>0</v>
      </c>
      <c r="EA17" s="446">
        <f t="shared" si="18"/>
        <v>0</v>
      </c>
      <c r="EB17" s="446">
        <f t="shared" si="18"/>
        <v>0</v>
      </c>
      <c r="EC17" s="446">
        <f t="shared" si="18"/>
        <v>0</v>
      </c>
      <c r="ED17" s="447">
        <f t="shared" si="18"/>
        <v>0</v>
      </c>
      <c r="EE17" s="445">
        <f t="shared" si="18"/>
        <v>0</v>
      </c>
      <c r="EF17" s="446">
        <f t="shared" si="18"/>
        <v>0</v>
      </c>
      <c r="EG17" s="446">
        <f t="shared" si="18"/>
        <v>0</v>
      </c>
      <c r="EH17" s="446">
        <f t="shared" si="18"/>
        <v>0</v>
      </c>
      <c r="EI17" s="446">
        <f t="shared" si="18"/>
        <v>0</v>
      </c>
      <c r="EJ17" s="447">
        <f t="shared" si="18"/>
        <v>0</v>
      </c>
      <c r="EK17" s="690">
        <f t="shared" ref="EK17:EP17" si="19">SUM(EK9:EK16)</f>
        <v>0</v>
      </c>
      <c r="EL17" s="690">
        <f t="shared" si="19"/>
        <v>0</v>
      </c>
      <c r="EM17" s="690">
        <f t="shared" si="19"/>
        <v>0</v>
      </c>
      <c r="EN17" s="690">
        <f t="shared" si="19"/>
        <v>0</v>
      </c>
      <c r="EO17" s="690">
        <f t="shared" si="19"/>
        <v>0</v>
      </c>
      <c r="EP17" s="616">
        <f t="shared" si="19"/>
        <v>0</v>
      </c>
      <c r="EQ17" s="596">
        <f t="shared" ref="EQ17:EV17" si="20">SUM(EQ9:EQ16)</f>
        <v>45258974.219999999</v>
      </c>
      <c r="ER17" s="597" t="e">
        <f t="shared" si="20"/>
        <v>#REF!</v>
      </c>
      <c r="ES17" s="597" t="e">
        <f t="shared" si="20"/>
        <v>#REF!</v>
      </c>
      <c r="ET17" s="597" t="e">
        <f t="shared" si="20"/>
        <v>#REF!</v>
      </c>
      <c r="EU17" s="597" t="e">
        <f t="shared" si="20"/>
        <v>#REF!</v>
      </c>
      <c r="EV17" s="598" t="e">
        <f t="shared" si="20"/>
        <v>#REF!</v>
      </c>
    </row>
    <row r="18" spans="1:156" s="439" customFormat="1" ht="18.95" customHeight="1">
      <c r="A18" s="1217" t="s">
        <v>75</v>
      </c>
      <c r="B18" s="1218"/>
      <c r="C18" s="425"/>
      <c r="D18" s="429"/>
      <c r="E18" s="429"/>
      <c r="F18" s="634">
        <f>SUM(F17+G17-H17)</f>
        <v>10375808</v>
      </c>
      <c r="G18" s="429"/>
      <c r="H18" s="430"/>
      <c r="I18" s="425"/>
      <c r="J18" s="429"/>
      <c r="K18" s="429"/>
      <c r="L18" s="428">
        <f>SUM(L17+M17)</f>
        <v>2855306</v>
      </c>
      <c r="M18" s="541"/>
      <c r="N18" s="430"/>
      <c r="O18" s="425"/>
      <c r="P18" s="429"/>
      <c r="Q18" s="429"/>
      <c r="R18" s="428">
        <f>SUM(R17+S17-T17)</f>
        <v>8261483</v>
      </c>
      <c r="S18" s="429"/>
      <c r="T18" s="430"/>
      <c r="U18" s="425"/>
      <c r="V18" s="429"/>
      <c r="W18" s="429"/>
      <c r="X18" s="428"/>
      <c r="Y18" s="429"/>
      <c r="Z18" s="430"/>
      <c r="AA18" s="425"/>
      <c r="AB18" s="429"/>
      <c r="AC18" s="429"/>
      <c r="AD18" s="428"/>
      <c r="AE18" s="429"/>
      <c r="AF18" s="430"/>
      <c r="AG18" s="425"/>
      <c r="AH18" s="429"/>
      <c r="AI18" s="429"/>
      <c r="AJ18" s="428"/>
      <c r="AK18" s="429"/>
      <c r="AL18" s="430"/>
      <c r="AM18" s="425"/>
      <c r="AN18" s="429"/>
      <c r="AO18" s="429"/>
      <c r="AP18" s="428"/>
      <c r="AQ18" s="429"/>
      <c r="AR18" s="430"/>
      <c r="AS18" s="425"/>
      <c r="AT18" s="429"/>
      <c r="AU18" s="429"/>
      <c r="AV18" s="428"/>
      <c r="AW18" s="541"/>
      <c r="AX18" s="430"/>
      <c r="AY18" s="425"/>
      <c r="AZ18" s="429"/>
      <c r="BA18" s="429"/>
      <c r="BB18" s="545">
        <f>SUM(BB17+BC17)</f>
        <v>18616250</v>
      </c>
      <c r="BC18" s="429"/>
      <c r="BD18" s="430"/>
      <c r="BE18" s="425"/>
      <c r="BF18" s="429"/>
      <c r="BG18" s="429"/>
      <c r="BH18" s="428"/>
      <c r="BI18" s="627"/>
      <c r="BJ18" s="628"/>
      <c r="BK18" s="425"/>
      <c r="BL18" s="428"/>
      <c r="BM18" s="428"/>
      <c r="BN18" s="428"/>
      <c r="BO18" s="428"/>
      <c r="BP18" s="453"/>
      <c r="BQ18" s="562"/>
      <c r="BR18" s="563"/>
      <c r="BS18" s="563"/>
      <c r="BT18" s="563"/>
      <c r="BU18" s="564"/>
      <c r="BV18" s="565"/>
      <c r="BW18" s="425"/>
      <c r="BX18" s="428"/>
      <c r="BY18" s="428"/>
      <c r="BZ18" s="428"/>
      <c r="CA18" s="428"/>
      <c r="CB18" s="453"/>
      <c r="CC18" s="425"/>
      <c r="CD18" s="428"/>
      <c r="CE18" s="428"/>
      <c r="CF18" s="428"/>
      <c r="CG18" s="428"/>
      <c r="CH18" s="453"/>
      <c r="CI18" s="436"/>
      <c r="CJ18" s="428"/>
      <c r="CK18" s="428"/>
      <c r="CL18" s="428"/>
      <c r="CM18" s="454"/>
      <c r="CN18" s="460"/>
      <c r="CO18" s="425"/>
      <c r="CP18" s="428"/>
      <c r="CQ18" s="428"/>
      <c r="CR18" s="428"/>
      <c r="CS18" s="428"/>
      <c r="CT18" s="453"/>
      <c r="CU18" s="425"/>
      <c r="CV18" s="428"/>
      <c r="CW18" s="428"/>
      <c r="CX18" s="428"/>
      <c r="CY18" s="428"/>
      <c r="CZ18" s="632"/>
      <c r="DA18" s="726"/>
      <c r="DB18" s="9"/>
      <c r="DC18" s="9"/>
      <c r="DD18" s="9"/>
      <c r="DE18" s="9"/>
      <c r="DF18" s="727"/>
      <c r="DG18" s="472"/>
      <c r="DH18" s="472"/>
      <c r="DI18" s="472"/>
      <c r="DJ18" s="472"/>
      <c r="DK18" s="472"/>
      <c r="DL18" s="472"/>
      <c r="DM18" s="703"/>
      <c r="DN18" s="428"/>
      <c r="DO18" s="428"/>
      <c r="DP18" s="428"/>
      <c r="DQ18" s="428"/>
      <c r="DR18" s="704"/>
      <c r="DS18" s="617"/>
      <c r="DT18" s="617"/>
      <c r="DU18" s="617"/>
      <c r="DV18" s="617"/>
      <c r="DW18" s="617"/>
      <c r="DX18" s="617"/>
      <c r="DY18" s="425"/>
      <c r="DZ18" s="428"/>
      <c r="EA18" s="428"/>
      <c r="EB18" s="634">
        <f>SUM(DY17+DZ17-EA17+EC17-ED17)</f>
        <v>0</v>
      </c>
      <c r="EC18" s="428"/>
      <c r="ED18" s="453"/>
      <c r="EE18" s="587"/>
      <c r="EF18" s="437"/>
      <c r="EG18" s="437"/>
      <c r="EH18" s="437"/>
      <c r="EI18" s="437"/>
      <c r="EJ18" s="453"/>
      <c r="EK18" s="687"/>
      <c r="EL18" s="617"/>
      <c r="EM18" s="617"/>
      <c r="EN18" s="617"/>
      <c r="EO18" s="617"/>
      <c r="EP18" s="617"/>
      <c r="EQ18" s="1221"/>
      <c r="ER18" s="1222"/>
      <c r="ES18" s="1222"/>
      <c r="ET18" s="1222"/>
      <c r="EU18" s="1222"/>
      <c r="EV18" s="599"/>
    </row>
    <row r="19" spans="1:156" s="439" customFormat="1" ht="18.95" customHeight="1">
      <c r="A19" s="440">
        <v>9</v>
      </c>
      <c r="B19" s="441" t="s">
        <v>51</v>
      </c>
      <c r="C19" s="425">
        <f>705278+72</f>
        <v>705350</v>
      </c>
      <c r="D19" s="428">
        <v>27084</v>
      </c>
      <c r="E19" s="428">
        <v>39283</v>
      </c>
      <c r="F19" s="428">
        <f>SUM(C19+D19-E19)</f>
        <v>693151</v>
      </c>
      <c r="G19" s="428">
        <v>214</v>
      </c>
      <c r="H19" s="453"/>
      <c r="I19" s="425">
        <v>0</v>
      </c>
      <c r="J19" s="428"/>
      <c r="K19" s="428"/>
      <c r="L19" s="428">
        <f>SUM(I19+J19-K19)</f>
        <v>0</v>
      </c>
      <c r="M19" s="508"/>
      <c r="N19" s="453"/>
      <c r="O19" s="425">
        <v>1037374</v>
      </c>
      <c r="P19" s="428">
        <v>202364</v>
      </c>
      <c r="Q19" s="428">
        <v>117978</v>
      </c>
      <c r="R19" s="428">
        <f>SUM(O19+P19-Q19)</f>
        <v>1121760</v>
      </c>
      <c r="S19" s="428"/>
      <c r="T19" s="453"/>
      <c r="U19" s="425"/>
      <c r="V19" s="428"/>
      <c r="W19" s="428"/>
      <c r="X19" s="428"/>
      <c r="Y19" s="428"/>
      <c r="Z19" s="453"/>
      <c r="AA19" s="425">
        <f>126020.53+28.7</f>
        <v>126049.23</v>
      </c>
      <c r="AB19" s="428">
        <v>32268.28</v>
      </c>
      <c r="AC19" s="428">
        <v>11573.86</v>
      </c>
      <c r="AD19" s="428">
        <f>SUM(AA19+AB19-AC19)</f>
        <v>146743.65000000002</v>
      </c>
      <c r="AE19" s="428"/>
      <c r="AF19" s="453"/>
      <c r="AG19" s="425">
        <v>0</v>
      </c>
      <c r="AH19" s="428"/>
      <c r="AI19" s="428"/>
      <c r="AJ19" s="428">
        <f>SUM(AG19+AH19-AI19)</f>
        <v>0</v>
      </c>
      <c r="AK19" s="428"/>
      <c r="AL19" s="453"/>
      <c r="AM19" s="425">
        <v>0</v>
      </c>
      <c r="AN19" s="428"/>
      <c r="AO19" s="428"/>
      <c r="AP19" s="428">
        <f>SUM(AM19+AN19-AO19)</f>
        <v>0</v>
      </c>
      <c r="AQ19" s="428"/>
      <c r="AR19" s="453"/>
      <c r="AS19" s="425">
        <v>0</v>
      </c>
      <c r="AT19" s="428">
        <v>0</v>
      </c>
      <c r="AU19" s="428">
        <v>0</v>
      </c>
      <c r="AV19" s="428">
        <f>SUM(AS19+AT19-AU19)</f>
        <v>0</v>
      </c>
      <c r="AW19" s="508">
        <v>0</v>
      </c>
      <c r="AX19" s="453">
        <v>0</v>
      </c>
      <c r="AY19" s="425">
        <f>654166+52</f>
        <v>654218</v>
      </c>
      <c r="AZ19" s="428">
        <v>0</v>
      </c>
      <c r="BA19" s="428">
        <v>100575</v>
      </c>
      <c r="BB19" s="428">
        <f>SUM(AY19+AZ19-BA19)</f>
        <v>553643</v>
      </c>
      <c r="BC19" s="428">
        <v>225</v>
      </c>
      <c r="BD19" s="453"/>
      <c r="BE19" s="425">
        <v>0</v>
      </c>
      <c r="BF19" s="428"/>
      <c r="BG19" s="428"/>
      <c r="BH19" s="428">
        <f>SUM(BE19+BF19-BG19)</f>
        <v>0</v>
      </c>
      <c r="BI19" s="21"/>
      <c r="BJ19" s="625"/>
      <c r="BK19" s="425">
        <v>1664</v>
      </c>
      <c r="BL19" s="428" t="e">
        <f>SUM(#REF!)</f>
        <v>#REF!</v>
      </c>
      <c r="BM19" s="428" t="e">
        <f>SUM(#REF!)</f>
        <v>#REF!</v>
      </c>
      <c r="BN19" s="428" t="e">
        <f t="shared" ref="BN19:BN33" si="21">SUM(BK19+BL19-BM19)</f>
        <v>#REF!</v>
      </c>
      <c r="BO19" s="428" t="e">
        <f>SUM(#REF!)</f>
        <v>#REF!</v>
      </c>
      <c r="BP19" s="428" t="e">
        <f>SUM(#REF!)</f>
        <v>#REF!</v>
      </c>
      <c r="BQ19" s="741">
        <f t="shared" ref="BQ19:BV23" si="22">SUM(C19+I19+O19+AA19+AG19+AM19+AS19+U19+AY19+BK19+BE19)</f>
        <v>2524655.23</v>
      </c>
      <c r="BR19" s="741" t="e">
        <f t="shared" si="22"/>
        <v>#REF!</v>
      </c>
      <c r="BS19" s="741" t="e">
        <f t="shared" si="22"/>
        <v>#REF!</v>
      </c>
      <c r="BT19" s="741" t="e">
        <f t="shared" si="22"/>
        <v>#REF!</v>
      </c>
      <c r="BU19" s="562" t="e">
        <f t="shared" si="22"/>
        <v>#REF!</v>
      </c>
      <c r="BV19" s="676" t="e">
        <f t="shared" si="22"/>
        <v>#REF!</v>
      </c>
      <c r="BW19" s="425"/>
      <c r="BX19" s="428"/>
      <c r="BY19" s="428"/>
      <c r="BZ19" s="428"/>
      <c r="CA19" s="429">
        <f t="shared" ref="CA19:CA30" si="23">SUM(BW19+BX19-BY19-BZ19)</f>
        <v>0</v>
      </c>
      <c r="CB19" s="430"/>
      <c r="CC19" s="425"/>
      <c r="CD19" s="428"/>
      <c r="CE19" s="428"/>
      <c r="CF19" s="428"/>
      <c r="CG19" s="428"/>
      <c r="CH19" s="453"/>
      <c r="CI19" s="436"/>
      <c r="CJ19" s="428"/>
      <c r="CK19" s="428"/>
      <c r="CL19" s="428"/>
      <c r="CM19" s="454"/>
      <c r="CN19" s="460"/>
      <c r="CO19" s="425"/>
      <c r="CP19" s="428"/>
      <c r="CQ19" s="428"/>
      <c r="CR19" s="428">
        <f>SUM(CO19+CP19-CQ19)</f>
        <v>0</v>
      </c>
      <c r="CS19" s="428"/>
      <c r="CT19" s="453"/>
      <c r="CU19" s="425"/>
      <c r="CV19" s="428"/>
      <c r="CW19" s="428"/>
      <c r="CX19" s="428"/>
      <c r="CY19" s="428"/>
      <c r="CZ19" s="632"/>
      <c r="DA19" s="726"/>
      <c r="DB19" s="9"/>
      <c r="DC19" s="9"/>
      <c r="DD19" s="9">
        <f>SUM(DA19+DB19-DC19)</f>
        <v>0</v>
      </c>
      <c r="DE19" s="9"/>
      <c r="DF19" s="727"/>
      <c r="DG19" s="472"/>
      <c r="DH19" s="472"/>
      <c r="DI19" s="472"/>
      <c r="DJ19" s="472"/>
      <c r="DK19" s="472"/>
      <c r="DL19" s="472"/>
      <c r="DM19" s="703"/>
      <c r="DN19" s="428"/>
      <c r="DO19" s="428"/>
      <c r="DP19" s="428"/>
      <c r="DQ19" s="428"/>
      <c r="DR19" s="704"/>
      <c r="DS19" s="617"/>
      <c r="DT19" s="617"/>
      <c r="DU19" s="617"/>
      <c r="DV19" s="617"/>
      <c r="DW19" s="617"/>
      <c r="DX19" s="617"/>
      <c r="DY19" s="425"/>
      <c r="DZ19" s="428"/>
      <c r="EA19" s="428"/>
      <c r="EB19" s="428"/>
      <c r="EC19" s="428"/>
      <c r="ED19" s="453"/>
      <c r="EE19" s="587"/>
      <c r="EF19" s="437"/>
      <c r="EG19" s="437"/>
      <c r="EH19" s="437"/>
      <c r="EI19" s="437"/>
      <c r="EJ19" s="453"/>
      <c r="EK19" s="688">
        <f t="shared" ref="EK19:EP23" si="24">SUM(BW19+CC19+CI19+CO19+CU19+DA19+DG19+DM19+DS19+DY19+EE19)</f>
        <v>0</v>
      </c>
      <c r="EL19" s="688">
        <f t="shared" si="24"/>
        <v>0</v>
      </c>
      <c r="EM19" s="688">
        <f t="shared" si="24"/>
        <v>0</v>
      </c>
      <c r="EN19" s="688">
        <f t="shared" si="24"/>
        <v>0</v>
      </c>
      <c r="EO19" s="688">
        <f t="shared" si="24"/>
        <v>0</v>
      </c>
      <c r="EP19" s="687">
        <f t="shared" si="24"/>
        <v>0</v>
      </c>
      <c r="EQ19" s="739">
        <f t="shared" ref="EQ19:EV23" si="25">SUM(EK19+BQ19)</f>
        <v>2524655.23</v>
      </c>
      <c r="ER19" s="739" t="e">
        <f t="shared" si="25"/>
        <v>#REF!</v>
      </c>
      <c r="ES19" s="739" t="e">
        <f t="shared" si="25"/>
        <v>#REF!</v>
      </c>
      <c r="ET19" s="739" t="e">
        <f t="shared" si="25"/>
        <v>#REF!</v>
      </c>
      <c r="EU19" s="739" t="e">
        <f t="shared" si="25"/>
        <v>#REF!</v>
      </c>
      <c r="EV19" s="740" t="e">
        <f t="shared" si="25"/>
        <v>#REF!</v>
      </c>
      <c r="EW19" s="438" t="e">
        <f>SUM('общ.сводрайон без курсовой '!C19-#REF!-#REF!)</f>
        <v>#REF!</v>
      </c>
      <c r="EX19" s="438" t="e">
        <f>SUM('общ.сводрайон без курсовой '!D19-#REF!-#REF!)</f>
        <v>#REF!</v>
      </c>
      <c r="EY19" s="438" t="e">
        <f>SUM('общ.сводрайон без курсовой '!E19-#REF!-#REF!)</f>
        <v>#REF!</v>
      </c>
      <c r="EZ19" s="438" t="e">
        <f>SUM('общ.сводрайон без курсовой '!F19-#REF!-#REF!)</f>
        <v>#REF!</v>
      </c>
    </row>
    <row r="20" spans="1:156" s="439" customFormat="1" ht="18.95" customHeight="1">
      <c r="A20" s="440">
        <f>A19+1</f>
        <v>10</v>
      </c>
      <c r="B20" s="441" t="s">
        <v>52</v>
      </c>
      <c r="C20" s="425">
        <f>957980+12451</f>
        <v>970431</v>
      </c>
      <c r="D20" s="428">
        <v>66233</v>
      </c>
      <c r="E20" s="428">
        <v>104592</v>
      </c>
      <c r="F20" s="428">
        <f>SUM(C20+D20-E20)</f>
        <v>932072</v>
      </c>
      <c r="G20" s="428">
        <v>661</v>
      </c>
      <c r="H20" s="453"/>
      <c r="I20" s="425">
        <v>1880121</v>
      </c>
      <c r="J20" s="428">
        <v>0</v>
      </c>
      <c r="K20" s="428">
        <v>37205</v>
      </c>
      <c r="L20" s="428">
        <f>SUM(I20+J20-K20)</f>
        <v>1842916</v>
      </c>
      <c r="M20" s="508">
        <v>793</v>
      </c>
      <c r="N20" s="453"/>
      <c r="O20" s="425">
        <f>4087706+2973</f>
        <v>4090679</v>
      </c>
      <c r="P20" s="428">
        <v>87370</v>
      </c>
      <c r="Q20" s="428">
        <v>207993</v>
      </c>
      <c r="R20" s="428">
        <f>SUM(O20+P20-Q20)</f>
        <v>3970056</v>
      </c>
      <c r="S20" s="428">
        <v>407</v>
      </c>
      <c r="T20" s="453"/>
      <c r="U20" s="425"/>
      <c r="V20" s="428"/>
      <c r="W20" s="428"/>
      <c r="X20" s="428"/>
      <c r="Y20" s="428"/>
      <c r="Z20" s="453"/>
      <c r="AA20" s="425">
        <v>498088.52</v>
      </c>
      <c r="AB20" s="428">
        <v>40572.080000000002</v>
      </c>
      <c r="AC20" s="428">
        <v>7510</v>
      </c>
      <c r="AD20" s="428">
        <f>SUM(AA20+AB20-AC20)</f>
        <v>531150.6</v>
      </c>
      <c r="AE20" s="428">
        <v>173</v>
      </c>
      <c r="AF20" s="453"/>
      <c r="AG20" s="425">
        <v>0</v>
      </c>
      <c r="AH20" s="428"/>
      <c r="AI20" s="428"/>
      <c r="AJ20" s="428">
        <f>SUM(AG20+AH20-AI20)</f>
        <v>0</v>
      </c>
      <c r="AK20" s="428"/>
      <c r="AL20" s="453"/>
      <c r="AM20" s="425">
        <v>0</v>
      </c>
      <c r="AN20" s="428"/>
      <c r="AO20" s="428"/>
      <c r="AP20" s="428">
        <f>SUM(AM20+AN20-AO20)</f>
        <v>0</v>
      </c>
      <c r="AQ20" s="428"/>
      <c r="AR20" s="453"/>
      <c r="AS20" s="425">
        <v>0</v>
      </c>
      <c r="AT20" s="428">
        <v>0</v>
      </c>
      <c r="AU20" s="428">
        <v>0</v>
      </c>
      <c r="AV20" s="428">
        <f>SUM(AS20+AT20-AU20)</f>
        <v>0</v>
      </c>
      <c r="AW20" s="508">
        <v>0</v>
      </c>
      <c r="AX20" s="453">
        <v>0</v>
      </c>
      <c r="AY20" s="425">
        <f>3620565+269</f>
        <v>3620834</v>
      </c>
      <c r="AZ20" s="428">
        <v>412964</v>
      </c>
      <c r="BA20" s="428">
        <v>416068</v>
      </c>
      <c r="BB20" s="428">
        <f>SUM(AY20+AZ20-BA20)</f>
        <v>3617730</v>
      </c>
      <c r="BC20" s="428">
        <v>1279</v>
      </c>
      <c r="BD20" s="453"/>
      <c r="BE20" s="425">
        <f>16976+86656</f>
        <v>103632</v>
      </c>
      <c r="BF20" s="428"/>
      <c r="BG20" s="428"/>
      <c r="BH20" s="428">
        <f>SUM(BE20+BF20-BG20)</f>
        <v>103632</v>
      </c>
      <c r="BI20" s="83">
        <v>412</v>
      </c>
      <c r="BJ20" s="626">
        <v>-120</v>
      </c>
      <c r="BK20" s="425">
        <v>709151.28</v>
      </c>
      <c r="BL20" s="428" t="e">
        <f>SUM(#REF!)</f>
        <v>#REF!</v>
      </c>
      <c r="BM20" s="428" t="e">
        <f>SUM(#REF!)</f>
        <v>#REF!</v>
      </c>
      <c r="BN20" s="428" t="e">
        <f t="shared" si="21"/>
        <v>#REF!</v>
      </c>
      <c r="BO20" s="428" t="e">
        <f>SUM(#REF!)</f>
        <v>#REF!</v>
      </c>
      <c r="BP20" s="428" t="e">
        <f>SUM(#REF!)</f>
        <v>#REF!</v>
      </c>
      <c r="BQ20" s="741">
        <f t="shared" si="22"/>
        <v>11872936.799999999</v>
      </c>
      <c r="BR20" s="741" t="e">
        <f t="shared" si="22"/>
        <v>#REF!</v>
      </c>
      <c r="BS20" s="741" t="e">
        <f t="shared" si="22"/>
        <v>#REF!</v>
      </c>
      <c r="BT20" s="741" t="e">
        <f t="shared" si="22"/>
        <v>#REF!</v>
      </c>
      <c r="BU20" s="562" t="e">
        <f t="shared" si="22"/>
        <v>#REF!</v>
      </c>
      <c r="BV20" s="676" t="e">
        <f t="shared" si="22"/>
        <v>#REF!</v>
      </c>
      <c r="BW20" s="425"/>
      <c r="BX20" s="428"/>
      <c r="BY20" s="428"/>
      <c r="BZ20" s="428"/>
      <c r="CA20" s="429">
        <f t="shared" si="23"/>
        <v>0</v>
      </c>
      <c r="CB20" s="430"/>
      <c r="CC20" s="425"/>
      <c r="CD20" s="428"/>
      <c r="CE20" s="428"/>
      <c r="CF20" s="428"/>
      <c r="CG20" s="428"/>
      <c r="CH20" s="453"/>
      <c r="CI20" s="436">
        <v>20000</v>
      </c>
      <c r="CJ20" s="428"/>
      <c r="CK20" s="428"/>
      <c r="CL20" s="428">
        <f>SUM(CI20+CJ20-CK20)</f>
        <v>20000</v>
      </c>
      <c r="CM20" s="454"/>
      <c r="CN20" s="460"/>
      <c r="CO20" s="425"/>
      <c r="CP20" s="428"/>
      <c r="CQ20" s="428"/>
      <c r="CR20" s="428">
        <f>SUM(CO20+CP20-CQ20)</f>
        <v>0</v>
      </c>
      <c r="CS20" s="428"/>
      <c r="CT20" s="453"/>
      <c r="CU20" s="425"/>
      <c r="CV20" s="428"/>
      <c r="CW20" s="428"/>
      <c r="CX20" s="428"/>
      <c r="CY20" s="428"/>
      <c r="CZ20" s="632"/>
      <c r="DA20" s="726"/>
      <c r="DB20" s="9"/>
      <c r="DC20" s="9"/>
      <c r="DD20" s="9">
        <f>SUM(DA20+DB20-DC20)</f>
        <v>0</v>
      </c>
      <c r="DE20" s="9"/>
      <c r="DF20" s="727"/>
      <c r="DG20" s="472"/>
      <c r="DH20" s="472"/>
      <c r="DI20" s="472"/>
      <c r="DJ20" s="472"/>
      <c r="DK20" s="472"/>
      <c r="DL20" s="472"/>
      <c r="DM20" s="703"/>
      <c r="DN20" s="428"/>
      <c r="DO20" s="428"/>
      <c r="DP20" s="428"/>
      <c r="DQ20" s="428"/>
      <c r="DR20" s="704"/>
      <c r="DS20" s="617"/>
      <c r="DT20" s="617"/>
      <c r="DU20" s="617"/>
      <c r="DV20" s="617"/>
      <c r="DW20" s="617"/>
      <c r="DX20" s="617"/>
      <c r="DY20" s="425"/>
      <c r="DZ20" s="428"/>
      <c r="EA20" s="428"/>
      <c r="EB20" s="428"/>
      <c r="EC20" s="428"/>
      <c r="ED20" s="453"/>
      <c r="EE20" s="587"/>
      <c r="EF20" s="437"/>
      <c r="EG20" s="437"/>
      <c r="EH20" s="437"/>
      <c r="EI20" s="437"/>
      <c r="EJ20" s="453"/>
      <c r="EK20" s="688">
        <f t="shared" si="24"/>
        <v>20000</v>
      </c>
      <c r="EL20" s="688">
        <f t="shared" si="24"/>
        <v>0</v>
      </c>
      <c r="EM20" s="688">
        <f t="shared" si="24"/>
        <v>0</v>
      </c>
      <c r="EN20" s="688">
        <f t="shared" si="24"/>
        <v>20000</v>
      </c>
      <c r="EO20" s="688">
        <f t="shared" si="24"/>
        <v>0</v>
      </c>
      <c r="EP20" s="687">
        <f t="shared" si="24"/>
        <v>0</v>
      </c>
      <c r="EQ20" s="739">
        <f t="shared" si="25"/>
        <v>11892936.799999999</v>
      </c>
      <c r="ER20" s="739" t="e">
        <f t="shared" si="25"/>
        <v>#REF!</v>
      </c>
      <c r="ES20" s="739" t="e">
        <f t="shared" si="25"/>
        <v>#REF!</v>
      </c>
      <c r="ET20" s="739" t="e">
        <f t="shared" si="25"/>
        <v>#REF!</v>
      </c>
      <c r="EU20" s="739" t="e">
        <f t="shared" si="25"/>
        <v>#REF!</v>
      </c>
      <c r="EV20" s="740" t="e">
        <f t="shared" si="25"/>
        <v>#REF!</v>
      </c>
      <c r="EW20" s="438" t="e">
        <f>SUM('общ.сводрайон без курсовой '!C20-#REF!-#REF!)</f>
        <v>#REF!</v>
      </c>
      <c r="EX20" s="438" t="e">
        <f>SUM('общ.сводрайон без курсовой '!D20-#REF!-#REF!)</f>
        <v>#REF!</v>
      </c>
      <c r="EY20" s="438" t="e">
        <f>SUM('общ.сводрайон без курсовой '!E20-#REF!-#REF!)</f>
        <v>#REF!</v>
      </c>
      <c r="EZ20" s="438" t="e">
        <f>SUM('общ.сводрайон без курсовой '!F20-#REF!-#REF!)</f>
        <v>#REF!</v>
      </c>
    </row>
    <row r="21" spans="1:156" s="439" customFormat="1" ht="18.95" customHeight="1">
      <c r="A21" s="440">
        <f>A20+1</f>
        <v>11</v>
      </c>
      <c r="B21" s="441" t="s">
        <v>53</v>
      </c>
      <c r="C21" s="425">
        <v>0</v>
      </c>
      <c r="D21" s="428">
        <v>0</v>
      </c>
      <c r="E21" s="428">
        <v>0</v>
      </c>
      <c r="F21" s="428">
        <f>SUM(C21+D21-E21)</f>
        <v>0</v>
      </c>
      <c r="G21" s="428">
        <v>0</v>
      </c>
      <c r="H21" s="453"/>
      <c r="I21" s="425">
        <v>0</v>
      </c>
      <c r="J21" s="428"/>
      <c r="K21" s="428"/>
      <c r="L21" s="428">
        <f>SUM(I21+J21-K21)</f>
        <v>0</v>
      </c>
      <c r="M21" s="508"/>
      <c r="N21" s="453"/>
      <c r="O21" s="425">
        <v>608679.55000000005</v>
      </c>
      <c r="P21" s="428">
        <v>16500</v>
      </c>
      <c r="Q21" s="428">
        <v>21429.55</v>
      </c>
      <c r="R21" s="428">
        <f>SUM(O21+P21-Q21)</f>
        <v>603750</v>
      </c>
      <c r="S21" s="428"/>
      <c r="T21" s="453"/>
      <c r="U21" s="425"/>
      <c r="V21" s="428"/>
      <c r="W21" s="428"/>
      <c r="X21" s="428"/>
      <c r="Y21" s="428"/>
      <c r="Z21" s="453"/>
      <c r="AA21" s="425">
        <f>175259.81+24.1</f>
        <v>175283.91</v>
      </c>
      <c r="AB21" s="428">
        <v>38664.68</v>
      </c>
      <c r="AC21" s="428">
        <v>6925.76</v>
      </c>
      <c r="AD21" s="428">
        <f>SUM(AA21+AB21-AC21)</f>
        <v>207022.83</v>
      </c>
      <c r="AE21" s="428">
        <v>159</v>
      </c>
      <c r="AF21" s="453"/>
      <c r="AG21" s="425">
        <v>0</v>
      </c>
      <c r="AH21" s="428"/>
      <c r="AI21" s="428"/>
      <c r="AJ21" s="428">
        <f>SUM(AG21+AH21-AI21)</f>
        <v>0</v>
      </c>
      <c r="AK21" s="428"/>
      <c r="AL21" s="453"/>
      <c r="AM21" s="425">
        <v>0</v>
      </c>
      <c r="AN21" s="428"/>
      <c r="AO21" s="428"/>
      <c r="AP21" s="428">
        <f>SUM(AM21+AN21-AO21)</f>
        <v>0</v>
      </c>
      <c r="AQ21" s="428"/>
      <c r="AR21" s="453"/>
      <c r="AS21" s="425">
        <v>0</v>
      </c>
      <c r="AT21" s="428">
        <v>0</v>
      </c>
      <c r="AU21" s="428">
        <v>0</v>
      </c>
      <c r="AV21" s="428">
        <f>SUM(AS21+AT21-AU21)</f>
        <v>0</v>
      </c>
      <c r="AW21" s="508">
        <v>0</v>
      </c>
      <c r="AX21" s="453">
        <v>0</v>
      </c>
      <c r="AY21" s="425">
        <f>427112+271</f>
        <v>427383</v>
      </c>
      <c r="AZ21" s="428">
        <v>48548</v>
      </c>
      <c r="BA21" s="428">
        <v>25464</v>
      </c>
      <c r="BB21" s="428">
        <f>SUM(AY21+AZ21-BA21)</f>
        <v>450467</v>
      </c>
      <c r="BC21" s="428">
        <v>176</v>
      </c>
      <c r="BD21" s="453"/>
      <c r="BE21" s="425">
        <v>0</v>
      </c>
      <c r="BF21" s="428"/>
      <c r="BG21" s="428"/>
      <c r="BH21" s="428">
        <f>SUM(BE21+BF21-BG21)</f>
        <v>0</v>
      </c>
      <c r="BI21" s="83"/>
      <c r="BJ21" s="626"/>
      <c r="BK21" s="425">
        <v>0</v>
      </c>
      <c r="BL21" s="428" t="e">
        <f>SUM(#REF!)</f>
        <v>#REF!</v>
      </c>
      <c r="BM21" s="428" t="e">
        <f>SUM(#REF!)</f>
        <v>#REF!</v>
      </c>
      <c r="BN21" s="428" t="e">
        <f t="shared" si="21"/>
        <v>#REF!</v>
      </c>
      <c r="BO21" s="428" t="e">
        <f>SUM(#REF!)</f>
        <v>#REF!</v>
      </c>
      <c r="BP21" s="428" t="e">
        <f>SUM(#REF!)</f>
        <v>#REF!</v>
      </c>
      <c r="BQ21" s="741">
        <f t="shared" si="22"/>
        <v>1211346.46</v>
      </c>
      <c r="BR21" s="741" t="e">
        <f t="shared" si="22"/>
        <v>#REF!</v>
      </c>
      <c r="BS21" s="741" t="e">
        <f t="shared" si="22"/>
        <v>#REF!</v>
      </c>
      <c r="BT21" s="741" t="e">
        <f t="shared" si="22"/>
        <v>#REF!</v>
      </c>
      <c r="BU21" s="562" t="e">
        <f t="shared" si="22"/>
        <v>#REF!</v>
      </c>
      <c r="BV21" s="676" t="e">
        <f t="shared" si="22"/>
        <v>#REF!</v>
      </c>
      <c r="BW21" s="425"/>
      <c r="BX21" s="428"/>
      <c r="BY21" s="428"/>
      <c r="BZ21" s="428"/>
      <c r="CA21" s="429">
        <f t="shared" si="23"/>
        <v>0</v>
      </c>
      <c r="CB21" s="430"/>
      <c r="CC21" s="425"/>
      <c r="CD21" s="428"/>
      <c r="CE21" s="428"/>
      <c r="CF21" s="428"/>
      <c r="CG21" s="428"/>
      <c r="CH21" s="453"/>
      <c r="CI21" s="436">
        <v>122000</v>
      </c>
      <c r="CJ21" s="428">
        <v>160000</v>
      </c>
      <c r="CK21" s="428">
        <v>52000</v>
      </c>
      <c r="CL21" s="428">
        <f>SUM(CI21+CJ21-CK21)</f>
        <v>230000</v>
      </c>
      <c r="CM21" s="454"/>
      <c r="CN21" s="460"/>
      <c r="CO21" s="425"/>
      <c r="CP21" s="428"/>
      <c r="CQ21" s="428"/>
      <c r="CR21" s="428">
        <f>SUM(CO21+CP21-CQ21)</f>
        <v>0</v>
      </c>
      <c r="CS21" s="428"/>
      <c r="CT21" s="453"/>
      <c r="CU21" s="425"/>
      <c r="CV21" s="428"/>
      <c r="CW21" s="428"/>
      <c r="CX21" s="428"/>
      <c r="CY21" s="428"/>
      <c r="CZ21" s="632"/>
      <c r="DA21" s="726"/>
      <c r="DB21" s="9"/>
      <c r="DC21" s="9"/>
      <c r="DD21" s="9">
        <f>SUM(DA21+DB21-DC21)</f>
        <v>0</v>
      </c>
      <c r="DE21" s="9"/>
      <c r="DF21" s="727"/>
      <c r="DG21" s="472"/>
      <c r="DH21" s="472"/>
      <c r="DI21" s="472"/>
      <c r="DJ21" s="472"/>
      <c r="DK21" s="472"/>
      <c r="DL21" s="472"/>
      <c r="DM21" s="703"/>
      <c r="DN21" s="428"/>
      <c r="DO21" s="428"/>
      <c r="DP21" s="428"/>
      <c r="DQ21" s="428"/>
      <c r="DR21" s="704"/>
      <c r="DS21" s="617"/>
      <c r="DT21" s="617"/>
      <c r="DU21" s="617"/>
      <c r="DV21" s="617"/>
      <c r="DW21" s="617"/>
      <c r="DX21" s="617"/>
      <c r="DY21" s="425"/>
      <c r="DZ21" s="428"/>
      <c r="EA21" s="428"/>
      <c r="EB21" s="428"/>
      <c r="EC21" s="428"/>
      <c r="ED21" s="453"/>
      <c r="EE21" s="587"/>
      <c r="EF21" s="437"/>
      <c r="EG21" s="437"/>
      <c r="EH21" s="437"/>
      <c r="EI21" s="437"/>
      <c r="EJ21" s="453"/>
      <c r="EK21" s="688">
        <f t="shared" si="24"/>
        <v>122000</v>
      </c>
      <c r="EL21" s="688">
        <f t="shared" si="24"/>
        <v>160000</v>
      </c>
      <c r="EM21" s="688">
        <f t="shared" si="24"/>
        <v>52000</v>
      </c>
      <c r="EN21" s="688">
        <f t="shared" si="24"/>
        <v>230000</v>
      </c>
      <c r="EO21" s="688">
        <f t="shared" si="24"/>
        <v>0</v>
      </c>
      <c r="EP21" s="687">
        <f t="shared" si="24"/>
        <v>0</v>
      </c>
      <c r="EQ21" s="739">
        <f t="shared" si="25"/>
        <v>1333346.46</v>
      </c>
      <c r="ER21" s="739" t="e">
        <f t="shared" si="25"/>
        <v>#REF!</v>
      </c>
      <c r="ES21" s="739" t="e">
        <f t="shared" si="25"/>
        <v>#REF!</v>
      </c>
      <c r="ET21" s="739" t="e">
        <f t="shared" si="25"/>
        <v>#REF!</v>
      </c>
      <c r="EU21" s="739" t="e">
        <f t="shared" si="25"/>
        <v>#REF!</v>
      </c>
      <c r="EV21" s="740" t="e">
        <f t="shared" si="25"/>
        <v>#REF!</v>
      </c>
      <c r="EW21" s="438" t="e">
        <f>SUM('общ.сводрайон без курсовой '!C21-#REF!-#REF!)</f>
        <v>#REF!</v>
      </c>
      <c r="EX21" s="438" t="e">
        <f>SUM('общ.сводрайон без курсовой '!D21-#REF!-#REF!)</f>
        <v>#REF!</v>
      </c>
      <c r="EY21" s="438" t="e">
        <f>SUM('общ.сводрайон без курсовой '!E21-#REF!-#REF!)</f>
        <v>#REF!</v>
      </c>
      <c r="EZ21" s="438" t="e">
        <f>SUM('общ.сводрайон без курсовой '!F21-#REF!-#REF!)</f>
        <v>#REF!</v>
      </c>
    </row>
    <row r="22" spans="1:156" s="439" customFormat="1" ht="18.95" customHeight="1">
      <c r="A22" s="440">
        <f>A21+1</f>
        <v>12</v>
      </c>
      <c r="B22" s="441" t="s">
        <v>54</v>
      </c>
      <c r="C22" s="425">
        <f>1039831+1775</f>
        <v>1041606</v>
      </c>
      <c r="D22" s="428">
        <v>0</v>
      </c>
      <c r="E22" s="428">
        <v>65140</v>
      </c>
      <c r="F22" s="428">
        <f>SUM(C22+D22-E22)</f>
        <v>976466</v>
      </c>
      <c r="G22" s="428">
        <v>646</v>
      </c>
      <c r="H22" s="453"/>
      <c r="I22" s="425">
        <v>0</v>
      </c>
      <c r="J22" s="428"/>
      <c r="K22" s="428"/>
      <c r="L22" s="428">
        <f>SUM(I22+J22-K22)</f>
        <v>0</v>
      </c>
      <c r="M22" s="508"/>
      <c r="N22" s="453"/>
      <c r="O22" s="425">
        <v>1023337.55</v>
      </c>
      <c r="P22" s="428">
        <v>100650</v>
      </c>
      <c r="Q22" s="428">
        <v>62827.55</v>
      </c>
      <c r="R22" s="428">
        <f>SUM(O22+P22-Q22)</f>
        <v>1061160</v>
      </c>
      <c r="S22" s="428"/>
      <c r="T22" s="453"/>
      <c r="U22" s="425">
        <v>135000</v>
      </c>
      <c r="V22" s="428"/>
      <c r="W22" s="428"/>
      <c r="X22" s="428">
        <f>SUM(U22+V22-W22)</f>
        <v>135000</v>
      </c>
      <c r="Y22" s="428"/>
      <c r="Z22" s="453"/>
      <c r="AA22" s="425">
        <f>103586.51+17.5</f>
        <v>103604.01</v>
      </c>
      <c r="AB22" s="428">
        <v>45253.31</v>
      </c>
      <c r="AC22" s="428">
        <v>7571.34</v>
      </c>
      <c r="AD22" s="428">
        <f>SUM(AA22+AB22-AC22)</f>
        <v>141285.98000000001</v>
      </c>
      <c r="AE22" s="428">
        <v>150</v>
      </c>
      <c r="AF22" s="453"/>
      <c r="AG22" s="425">
        <v>0</v>
      </c>
      <c r="AH22" s="428"/>
      <c r="AI22" s="428"/>
      <c r="AJ22" s="428">
        <f>SUM(AG22+AH22-AI22)</f>
        <v>0</v>
      </c>
      <c r="AK22" s="428"/>
      <c r="AL22" s="453"/>
      <c r="AM22" s="425">
        <v>0</v>
      </c>
      <c r="AN22" s="428"/>
      <c r="AO22" s="428"/>
      <c r="AP22" s="428">
        <f>SUM(AM22+AN22-AO22)</f>
        <v>0</v>
      </c>
      <c r="AQ22" s="428"/>
      <c r="AR22" s="453"/>
      <c r="AS22" s="425">
        <v>0</v>
      </c>
      <c r="AT22" s="428">
        <v>0</v>
      </c>
      <c r="AU22" s="428">
        <v>0</v>
      </c>
      <c r="AV22" s="428">
        <f>SUM(AS22+AT22-AU22)</f>
        <v>0</v>
      </c>
      <c r="AW22" s="508">
        <v>0</v>
      </c>
      <c r="AX22" s="453">
        <v>0</v>
      </c>
      <c r="AY22" s="425">
        <f>1256726+63</f>
        <v>1256789</v>
      </c>
      <c r="AZ22" s="428">
        <v>33810</v>
      </c>
      <c r="BA22" s="428">
        <v>84733</v>
      </c>
      <c r="BB22" s="428">
        <f>SUM(AY22+AZ22-BA22)</f>
        <v>1205866</v>
      </c>
      <c r="BC22" s="428">
        <v>231</v>
      </c>
      <c r="BD22" s="453"/>
      <c r="BE22" s="425">
        <v>0</v>
      </c>
      <c r="BF22" s="428"/>
      <c r="BG22" s="428"/>
      <c r="BH22" s="428">
        <f>SUM(BE22+BF22-BG22)</f>
        <v>0</v>
      </c>
      <c r="BI22" s="83"/>
      <c r="BJ22" s="626"/>
      <c r="BK22" s="425">
        <v>14322</v>
      </c>
      <c r="BL22" s="428" t="e">
        <f>SUM(#REF!)</f>
        <v>#REF!</v>
      </c>
      <c r="BM22" s="428" t="e">
        <f>SUM(#REF!)</f>
        <v>#REF!</v>
      </c>
      <c r="BN22" s="428" t="e">
        <f t="shared" si="21"/>
        <v>#REF!</v>
      </c>
      <c r="BO22" s="428" t="e">
        <f>SUM(#REF!)</f>
        <v>#REF!</v>
      </c>
      <c r="BP22" s="428" t="e">
        <f>SUM(#REF!)</f>
        <v>#REF!</v>
      </c>
      <c r="BQ22" s="741">
        <f t="shared" si="22"/>
        <v>3574658.56</v>
      </c>
      <c r="BR22" s="741" t="e">
        <f t="shared" si="22"/>
        <v>#REF!</v>
      </c>
      <c r="BS22" s="741" t="e">
        <f t="shared" si="22"/>
        <v>#REF!</v>
      </c>
      <c r="BT22" s="741" t="e">
        <f t="shared" si="22"/>
        <v>#REF!</v>
      </c>
      <c r="BU22" s="562" t="e">
        <f t="shared" si="22"/>
        <v>#REF!</v>
      </c>
      <c r="BV22" s="676" t="e">
        <f t="shared" si="22"/>
        <v>#REF!</v>
      </c>
      <c r="BW22" s="425"/>
      <c r="BX22" s="428"/>
      <c r="BY22" s="428"/>
      <c r="BZ22" s="428"/>
      <c r="CA22" s="429">
        <f t="shared" si="23"/>
        <v>0</v>
      </c>
      <c r="CB22" s="430"/>
      <c r="CC22" s="425"/>
      <c r="CD22" s="428"/>
      <c r="CE22" s="428"/>
      <c r="CF22" s="428"/>
      <c r="CG22" s="428"/>
      <c r="CH22" s="453"/>
      <c r="CI22" s="432"/>
      <c r="CJ22" s="432"/>
      <c r="CK22" s="432"/>
      <c r="CL22" s="432"/>
      <c r="CM22" s="432"/>
      <c r="CN22" s="460"/>
      <c r="CO22" s="425"/>
      <c r="CP22" s="428"/>
      <c r="CQ22" s="428"/>
      <c r="CR22" s="428">
        <f>SUM(CO22+CP22-CQ22)</f>
        <v>0</v>
      </c>
      <c r="CS22" s="428"/>
      <c r="CT22" s="453"/>
      <c r="CU22" s="425"/>
      <c r="CV22" s="428"/>
      <c r="CW22" s="428"/>
      <c r="CX22" s="428"/>
      <c r="CY22" s="428"/>
      <c r="CZ22" s="632"/>
      <c r="DA22" s="726"/>
      <c r="DB22" s="9"/>
      <c r="DC22" s="9"/>
      <c r="DD22" s="9">
        <f>SUM(DA22+DB22-DC22)</f>
        <v>0</v>
      </c>
      <c r="DE22" s="9"/>
      <c r="DF22" s="727"/>
      <c r="DG22" s="472"/>
      <c r="DH22" s="472"/>
      <c r="DI22" s="472"/>
      <c r="DJ22" s="472"/>
      <c r="DK22" s="472"/>
      <c r="DL22" s="472"/>
      <c r="DM22" s="703"/>
      <c r="DN22" s="428"/>
      <c r="DO22" s="428"/>
      <c r="DP22" s="428"/>
      <c r="DQ22" s="428"/>
      <c r="DR22" s="704"/>
      <c r="DS22" s="617"/>
      <c r="DT22" s="617"/>
      <c r="DU22" s="617"/>
      <c r="DV22" s="617"/>
      <c r="DW22" s="617"/>
      <c r="DX22" s="617"/>
      <c r="DY22" s="425"/>
      <c r="DZ22" s="428"/>
      <c r="EA22" s="428"/>
      <c r="EB22" s="428"/>
      <c r="EC22" s="428"/>
      <c r="ED22" s="453"/>
      <c r="EE22" s="587"/>
      <c r="EF22" s="437"/>
      <c r="EG22" s="437"/>
      <c r="EH22" s="437"/>
      <c r="EI22" s="437"/>
      <c r="EJ22" s="453"/>
      <c r="EK22" s="688">
        <f t="shared" si="24"/>
        <v>0</v>
      </c>
      <c r="EL22" s="688">
        <f t="shared" si="24"/>
        <v>0</v>
      </c>
      <c r="EM22" s="688">
        <f t="shared" si="24"/>
        <v>0</v>
      </c>
      <c r="EN22" s="688">
        <f t="shared" si="24"/>
        <v>0</v>
      </c>
      <c r="EO22" s="688">
        <f t="shared" si="24"/>
        <v>0</v>
      </c>
      <c r="EP22" s="687">
        <f t="shared" si="24"/>
        <v>0</v>
      </c>
      <c r="EQ22" s="739">
        <f t="shared" si="25"/>
        <v>3574658.56</v>
      </c>
      <c r="ER22" s="739" t="e">
        <f t="shared" si="25"/>
        <v>#REF!</v>
      </c>
      <c r="ES22" s="739" t="e">
        <f t="shared" si="25"/>
        <v>#REF!</v>
      </c>
      <c r="ET22" s="739" t="e">
        <f t="shared" si="25"/>
        <v>#REF!</v>
      </c>
      <c r="EU22" s="739" t="e">
        <f t="shared" si="25"/>
        <v>#REF!</v>
      </c>
      <c r="EV22" s="740" t="e">
        <f t="shared" si="25"/>
        <v>#REF!</v>
      </c>
      <c r="EW22" s="438" t="e">
        <f>SUM('общ.сводрайон без курсовой '!C22-#REF!-#REF!)</f>
        <v>#REF!</v>
      </c>
      <c r="EX22" s="438" t="e">
        <f>SUM('общ.сводрайон без курсовой '!D22-#REF!-#REF!)</f>
        <v>#REF!</v>
      </c>
      <c r="EY22" s="438" t="e">
        <f>SUM('общ.сводрайон без курсовой '!E22-#REF!-#REF!)</f>
        <v>#REF!</v>
      </c>
      <c r="EZ22" s="438" t="e">
        <f>SUM('общ.сводрайон без курсовой '!F22-#REF!-#REF!)</f>
        <v>#REF!</v>
      </c>
    </row>
    <row r="23" spans="1:156" s="439" customFormat="1" ht="18.95" customHeight="1">
      <c r="A23" s="426">
        <f>A22+1</f>
        <v>13</v>
      </c>
      <c r="B23" s="427" t="s">
        <v>95</v>
      </c>
      <c r="C23" s="425">
        <v>381840</v>
      </c>
      <c r="D23" s="428">
        <v>11104</v>
      </c>
      <c r="E23" s="428">
        <v>17528</v>
      </c>
      <c r="F23" s="428">
        <f>SUM(C23+D23-E23)</f>
        <v>375416</v>
      </c>
      <c r="G23" s="428">
        <v>88</v>
      </c>
      <c r="H23" s="453"/>
      <c r="I23" s="425">
        <v>0</v>
      </c>
      <c r="J23" s="428"/>
      <c r="K23" s="428"/>
      <c r="L23" s="428">
        <f>SUM(I23+J23-K23)</f>
        <v>0</v>
      </c>
      <c r="M23" s="508"/>
      <c r="N23" s="453"/>
      <c r="O23" s="425">
        <v>1346926</v>
      </c>
      <c r="P23" s="428">
        <v>169100</v>
      </c>
      <c r="Q23" s="428">
        <v>101990</v>
      </c>
      <c r="R23" s="428">
        <f>SUM(O23+P23-Q23)</f>
        <v>1414036</v>
      </c>
      <c r="S23" s="428"/>
      <c r="T23" s="453"/>
      <c r="U23" s="425">
        <v>15000</v>
      </c>
      <c r="V23" s="428"/>
      <c r="W23" s="428"/>
      <c r="X23" s="428">
        <f>SUM(U23+V23-W23)</f>
        <v>15000</v>
      </c>
      <c r="Y23" s="428"/>
      <c r="Z23" s="453"/>
      <c r="AA23" s="425">
        <f>307187.72+28.5</f>
        <v>307216.21999999997</v>
      </c>
      <c r="AB23" s="428">
        <v>171642.08</v>
      </c>
      <c r="AC23" s="428">
        <v>7766</v>
      </c>
      <c r="AD23" s="428">
        <f>SUM(AA23+AB23-AC23)</f>
        <v>471092.29999999993</v>
      </c>
      <c r="AE23" s="428">
        <v>359</v>
      </c>
      <c r="AF23" s="453"/>
      <c r="AG23" s="425">
        <v>0</v>
      </c>
      <c r="AH23" s="428"/>
      <c r="AI23" s="428"/>
      <c r="AJ23" s="428">
        <f>SUM(AG23+AH23-AI23)</f>
        <v>0</v>
      </c>
      <c r="AK23" s="428"/>
      <c r="AL23" s="453"/>
      <c r="AM23" s="425">
        <v>0</v>
      </c>
      <c r="AN23" s="428"/>
      <c r="AO23" s="428"/>
      <c r="AP23" s="428">
        <f>SUM(AM23+AN23-AO23)</f>
        <v>0</v>
      </c>
      <c r="AQ23" s="428"/>
      <c r="AR23" s="453"/>
      <c r="AS23" s="425">
        <v>0</v>
      </c>
      <c r="AT23" s="428">
        <v>0</v>
      </c>
      <c r="AU23" s="428">
        <v>0</v>
      </c>
      <c r="AV23" s="428">
        <f>SUM(AS23+AT23-AU23)</f>
        <v>0</v>
      </c>
      <c r="AW23" s="508">
        <v>0</v>
      </c>
      <c r="AX23" s="453">
        <v>0</v>
      </c>
      <c r="AY23" s="425">
        <f>4874742+870</f>
        <v>4875612</v>
      </c>
      <c r="AZ23" s="428">
        <v>312739</v>
      </c>
      <c r="BA23" s="428">
        <v>576838</v>
      </c>
      <c r="BB23" s="428">
        <f>SUM(AY23+AZ23-BA23)</f>
        <v>4611513</v>
      </c>
      <c r="BC23" s="428">
        <v>1851</v>
      </c>
      <c r="BD23" s="453"/>
      <c r="BE23" s="425">
        <f>103176+771</f>
        <v>103947</v>
      </c>
      <c r="BF23" s="428"/>
      <c r="BG23" s="428"/>
      <c r="BH23" s="428">
        <f>SUM(BE23+BF23-BG23)</f>
        <v>103947</v>
      </c>
      <c r="BI23" s="83">
        <v>84</v>
      </c>
      <c r="BJ23" s="626">
        <v>-360</v>
      </c>
      <c r="BK23" s="425">
        <v>101784</v>
      </c>
      <c r="BL23" s="428" t="e">
        <f>SUM(#REF!)</f>
        <v>#REF!</v>
      </c>
      <c r="BM23" s="428" t="e">
        <f>SUM(#REF!)</f>
        <v>#REF!</v>
      </c>
      <c r="BN23" s="428" t="e">
        <f t="shared" si="21"/>
        <v>#REF!</v>
      </c>
      <c r="BO23" s="428" t="e">
        <f>SUM(#REF!)</f>
        <v>#REF!</v>
      </c>
      <c r="BP23" s="428" t="e">
        <f>SUM(#REF!)</f>
        <v>#REF!</v>
      </c>
      <c r="BQ23" s="741">
        <f t="shared" si="22"/>
        <v>7132325.2199999997</v>
      </c>
      <c r="BR23" s="741" t="e">
        <f t="shared" si="22"/>
        <v>#REF!</v>
      </c>
      <c r="BS23" s="741" t="e">
        <f t="shared" si="22"/>
        <v>#REF!</v>
      </c>
      <c r="BT23" s="741" t="e">
        <f t="shared" si="22"/>
        <v>#REF!</v>
      </c>
      <c r="BU23" s="562" t="e">
        <f t="shared" si="22"/>
        <v>#REF!</v>
      </c>
      <c r="BV23" s="676" t="e">
        <f t="shared" si="22"/>
        <v>#REF!</v>
      </c>
      <c r="BW23" s="425"/>
      <c r="BX23" s="428"/>
      <c r="BY23" s="428"/>
      <c r="BZ23" s="428"/>
      <c r="CA23" s="429">
        <f t="shared" si="23"/>
        <v>0</v>
      </c>
      <c r="CB23" s="430"/>
      <c r="CC23" s="425"/>
      <c r="CD23" s="428"/>
      <c r="CE23" s="428"/>
      <c r="CF23" s="428"/>
      <c r="CG23" s="428"/>
      <c r="CH23" s="453"/>
      <c r="CI23" s="455"/>
      <c r="CJ23" s="456"/>
      <c r="CK23" s="456"/>
      <c r="CL23" s="456"/>
      <c r="CM23" s="457"/>
      <c r="CN23" s="460"/>
      <c r="CO23" s="425"/>
      <c r="CP23" s="428"/>
      <c r="CQ23" s="428"/>
      <c r="CR23" s="428">
        <f>SUM(CO23+CP23-CQ23)</f>
        <v>0</v>
      </c>
      <c r="CS23" s="428"/>
      <c r="CT23" s="453"/>
      <c r="CU23" s="425"/>
      <c r="CV23" s="428"/>
      <c r="CW23" s="428"/>
      <c r="CX23" s="428"/>
      <c r="CY23" s="428"/>
      <c r="CZ23" s="632"/>
      <c r="DA23" s="726"/>
      <c r="DB23" s="9"/>
      <c r="DC23" s="9"/>
      <c r="DD23" s="9">
        <f>SUM(DA23+DB23-DC23)</f>
        <v>0</v>
      </c>
      <c r="DE23" s="9"/>
      <c r="DF23" s="727"/>
      <c r="DG23" s="472"/>
      <c r="DH23" s="472"/>
      <c r="DI23" s="472"/>
      <c r="DJ23" s="472"/>
      <c r="DK23" s="472"/>
      <c r="DL23" s="472"/>
      <c r="DM23" s="703"/>
      <c r="DN23" s="428"/>
      <c r="DO23" s="428"/>
      <c r="DP23" s="428"/>
      <c r="DQ23" s="428"/>
      <c r="DR23" s="704"/>
      <c r="DS23" s="617"/>
      <c r="DT23" s="617"/>
      <c r="DU23" s="617"/>
      <c r="DV23" s="617"/>
      <c r="DW23" s="617"/>
      <c r="DX23" s="617"/>
      <c r="DY23" s="425"/>
      <c r="DZ23" s="428"/>
      <c r="EA23" s="428"/>
      <c r="EB23" s="428"/>
      <c r="EC23" s="428"/>
      <c r="ED23" s="453"/>
      <c r="EE23" s="587"/>
      <c r="EF23" s="437"/>
      <c r="EG23" s="437"/>
      <c r="EH23" s="437"/>
      <c r="EI23" s="437"/>
      <c r="EJ23" s="453"/>
      <c r="EK23" s="688">
        <f t="shared" si="24"/>
        <v>0</v>
      </c>
      <c r="EL23" s="688">
        <f t="shared" si="24"/>
        <v>0</v>
      </c>
      <c r="EM23" s="688">
        <f t="shared" si="24"/>
        <v>0</v>
      </c>
      <c r="EN23" s="688">
        <f t="shared" si="24"/>
        <v>0</v>
      </c>
      <c r="EO23" s="688">
        <f t="shared" si="24"/>
        <v>0</v>
      </c>
      <c r="EP23" s="687">
        <f t="shared" si="24"/>
        <v>0</v>
      </c>
      <c r="EQ23" s="739">
        <f t="shared" si="25"/>
        <v>7132325.2199999997</v>
      </c>
      <c r="ER23" s="739" t="e">
        <f t="shared" si="25"/>
        <v>#REF!</v>
      </c>
      <c r="ES23" s="739" t="e">
        <f t="shared" si="25"/>
        <v>#REF!</v>
      </c>
      <c r="ET23" s="739" t="e">
        <f t="shared" si="25"/>
        <v>#REF!</v>
      </c>
      <c r="EU23" s="739" t="e">
        <f t="shared" si="25"/>
        <v>#REF!</v>
      </c>
      <c r="EV23" s="740" t="e">
        <f t="shared" si="25"/>
        <v>#REF!</v>
      </c>
      <c r="EW23" s="438" t="e">
        <f>SUM('общ.сводрайон без курсовой '!C23-#REF!-#REF!)</f>
        <v>#REF!</v>
      </c>
      <c r="EX23" s="438" t="e">
        <f>SUM('общ.сводрайон без курсовой '!D23-#REF!-#REF!)</f>
        <v>#REF!</v>
      </c>
      <c r="EY23" s="438" t="e">
        <f>SUM('общ.сводрайон без курсовой '!E23-#REF!-#REF!)</f>
        <v>#REF!</v>
      </c>
      <c r="EZ23" s="438" t="e">
        <f>SUM('общ.сводрайон без курсовой '!F23-#REF!-#REF!)</f>
        <v>#REF!</v>
      </c>
    </row>
    <row r="24" spans="1:156" s="439" customFormat="1" ht="18.95" customHeight="1">
      <c r="A24" s="1219" t="s">
        <v>55</v>
      </c>
      <c r="B24" s="1220"/>
      <c r="C24" s="445">
        <f t="shared" ref="C24:BN24" si="26">SUM(C19:C23)</f>
        <v>3099227</v>
      </c>
      <c r="D24" s="446">
        <f t="shared" si="26"/>
        <v>104421</v>
      </c>
      <c r="E24" s="446">
        <f t="shared" si="26"/>
        <v>226543</v>
      </c>
      <c r="F24" s="446">
        <f t="shared" si="26"/>
        <v>2977105</v>
      </c>
      <c r="G24" s="446">
        <f t="shared" si="26"/>
        <v>1609</v>
      </c>
      <c r="H24" s="447">
        <f t="shared" si="26"/>
        <v>0</v>
      </c>
      <c r="I24" s="445">
        <f t="shared" si="26"/>
        <v>1880121</v>
      </c>
      <c r="J24" s="446">
        <f t="shared" si="26"/>
        <v>0</v>
      </c>
      <c r="K24" s="446">
        <f t="shared" si="26"/>
        <v>37205</v>
      </c>
      <c r="L24" s="446">
        <f t="shared" si="26"/>
        <v>1842916</v>
      </c>
      <c r="M24" s="527">
        <f t="shared" si="26"/>
        <v>793</v>
      </c>
      <c r="N24" s="447">
        <f t="shared" si="26"/>
        <v>0</v>
      </c>
      <c r="O24" s="445">
        <f t="shared" si="26"/>
        <v>8106996.0999999996</v>
      </c>
      <c r="P24" s="446">
        <f t="shared" si="26"/>
        <v>575984</v>
      </c>
      <c r="Q24" s="446">
        <f t="shared" si="26"/>
        <v>512218.1</v>
      </c>
      <c r="R24" s="446">
        <f t="shared" si="26"/>
        <v>8170762</v>
      </c>
      <c r="S24" s="446">
        <f t="shared" si="26"/>
        <v>407</v>
      </c>
      <c r="T24" s="447">
        <f t="shared" si="26"/>
        <v>0</v>
      </c>
      <c r="U24" s="445">
        <f t="shared" si="26"/>
        <v>150000</v>
      </c>
      <c r="V24" s="446">
        <f t="shared" si="26"/>
        <v>0</v>
      </c>
      <c r="W24" s="446">
        <f t="shared" si="26"/>
        <v>0</v>
      </c>
      <c r="X24" s="446">
        <f t="shared" si="26"/>
        <v>150000</v>
      </c>
      <c r="Y24" s="446">
        <f t="shared" si="26"/>
        <v>0</v>
      </c>
      <c r="Z24" s="447">
        <f t="shared" si="26"/>
        <v>0</v>
      </c>
      <c r="AA24" s="445">
        <f t="shared" si="26"/>
        <v>1210241.8900000001</v>
      </c>
      <c r="AB24" s="446">
        <f t="shared" si="26"/>
        <v>328400.43</v>
      </c>
      <c r="AC24" s="446">
        <f t="shared" si="26"/>
        <v>41346.960000000006</v>
      </c>
      <c r="AD24" s="446">
        <f t="shared" si="26"/>
        <v>1497295.3599999999</v>
      </c>
      <c r="AE24" s="446">
        <f t="shared" si="26"/>
        <v>841</v>
      </c>
      <c r="AF24" s="447">
        <f t="shared" si="26"/>
        <v>0</v>
      </c>
      <c r="AG24" s="445">
        <f t="shared" si="26"/>
        <v>0</v>
      </c>
      <c r="AH24" s="446">
        <f t="shared" si="26"/>
        <v>0</v>
      </c>
      <c r="AI24" s="446">
        <f t="shared" si="26"/>
        <v>0</v>
      </c>
      <c r="AJ24" s="446">
        <f t="shared" si="26"/>
        <v>0</v>
      </c>
      <c r="AK24" s="446">
        <f t="shared" si="26"/>
        <v>0</v>
      </c>
      <c r="AL24" s="447">
        <f t="shared" si="26"/>
        <v>0</v>
      </c>
      <c r="AM24" s="445">
        <f t="shared" si="26"/>
        <v>0</v>
      </c>
      <c r="AN24" s="446">
        <f t="shared" si="26"/>
        <v>0</v>
      </c>
      <c r="AO24" s="446">
        <f t="shared" si="26"/>
        <v>0</v>
      </c>
      <c r="AP24" s="446">
        <f t="shared" si="26"/>
        <v>0</v>
      </c>
      <c r="AQ24" s="446">
        <f t="shared" si="26"/>
        <v>0</v>
      </c>
      <c r="AR24" s="447">
        <f t="shared" si="26"/>
        <v>0</v>
      </c>
      <c r="AS24" s="445">
        <f t="shared" si="26"/>
        <v>0</v>
      </c>
      <c r="AT24" s="446">
        <f t="shared" si="26"/>
        <v>0</v>
      </c>
      <c r="AU24" s="446">
        <f t="shared" si="26"/>
        <v>0</v>
      </c>
      <c r="AV24" s="446">
        <f t="shared" si="26"/>
        <v>0</v>
      </c>
      <c r="AW24" s="527">
        <f t="shared" si="26"/>
        <v>0</v>
      </c>
      <c r="AX24" s="447">
        <f t="shared" si="26"/>
        <v>0</v>
      </c>
      <c r="AY24" s="445">
        <f t="shared" si="26"/>
        <v>10834836</v>
      </c>
      <c r="AZ24" s="446">
        <f t="shared" si="26"/>
        <v>808061</v>
      </c>
      <c r="BA24" s="446">
        <f t="shared" si="26"/>
        <v>1203678</v>
      </c>
      <c r="BB24" s="446">
        <f t="shared" si="26"/>
        <v>10439219</v>
      </c>
      <c r="BC24" s="446">
        <f t="shared" si="26"/>
        <v>3762</v>
      </c>
      <c r="BD24" s="447">
        <f t="shared" si="26"/>
        <v>0</v>
      </c>
      <c r="BE24" s="445">
        <f t="shared" si="26"/>
        <v>207579</v>
      </c>
      <c r="BF24" s="446">
        <f t="shared" si="26"/>
        <v>0</v>
      </c>
      <c r="BG24" s="446">
        <f t="shared" si="26"/>
        <v>0</v>
      </c>
      <c r="BH24" s="446">
        <f t="shared" si="26"/>
        <v>207579</v>
      </c>
      <c r="BI24" s="746">
        <f t="shared" si="26"/>
        <v>496</v>
      </c>
      <c r="BJ24" s="746">
        <f t="shared" si="26"/>
        <v>-480</v>
      </c>
      <c r="BK24" s="445">
        <f t="shared" si="26"/>
        <v>826921.28</v>
      </c>
      <c r="BL24" s="446" t="e">
        <f t="shared" si="26"/>
        <v>#REF!</v>
      </c>
      <c r="BM24" s="446" t="e">
        <f t="shared" si="26"/>
        <v>#REF!</v>
      </c>
      <c r="BN24" s="446" t="e">
        <f t="shared" si="26"/>
        <v>#REF!</v>
      </c>
      <c r="BO24" s="446" t="e">
        <f t="shared" ref="BO24:DZ24" si="27">SUM(BO19:BO23)</f>
        <v>#REF!</v>
      </c>
      <c r="BP24" s="447" t="e">
        <f t="shared" si="27"/>
        <v>#REF!</v>
      </c>
      <c r="BQ24" s="548">
        <f t="shared" si="27"/>
        <v>26315922.269999996</v>
      </c>
      <c r="BR24" s="551" t="e">
        <f t="shared" si="27"/>
        <v>#REF!</v>
      </c>
      <c r="BS24" s="551" t="e">
        <f t="shared" si="27"/>
        <v>#REF!</v>
      </c>
      <c r="BT24" s="551" t="e">
        <f t="shared" si="27"/>
        <v>#REF!</v>
      </c>
      <c r="BU24" s="551" t="e">
        <f t="shared" si="27"/>
        <v>#REF!</v>
      </c>
      <c r="BV24" s="575" t="e">
        <f t="shared" si="27"/>
        <v>#REF!</v>
      </c>
      <c r="BW24" s="445">
        <f t="shared" si="27"/>
        <v>0</v>
      </c>
      <c r="BX24" s="446">
        <f t="shared" si="27"/>
        <v>0</v>
      </c>
      <c r="BY24" s="446">
        <f t="shared" si="27"/>
        <v>0</v>
      </c>
      <c r="BZ24" s="446">
        <f t="shared" si="27"/>
        <v>0</v>
      </c>
      <c r="CA24" s="446">
        <f t="shared" si="27"/>
        <v>0</v>
      </c>
      <c r="CB24" s="447">
        <f t="shared" si="27"/>
        <v>0</v>
      </c>
      <c r="CC24" s="445">
        <f t="shared" si="27"/>
        <v>0</v>
      </c>
      <c r="CD24" s="446">
        <f t="shared" si="27"/>
        <v>0</v>
      </c>
      <c r="CE24" s="446">
        <f t="shared" si="27"/>
        <v>0</v>
      </c>
      <c r="CF24" s="446">
        <f t="shared" si="27"/>
        <v>0</v>
      </c>
      <c r="CG24" s="446">
        <f t="shared" si="27"/>
        <v>0</v>
      </c>
      <c r="CH24" s="447">
        <f t="shared" si="27"/>
        <v>0</v>
      </c>
      <c r="CI24" s="448">
        <f t="shared" si="27"/>
        <v>142000</v>
      </c>
      <c r="CJ24" s="451">
        <f t="shared" si="27"/>
        <v>160000</v>
      </c>
      <c r="CK24" s="451">
        <f t="shared" si="27"/>
        <v>52000</v>
      </c>
      <c r="CL24" s="451">
        <f t="shared" si="27"/>
        <v>250000</v>
      </c>
      <c r="CM24" s="458">
        <f t="shared" si="27"/>
        <v>0</v>
      </c>
      <c r="CN24" s="452">
        <f t="shared" si="27"/>
        <v>0</v>
      </c>
      <c r="CO24" s="445">
        <f t="shared" si="27"/>
        <v>0</v>
      </c>
      <c r="CP24" s="446">
        <f t="shared" si="27"/>
        <v>0</v>
      </c>
      <c r="CQ24" s="446">
        <f t="shared" si="27"/>
        <v>0</v>
      </c>
      <c r="CR24" s="446">
        <f t="shared" si="27"/>
        <v>0</v>
      </c>
      <c r="CS24" s="446">
        <f t="shared" si="27"/>
        <v>0</v>
      </c>
      <c r="CT24" s="447">
        <f t="shared" si="27"/>
        <v>0</v>
      </c>
      <c r="CU24" s="445">
        <f t="shared" si="27"/>
        <v>0</v>
      </c>
      <c r="CV24" s="446">
        <f t="shared" si="27"/>
        <v>0</v>
      </c>
      <c r="CW24" s="446">
        <f t="shared" si="27"/>
        <v>0</v>
      </c>
      <c r="CX24" s="446">
        <f t="shared" si="27"/>
        <v>0</v>
      </c>
      <c r="CY24" s="446">
        <f t="shared" si="27"/>
        <v>0</v>
      </c>
      <c r="CZ24" s="715">
        <f t="shared" si="27"/>
        <v>0</v>
      </c>
      <c r="DA24" s="724">
        <f t="shared" si="27"/>
        <v>0</v>
      </c>
      <c r="DB24" s="578">
        <f t="shared" si="27"/>
        <v>0</v>
      </c>
      <c r="DC24" s="578">
        <f t="shared" si="27"/>
        <v>0</v>
      </c>
      <c r="DD24" s="578">
        <f t="shared" si="27"/>
        <v>0</v>
      </c>
      <c r="DE24" s="578">
        <f t="shared" si="27"/>
        <v>0</v>
      </c>
      <c r="DF24" s="725">
        <f t="shared" si="27"/>
        <v>0</v>
      </c>
      <c r="DG24" s="684"/>
      <c r="DH24" s="686"/>
      <c r="DI24" s="686"/>
      <c r="DJ24" s="686"/>
      <c r="DK24" s="686"/>
      <c r="DL24" s="683"/>
      <c r="DM24" s="701">
        <f t="shared" si="27"/>
        <v>0</v>
      </c>
      <c r="DN24" s="446">
        <f t="shared" si="27"/>
        <v>0</v>
      </c>
      <c r="DO24" s="446">
        <f t="shared" si="27"/>
        <v>0</v>
      </c>
      <c r="DP24" s="446">
        <f t="shared" si="27"/>
        <v>0</v>
      </c>
      <c r="DQ24" s="446">
        <f t="shared" si="27"/>
        <v>0</v>
      </c>
      <c r="DR24" s="702">
        <f t="shared" si="27"/>
        <v>0</v>
      </c>
      <c r="DS24" s="616"/>
      <c r="DT24" s="616"/>
      <c r="DU24" s="616"/>
      <c r="DV24" s="616"/>
      <c r="DW24" s="616"/>
      <c r="DX24" s="616"/>
      <c r="DY24" s="445">
        <f t="shared" si="27"/>
        <v>0</v>
      </c>
      <c r="DZ24" s="446">
        <f t="shared" si="27"/>
        <v>0</v>
      </c>
      <c r="EA24" s="446">
        <f t="shared" ref="EA24:EV24" si="28">SUM(EA19:EA23)</f>
        <v>0</v>
      </c>
      <c r="EB24" s="446">
        <f t="shared" si="28"/>
        <v>0</v>
      </c>
      <c r="EC24" s="446">
        <f t="shared" si="28"/>
        <v>0</v>
      </c>
      <c r="ED24" s="447">
        <f t="shared" si="28"/>
        <v>0</v>
      </c>
      <c r="EE24" s="445">
        <f t="shared" si="28"/>
        <v>0</v>
      </c>
      <c r="EF24" s="446">
        <f t="shared" si="28"/>
        <v>0</v>
      </c>
      <c r="EG24" s="446">
        <f t="shared" si="28"/>
        <v>0</v>
      </c>
      <c r="EH24" s="446">
        <f t="shared" si="28"/>
        <v>0</v>
      </c>
      <c r="EI24" s="446">
        <f t="shared" si="28"/>
        <v>0</v>
      </c>
      <c r="EJ24" s="447">
        <f t="shared" si="28"/>
        <v>0</v>
      </c>
      <c r="EK24" s="690">
        <f t="shared" ref="EK24:EP24" si="29">SUM(EK19:EK23)</f>
        <v>142000</v>
      </c>
      <c r="EL24" s="690">
        <f t="shared" si="29"/>
        <v>160000</v>
      </c>
      <c r="EM24" s="690">
        <f t="shared" si="29"/>
        <v>52000</v>
      </c>
      <c r="EN24" s="690">
        <f t="shared" si="29"/>
        <v>250000</v>
      </c>
      <c r="EO24" s="690">
        <f t="shared" si="29"/>
        <v>0</v>
      </c>
      <c r="EP24" s="616">
        <f t="shared" si="29"/>
        <v>0</v>
      </c>
      <c r="EQ24" s="596">
        <f t="shared" si="28"/>
        <v>26457922.269999996</v>
      </c>
      <c r="ER24" s="597" t="e">
        <f t="shared" si="28"/>
        <v>#REF!</v>
      </c>
      <c r="ES24" s="597" t="e">
        <f t="shared" si="28"/>
        <v>#REF!</v>
      </c>
      <c r="ET24" s="597" t="e">
        <f t="shared" si="28"/>
        <v>#REF!</v>
      </c>
      <c r="EU24" s="597" t="e">
        <f t="shared" si="28"/>
        <v>#REF!</v>
      </c>
      <c r="EV24" s="598" t="e">
        <f t="shared" si="28"/>
        <v>#REF!</v>
      </c>
    </row>
    <row r="25" spans="1:156" s="439" customFormat="1" ht="18.95" customHeight="1">
      <c r="A25" s="1217" t="s">
        <v>264</v>
      </c>
      <c r="B25" s="1218"/>
      <c r="C25" s="425"/>
      <c r="D25" s="429"/>
      <c r="E25" s="429"/>
      <c r="F25" s="634">
        <f>SUM(F24+G24)</f>
        <v>2978714</v>
      </c>
      <c r="G25" s="429"/>
      <c r="H25" s="430"/>
      <c r="I25" s="425"/>
      <c r="J25" s="429"/>
      <c r="K25" s="429"/>
      <c r="L25" s="428">
        <f>SUM(L24+M24)</f>
        <v>1843709</v>
      </c>
      <c r="M25" s="541"/>
      <c r="N25" s="430"/>
      <c r="O25" s="425"/>
      <c r="P25" s="429"/>
      <c r="Q25" s="429"/>
      <c r="R25" s="428">
        <f>SUM(R24+S24-T24)</f>
        <v>8171169</v>
      </c>
      <c r="S25" s="429"/>
      <c r="T25" s="430"/>
      <c r="U25" s="425"/>
      <c r="V25" s="429"/>
      <c r="W25" s="429"/>
      <c r="X25" s="428"/>
      <c r="Y25" s="429"/>
      <c r="Z25" s="430"/>
      <c r="AA25" s="425"/>
      <c r="AB25" s="429"/>
      <c r="AC25" s="429"/>
      <c r="AD25" s="428"/>
      <c r="AE25" s="429"/>
      <c r="AF25" s="430"/>
      <c r="AG25" s="425"/>
      <c r="AH25" s="429"/>
      <c r="AI25" s="429"/>
      <c r="AJ25" s="428"/>
      <c r="AK25" s="429"/>
      <c r="AL25" s="430"/>
      <c r="AM25" s="425"/>
      <c r="AN25" s="429"/>
      <c r="AO25" s="429"/>
      <c r="AP25" s="428"/>
      <c r="AQ25" s="429"/>
      <c r="AR25" s="430"/>
      <c r="AS25" s="425"/>
      <c r="AT25" s="429"/>
      <c r="AU25" s="429"/>
      <c r="AV25" s="428"/>
      <c r="AW25" s="541"/>
      <c r="AX25" s="430"/>
      <c r="AY25" s="425"/>
      <c r="AZ25" s="429"/>
      <c r="BA25" s="429"/>
      <c r="BB25" s="545">
        <f>SUM(BB24+BC24)</f>
        <v>10442981</v>
      </c>
      <c r="BC25" s="429"/>
      <c r="BD25" s="430"/>
      <c r="BE25" s="425"/>
      <c r="BF25" s="429"/>
      <c r="BG25" s="429"/>
      <c r="BH25" s="545">
        <f>SUM(BH24+BI24)</f>
        <v>208075</v>
      </c>
      <c r="BI25" s="207"/>
      <c r="BJ25" s="361"/>
      <c r="BK25" s="425"/>
      <c r="BL25" s="428"/>
      <c r="BM25" s="428"/>
      <c r="BN25" s="428"/>
      <c r="BO25" s="428"/>
      <c r="BP25" s="453"/>
      <c r="BQ25" s="562"/>
      <c r="BR25" s="563"/>
      <c r="BS25" s="563"/>
      <c r="BT25" s="563"/>
      <c r="BU25" s="566"/>
      <c r="BV25" s="565"/>
      <c r="BW25" s="425"/>
      <c r="BX25" s="428"/>
      <c r="BY25" s="428"/>
      <c r="BZ25" s="428"/>
      <c r="CA25" s="429"/>
      <c r="CB25" s="430"/>
      <c r="CC25" s="425"/>
      <c r="CD25" s="428"/>
      <c r="CE25" s="428"/>
      <c r="CF25" s="428"/>
      <c r="CG25" s="428"/>
      <c r="CH25" s="453"/>
      <c r="CI25" s="432"/>
      <c r="CJ25" s="432"/>
      <c r="CK25" s="432"/>
      <c r="CL25" s="432"/>
      <c r="CM25" s="432"/>
      <c r="CN25" s="460"/>
      <c r="CO25" s="425"/>
      <c r="CP25" s="428"/>
      <c r="CQ25" s="428"/>
      <c r="CR25" s="428"/>
      <c r="CS25" s="428"/>
      <c r="CT25" s="453"/>
      <c r="CU25" s="425"/>
      <c r="CV25" s="428"/>
      <c r="CW25" s="428"/>
      <c r="CX25" s="428"/>
      <c r="CY25" s="428"/>
      <c r="CZ25" s="632"/>
      <c r="DA25" s="726"/>
      <c r="DB25" s="9"/>
      <c r="DC25" s="9"/>
      <c r="DD25" s="9"/>
      <c r="DE25" s="9"/>
      <c r="DF25" s="727"/>
      <c r="DG25" s="472"/>
      <c r="DH25" s="472"/>
      <c r="DI25" s="472"/>
      <c r="DJ25" s="472"/>
      <c r="DK25" s="472"/>
      <c r="DL25" s="472"/>
      <c r="DM25" s="703"/>
      <c r="DN25" s="428"/>
      <c r="DO25" s="428"/>
      <c r="DP25" s="428"/>
      <c r="DQ25" s="428"/>
      <c r="DR25" s="704"/>
      <c r="DS25" s="617"/>
      <c r="DT25" s="617"/>
      <c r="DU25" s="617"/>
      <c r="DV25" s="617"/>
      <c r="DW25" s="617"/>
      <c r="DX25" s="617"/>
      <c r="DY25" s="425"/>
      <c r="DZ25" s="428"/>
      <c r="EA25" s="428"/>
      <c r="EB25" s="634">
        <f>SUM(DY24+DZ24-EA24+EC24-ED24)</f>
        <v>0</v>
      </c>
      <c r="EC25" s="428"/>
      <c r="ED25" s="453"/>
      <c r="EE25" s="587"/>
      <c r="EF25" s="437"/>
      <c r="EG25" s="437"/>
      <c r="EH25" s="437"/>
      <c r="EI25" s="437"/>
      <c r="EJ25" s="453"/>
      <c r="EK25" s="687"/>
      <c r="EL25" s="617"/>
      <c r="EM25" s="617"/>
      <c r="EN25" s="617"/>
      <c r="EO25" s="617"/>
      <c r="EP25" s="617"/>
      <c r="EQ25" s="594"/>
      <c r="ER25" s="595"/>
      <c r="ES25" s="595"/>
      <c r="ET25" s="595"/>
      <c r="EU25" s="595"/>
      <c r="EV25" s="599"/>
    </row>
    <row r="26" spans="1:156" s="439" customFormat="1" ht="18.95" customHeight="1">
      <c r="A26" s="440">
        <v>14</v>
      </c>
      <c r="B26" s="441" t="s">
        <v>59</v>
      </c>
      <c r="C26" s="425">
        <f>991142+4485</f>
        <v>995627</v>
      </c>
      <c r="D26" s="428">
        <v>165232</v>
      </c>
      <c r="E26" s="428">
        <v>101162</v>
      </c>
      <c r="F26" s="428">
        <f t="shared" ref="F26:F33" si="30">SUM(C26+D26-E26)</f>
        <v>1059697</v>
      </c>
      <c r="G26" s="428">
        <v>286</v>
      </c>
      <c r="H26" s="453"/>
      <c r="I26" s="425">
        <f>1215619+1536</f>
        <v>1217155</v>
      </c>
      <c r="J26" s="428">
        <v>128000</v>
      </c>
      <c r="K26" s="428">
        <v>0</v>
      </c>
      <c r="L26" s="428">
        <f t="shared" ref="L26:L33" si="31">SUM(I26+J26-K26)</f>
        <v>1345155</v>
      </c>
      <c r="M26" s="508">
        <v>42</v>
      </c>
      <c r="N26" s="453"/>
      <c r="O26" s="442">
        <v>985164</v>
      </c>
      <c r="P26" s="443">
        <v>194000</v>
      </c>
      <c r="Q26" s="443">
        <v>63777</v>
      </c>
      <c r="R26" s="428">
        <f t="shared" ref="R26:R33" si="32">SUM(O26+P26-Q26)</f>
        <v>1115387</v>
      </c>
      <c r="S26" s="428"/>
      <c r="T26" s="453"/>
      <c r="U26" s="425">
        <v>0</v>
      </c>
      <c r="V26" s="428"/>
      <c r="W26" s="428"/>
      <c r="X26" s="428">
        <f>SUM(U26+V26-W26)</f>
        <v>0</v>
      </c>
      <c r="Y26" s="428"/>
      <c r="Z26" s="453"/>
      <c r="AA26" s="425">
        <f>262779.76+328.02</f>
        <v>263107.78000000003</v>
      </c>
      <c r="AB26" s="428">
        <v>104534.13499999999</v>
      </c>
      <c r="AC26" s="428">
        <v>29811.816899999998</v>
      </c>
      <c r="AD26" s="428">
        <f t="shared" ref="AD26:AD33" si="33">SUM(AA26+AB26-AC26)</f>
        <v>337830.09810000006</v>
      </c>
      <c r="AE26" s="428">
        <v>1100</v>
      </c>
      <c r="AF26" s="453"/>
      <c r="AG26" s="425">
        <v>0</v>
      </c>
      <c r="AH26" s="428"/>
      <c r="AI26" s="428"/>
      <c r="AJ26" s="428">
        <f t="shared" ref="AJ26:AJ33" si="34">SUM(AG26+AH26-AI26)</f>
        <v>0</v>
      </c>
      <c r="AK26" s="428"/>
      <c r="AL26" s="453"/>
      <c r="AM26" s="425">
        <v>0</v>
      </c>
      <c r="AN26" s="428"/>
      <c r="AO26" s="428"/>
      <c r="AP26" s="428">
        <f t="shared" ref="AP26:AP33" si="35">SUM(AM26+AN26-AO26)</f>
        <v>0</v>
      </c>
      <c r="AQ26" s="428"/>
      <c r="AR26" s="453"/>
      <c r="AS26" s="425">
        <v>0</v>
      </c>
      <c r="AT26" s="428">
        <v>0</v>
      </c>
      <c r="AU26" s="428">
        <v>0</v>
      </c>
      <c r="AV26" s="428">
        <f t="shared" ref="AV26:AV32" si="36">SUM(AS26+AT26-AU26)</f>
        <v>0</v>
      </c>
      <c r="AW26" s="508">
        <v>0</v>
      </c>
      <c r="AX26" s="453">
        <v>0</v>
      </c>
      <c r="AY26" s="425">
        <f>1778282+300</f>
        <v>1778582</v>
      </c>
      <c r="AZ26" s="443">
        <v>0</v>
      </c>
      <c r="BA26" s="428">
        <v>109379</v>
      </c>
      <c r="BB26" s="428">
        <f t="shared" ref="BB26:BB33" si="37">SUM(AY26+AZ26-BA26)</f>
        <v>1669203</v>
      </c>
      <c r="BC26" s="428">
        <v>680</v>
      </c>
      <c r="BD26" s="453"/>
      <c r="BE26" s="425">
        <f>12995-7382</f>
        <v>5613</v>
      </c>
      <c r="BF26" s="428"/>
      <c r="BG26" s="428"/>
      <c r="BH26" s="428">
        <f t="shared" ref="BH26:BH33" si="38">SUM(BE26+BF26-BG26)</f>
        <v>5613</v>
      </c>
      <c r="BI26" s="81">
        <v>5</v>
      </c>
      <c r="BJ26" s="629">
        <v>-16</v>
      </c>
      <c r="BK26" s="425">
        <v>451593.97</v>
      </c>
      <c r="BL26" s="428" t="e">
        <f>SUM(#REF!)</f>
        <v>#REF!</v>
      </c>
      <c r="BM26" s="428" t="e">
        <f>SUM(#REF!)</f>
        <v>#REF!</v>
      </c>
      <c r="BN26" s="428" t="e">
        <f t="shared" si="21"/>
        <v>#REF!</v>
      </c>
      <c r="BO26" s="428" t="e">
        <f>SUM(#REF!)</f>
        <v>#REF!</v>
      </c>
      <c r="BP26" s="428" t="e">
        <f>SUM(#REF!)</f>
        <v>#REF!</v>
      </c>
      <c r="BQ26" s="741">
        <f t="shared" ref="BQ26:BV33" si="39">SUM(C26+I26+O26+AA26+AG26+AM26+AS26+U26+AY26+BK26+BE26)</f>
        <v>5696842.75</v>
      </c>
      <c r="BR26" s="741" t="e">
        <f t="shared" si="39"/>
        <v>#REF!</v>
      </c>
      <c r="BS26" s="741" t="e">
        <f t="shared" si="39"/>
        <v>#REF!</v>
      </c>
      <c r="BT26" s="741" t="e">
        <f t="shared" si="39"/>
        <v>#REF!</v>
      </c>
      <c r="BU26" s="562" t="e">
        <f t="shared" si="39"/>
        <v>#REF!</v>
      </c>
      <c r="BV26" s="676" t="e">
        <f t="shared" si="39"/>
        <v>#REF!</v>
      </c>
      <c r="BW26" s="425">
        <v>0</v>
      </c>
      <c r="BX26" s="429"/>
      <c r="BY26" s="429"/>
      <c r="BZ26" s="428">
        <f t="shared" ref="BZ26:BZ33" si="40">SUM(BW26+BX26-BY26)</f>
        <v>0</v>
      </c>
      <c r="CA26" s="429">
        <f t="shared" si="23"/>
        <v>0</v>
      </c>
      <c r="CB26" s="430"/>
      <c r="CC26" s="425"/>
      <c r="CD26" s="428"/>
      <c r="CE26" s="428"/>
      <c r="CF26" s="428"/>
      <c r="CG26" s="429"/>
      <c r="CH26" s="430"/>
      <c r="CI26" s="432"/>
      <c r="CJ26" s="432"/>
      <c r="CK26" s="432"/>
      <c r="CL26" s="432"/>
      <c r="CM26" s="435"/>
      <c r="CN26" s="459"/>
      <c r="CO26" s="502"/>
      <c r="CP26" s="429"/>
      <c r="CQ26" s="429"/>
      <c r="CR26" s="428">
        <f t="shared" ref="CR26:CR33" si="41">SUM(CO26+CP26-CQ26)</f>
        <v>0</v>
      </c>
      <c r="CS26" s="429"/>
      <c r="CT26" s="430"/>
      <c r="CU26" s="502"/>
      <c r="CV26" s="429"/>
      <c r="CW26" s="429"/>
      <c r="CX26" s="429"/>
      <c r="CY26" s="429"/>
      <c r="CZ26" s="714"/>
      <c r="DA26" s="726">
        <v>0</v>
      </c>
      <c r="DB26" s="422"/>
      <c r="DC26" s="422"/>
      <c r="DD26" s="9">
        <f t="shared" ref="DD26:DD33" si="42">SUM(DA26+DB26-DC26)</f>
        <v>0</v>
      </c>
      <c r="DE26" s="422"/>
      <c r="DF26" s="723"/>
      <c r="DG26" s="472"/>
      <c r="DH26" s="472"/>
      <c r="DI26" s="472"/>
      <c r="DJ26" s="472"/>
      <c r="DK26" s="472"/>
      <c r="DL26" s="472"/>
      <c r="DM26" s="699"/>
      <c r="DN26" s="429"/>
      <c r="DO26" s="429"/>
      <c r="DP26" s="429"/>
      <c r="DQ26" s="429"/>
      <c r="DR26" s="700"/>
      <c r="DS26" s="615"/>
      <c r="DT26" s="615"/>
      <c r="DU26" s="615"/>
      <c r="DV26" s="615"/>
      <c r="DW26" s="615"/>
      <c r="DX26" s="615"/>
      <c r="DY26" s="668">
        <v>9260</v>
      </c>
      <c r="DZ26" s="669"/>
      <c r="EA26" s="669"/>
      <c r="EB26" s="428">
        <f t="shared" ref="EB26:EB33" si="43">SUM(DY26+DZ26-EA26)</f>
        <v>9260</v>
      </c>
      <c r="EC26" s="428">
        <v>7</v>
      </c>
      <c r="ED26" s="453"/>
      <c r="EE26" s="587"/>
      <c r="EF26" s="437"/>
      <c r="EG26" s="437"/>
      <c r="EH26" s="437"/>
      <c r="EI26" s="437"/>
      <c r="EJ26" s="453"/>
      <c r="EK26" s="688">
        <f t="shared" ref="EK26:EP33" si="44">SUM(BW26+CC26+CI26+CO26+CU26+DA26+DG26+DM26+DS26+DY26+EE26)</f>
        <v>9260</v>
      </c>
      <c r="EL26" s="688">
        <f t="shared" si="44"/>
        <v>0</v>
      </c>
      <c r="EM26" s="688">
        <f t="shared" si="44"/>
        <v>0</v>
      </c>
      <c r="EN26" s="688">
        <f t="shared" si="44"/>
        <v>9260</v>
      </c>
      <c r="EO26" s="688">
        <f t="shared" si="44"/>
        <v>7</v>
      </c>
      <c r="EP26" s="687">
        <f t="shared" si="44"/>
        <v>0</v>
      </c>
      <c r="EQ26" s="739">
        <f t="shared" ref="EQ26:EV33" si="45">SUM(EK26+BQ26)</f>
        <v>5706102.75</v>
      </c>
      <c r="ER26" s="739" t="e">
        <f t="shared" si="45"/>
        <v>#REF!</v>
      </c>
      <c r="ES26" s="739" t="e">
        <f t="shared" si="45"/>
        <v>#REF!</v>
      </c>
      <c r="ET26" s="739" t="e">
        <f t="shared" si="45"/>
        <v>#REF!</v>
      </c>
      <c r="EU26" s="739" t="e">
        <f t="shared" si="45"/>
        <v>#REF!</v>
      </c>
      <c r="EV26" s="740" t="e">
        <f t="shared" si="45"/>
        <v>#REF!</v>
      </c>
      <c r="EW26" s="438" t="e">
        <f>SUM('общ.сводрайон без курсовой '!C26-#REF!-#REF!)</f>
        <v>#REF!</v>
      </c>
      <c r="EX26" s="438" t="e">
        <f>SUM('общ.сводрайон без курсовой '!D26-#REF!-#REF!)</f>
        <v>#REF!</v>
      </c>
      <c r="EY26" s="438" t="e">
        <f>SUM('общ.сводрайон без курсовой '!E26-#REF!-#REF!)</f>
        <v>#REF!</v>
      </c>
      <c r="EZ26" s="438" t="e">
        <f>SUM('общ.сводрайон без курсовой '!F26-#REF!-#REF!)</f>
        <v>#REF!</v>
      </c>
    </row>
    <row r="27" spans="1:156" s="439" customFormat="1" ht="18.95" customHeight="1">
      <c r="A27" s="440">
        <v>15</v>
      </c>
      <c r="B27" s="441" t="s">
        <v>56</v>
      </c>
      <c r="C27" s="425">
        <f>5932090+27397</f>
        <v>5959487</v>
      </c>
      <c r="D27" s="428">
        <v>819489</v>
      </c>
      <c r="E27" s="428">
        <v>652873</v>
      </c>
      <c r="F27" s="428">
        <f t="shared" si="30"/>
        <v>6126103</v>
      </c>
      <c r="G27" s="428">
        <v>2877</v>
      </c>
      <c r="H27" s="453"/>
      <c r="I27" s="425">
        <v>0</v>
      </c>
      <c r="J27" s="428"/>
      <c r="K27" s="428"/>
      <c r="L27" s="428">
        <f t="shared" si="31"/>
        <v>0</v>
      </c>
      <c r="M27" s="508"/>
      <c r="N27" s="453"/>
      <c r="O27" s="425">
        <v>783912</v>
      </c>
      <c r="P27" s="428">
        <v>117170</v>
      </c>
      <c r="Q27" s="428">
        <v>66513</v>
      </c>
      <c r="R27" s="428">
        <f t="shared" si="32"/>
        <v>834569</v>
      </c>
      <c r="S27" s="428"/>
      <c r="T27" s="453"/>
      <c r="U27" s="425"/>
      <c r="V27" s="428"/>
      <c r="W27" s="428"/>
      <c r="X27" s="428"/>
      <c r="Y27" s="428"/>
      <c r="Z27" s="453"/>
      <c r="AA27" s="425">
        <f>326337+12.9</f>
        <v>326349.90000000002</v>
      </c>
      <c r="AB27" s="428">
        <v>14043.65</v>
      </c>
      <c r="AC27" s="428">
        <v>64199.287046999998</v>
      </c>
      <c r="AD27" s="428">
        <f t="shared" si="33"/>
        <v>276194.26295300003</v>
      </c>
      <c r="AE27" s="428"/>
      <c r="AF27" s="453"/>
      <c r="AG27" s="425">
        <v>0</v>
      </c>
      <c r="AH27" s="428"/>
      <c r="AI27" s="428"/>
      <c r="AJ27" s="428">
        <f t="shared" si="34"/>
        <v>0</v>
      </c>
      <c r="AK27" s="428"/>
      <c r="AL27" s="453"/>
      <c r="AM27" s="425">
        <v>76.709999999999994</v>
      </c>
      <c r="AN27" s="428">
        <v>0</v>
      </c>
      <c r="AO27" s="428">
        <v>76.709999999999994</v>
      </c>
      <c r="AP27" s="428">
        <f t="shared" si="35"/>
        <v>0</v>
      </c>
      <c r="AQ27" s="428"/>
      <c r="AR27" s="453"/>
      <c r="AS27" s="425">
        <v>0</v>
      </c>
      <c r="AT27" s="428">
        <v>0</v>
      </c>
      <c r="AU27" s="428">
        <v>0</v>
      </c>
      <c r="AV27" s="428">
        <f t="shared" si="36"/>
        <v>0</v>
      </c>
      <c r="AW27" s="508">
        <v>0</v>
      </c>
      <c r="AX27" s="453">
        <v>0</v>
      </c>
      <c r="AY27" s="425">
        <v>0</v>
      </c>
      <c r="AZ27" s="428"/>
      <c r="BA27" s="428"/>
      <c r="BB27" s="428">
        <f t="shared" si="37"/>
        <v>0</v>
      </c>
      <c r="BC27" s="428"/>
      <c r="BD27" s="453"/>
      <c r="BE27" s="425">
        <f>292020+30320</f>
        <v>322340</v>
      </c>
      <c r="BF27" s="428"/>
      <c r="BG27" s="428">
        <v>2427</v>
      </c>
      <c r="BH27" s="428">
        <f t="shared" si="38"/>
        <v>319913</v>
      </c>
      <c r="BI27" s="83">
        <v>260</v>
      </c>
      <c r="BJ27" s="626">
        <v>-1107</v>
      </c>
      <c r="BK27" s="425">
        <v>0</v>
      </c>
      <c r="BL27" s="428" t="e">
        <f>SUM(#REF!)</f>
        <v>#REF!</v>
      </c>
      <c r="BM27" s="428" t="e">
        <f>SUM(#REF!)</f>
        <v>#REF!</v>
      </c>
      <c r="BN27" s="428" t="e">
        <f t="shared" si="21"/>
        <v>#REF!</v>
      </c>
      <c r="BO27" s="428" t="e">
        <f>SUM(#REF!)</f>
        <v>#REF!</v>
      </c>
      <c r="BP27" s="428" t="e">
        <f>SUM(#REF!)</f>
        <v>#REF!</v>
      </c>
      <c r="BQ27" s="741">
        <f t="shared" si="39"/>
        <v>7392165.6100000003</v>
      </c>
      <c r="BR27" s="741" t="e">
        <f t="shared" si="39"/>
        <v>#REF!</v>
      </c>
      <c r="BS27" s="741" t="e">
        <f t="shared" si="39"/>
        <v>#REF!</v>
      </c>
      <c r="BT27" s="741" t="e">
        <f t="shared" si="39"/>
        <v>#REF!</v>
      </c>
      <c r="BU27" s="562" t="e">
        <f t="shared" si="39"/>
        <v>#REF!</v>
      </c>
      <c r="BV27" s="676" t="e">
        <f t="shared" si="39"/>
        <v>#REF!</v>
      </c>
      <c r="BW27" s="425">
        <f>68505+785</f>
        <v>69290</v>
      </c>
      <c r="BX27" s="428"/>
      <c r="BY27" s="428"/>
      <c r="BZ27" s="428">
        <f t="shared" si="40"/>
        <v>69290</v>
      </c>
      <c r="CA27" s="429">
        <v>64</v>
      </c>
      <c r="CB27" s="430"/>
      <c r="CC27" s="425"/>
      <c r="CD27" s="428"/>
      <c r="CE27" s="428"/>
      <c r="CF27" s="428"/>
      <c r="CG27" s="428"/>
      <c r="CH27" s="453"/>
      <c r="CI27" s="433"/>
      <c r="CJ27" s="431"/>
      <c r="CK27" s="431"/>
      <c r="CL27" s="431"/>
      <c r="CM27" s="434"/>
      <c r="CN27" s="460"/>
      <c r="CO27" s="425"/>
      <c r="CP27" s="428"/>
      <c r="CQ27" s="428"/>
      <c r="CR27" s="428">
        <f t="shared" si="41"/>
        <v>0</v>
      </c>
      <c r="CS27" s="428"/>
      <c r="CT27" s="453"/>
      <c r="CU27" s="425"/>
      <c r="CV27" s="428"/>
      <c r="CW27" s="428"/>
      <c r="CX27" s="428"/>
      <c r="CY27" s="428"/>
      <c r="CZ27" s="632"/>
      <c r="DA27" s="726">
        <v>0</v>
      </c>
      <c r="DB27" s="9"/>
      <c r="DC27" s="9"/>
      <c r="DD27" s="9">
        <f t="shared" si="42"/>
        <v>0</v>
      </c>
      <c r="DE27" s="9"/>
      <c r="DF27" s="727"/>
      <c r="DG27" s="472"/>
      <c r="DH27" s="472"/>
      <c r="DI27" s="472"/>
      <c r="DJ27" s="472"/>
      <c r="DK27" s="472"/>
      <c r="DL27" s="472"/>
      <c r="DM27" s="703"/>
      <c r="DN27" s="428"/>
      <c r="DO27" s="428"/>
      <c r="DP27" s="428"/>
      <c r="DQ27" s="428"/>
      <c r="DR27" s="704"/>
      <c r="DS27" s="617"/>
      <c r="DT27" s="617"/>
      <c r="DU27" s="617"/>
      <c r="DV27" s="617"/>
      <c r="DW27" s="617"/>
      <c r="DX27" s="617"/>
      <c r="DY27" s="668">
        <v>61900</v>
      </c>
      <c r="DZ27" s="669"/>
      <c r="EA27" s="669"/>
      <c r="EB27" s="428">
        <f t="shared" si="43"/>
        <v>61900</v>
      </c>
      <c r="EC27" s="428"/>
      <c r="ED27" s="453"/>
      <c r="EE27" s="587"/>
      <c r="EF27" s="437"/>
      <c r="EG27" s="437"/>
      <c r="EH27" s="437"/>
      <c r="EI27" s="437"/>
      <c r="EJ27" s="453"/>
      <c r="EK27" s="688">
        <f t="shared" si="44"/>
        <v>131190</v>
      </c>
      <c r="EL27" s="688">
        <f t="shared" si="44"/>
        <v>0</v>
      </c>
      <c r="EM27" s="688">
        <f t="shared" si="44"/>
        <v>0</v>
      </c>
      <c r="EN27" s="688">
        <f t="shared" si="44"/>
        <v>131190</v>
      </c>
      <c r="EO27" s="688">
        <f t="shared" si="44"/>
        <v>64</v>
      </c>
      <c r="EP27" s="687">
        <f t="shared" si="44"/>
        <v>0</v>
      </c>
      <c r="EQ27" s="739">
        <f t="shared" si="45"/>
        <v>7523355.6100000003</v>
      </c>
      <c r="ER27" s="739" t="e">
        <f t="shared" si="45"/>
        <v>#REF!</v>
      </c>
      <c r="ES27" s="739" t="e">
        <f t="shared" si="45"/>
        <v>#REF!</v>
      </c>
      <c r="ET27" s="739" t="e">
        <f t="shared" si="45"/>
        <v>#REF!</v>
      </c>
      <c r="EU27" s="739" t="e">
        <f t="shared" si="45"/>
        <v>#REF!</v>
      </c>
      <c r="EV27" s="740" t="e">
        <f t="shared" si="45"/>
        <v>#REF!</v>
      </c>
      <c r="EW27" s="438" t="e">
        <f>SUM('общ.сводрайон без курсовой '!C27-#REF!-#REF!)</f>
        <v>#REF!</v>
      </c>
      <c r="EX27" s="438" t="e">
        <f>SUM('общ.сводрайон без курсовой '!D27-#REF!-#REF!)</f>
        <v>#REF!</v>
      </c>
      <c r="EY27" s="438" t="e">
        <f>SUM('общ.сводрайон без курсовой '!E27-#REF!-#REF!)</f>
        <v>#REF!</v>
      </c>
      <c r="EZ27" s="438" t="e">
        <f>SUM('общ.сводрайон без курсовой '!F27-#REF!-#REF!)</f>
        <v>#REF!</v>
      </c>
    </row>
    <row r="28" spans="1:156" s="439" customFormat="1" ht="18.95" customHeight="1">
      <c r="A28" s="440">
        <v>16</v>
      </c>
      <c r="B28" s="441" t="s">
        <v>79</v>
      </c>
      <c r="C28" s="425">
        <f>961944+6295</f>
        <v>968239</v>
      </c>
      <c r="D28" s="428">
        <v>28461</v>
      </c>
      <c r="E28" s="428">
        <v>73417</v>
      </c>
      <c r="F28" s="428">
        <f t="shared" si="30"/>
        <v>923283</v>
      </c>
      <c r="G28" s="428">
        <v>690</v>
      </c>
      <c r="H28" s="453"/>
      <c r="I28" s="425">
        <f>507558+0</f>
        <v>507558</v>
      </c>
      <c r="J28" s="428">
        <v>0</v>
      </c>
      <c r="K28" s="428">
        <v>5387</v>
      </c>
      <c r="L28" s="428">
        <f t="shared" si="31"/>
        <v>502171</v>
      </c>
      <c r="M28" s="508">
        <v>267</v>
      </c>
      <c r="N28" s="453"/>
      <c r="O28" s="442">
        <f>527871+55</f>
        <v>527926</v>
      </c>
      <c r="P28" s="443">
        <v>14500</v>
      </c>
      <c r="Q28" s="443">
        <v>22150</v>
      </c>
      <c r="R28" s="428">
        <f t="shared" si="32"/>
        <v>520276</v>
      </c>
      <c r="S28" s="443">
        <v>6</v>
      </c>
      <c r="T28" s="536"/>
      <c r="U28" s="425">
        <v>0</v>
      </c>
      <c r="V28" s="428"/>
      <c r="W28" s="428"/>
      <c r="X28" s="428">
        <f t="shared" ref="X28:X33" si="46">SUM(U28+V28-W28)</f>
        <v>0</v>
      </c>
      <c r="Y28" s="428"/>
      <c r="Z28" s="453"/>
      <c r="AA28" s="425">
        <v>0</v>
      </c>
      <c r="AB28" s="428"/>
      <c r="AC28" s="428"/>
      <c r="AD28" s="428">
        <f t="shared" si="33"/>
        <v>0</v>
      </c>
      <c r="AE28" s="428"/>
      <c r="AF28" s="453"/>
      <c r="AG28" s="425">
        <v>0</v>
      </c>
      <c r="AH28" s="428"/>
      <c r="AI28" s="428"/>
      <c r="AJ28" s="428">
        <f t="shared" si="34"/>
        <v>0</v>
      </c>
      <c r="AK28" s="428"/>
      <c r="AL28" s="453"/>
      <c r="AM28" s="425">
        <v>0</v>
      </c>
      <c r="AN28" s="428"/>
      <c r="AO28" s="428"/>
      <c r="AP28" s="428">
        <f t="shared" si="35"/>
        <v>0</v>
      </c>
      <c r="AQ28" s="428"/>
      <c r="AR28" s="453"/>
      <c r="AS28" s="425">
        <v>0</v>
      </c>
      <c r="AT28" s="428">
        <v>0</v>
      </c>
      <c r="AU28" s="428">
        <v>0</v>
      </c>
      <c r="AV28" s="428">
        <f t="shared" si="36"/>
        <v>0</v>
      </c>
      <c r="AW28" s="508">
        <v>0</v>
      </c>
      <c r="AX28" s="453">
        <v>0</v>
      </c>
      <c r="AY28" s="425">
        <f>1228649+168</f>
        <v>1228817</v>
      </c>
      <c r="AZ28" s="428">
        <v>232000</v>
      </c>
      <c r="BA28" s="428">
        <v>192305</v>
      </c>
      <c r="BB28" s="428">
        <f t="shared" si="37"/>
        <v>1268512</v>
      </c>
      <c r="BC28" s="428">
        <v>422</v>
      </c>
      <c r="BD28" s="453"/>
      <c r="BE28" s="425">
        <v>0</v>
      </c>
      <c r="BF28" s="428"/>
      <c r="BG28" s="428"/>
      <c r="BH28" s="428">
        <f t="shared" si="38"/>
        <v>0</v>
      </c>
      <c r="BI28" s="83"/>
      <c r="BJ28" s="626"/>
      <c r="BK28" s="425">
        <v>0</v>
      </c>
      <c r="BL28" s="428" t="e">
        <f>SUM(#REF!)</f>
        <v>#REF!</v>
      </c>
      <c r="BM28" s="428" t="e">
        <f>SUM(#REF!)</f>
        <v>#REF!</v>
      </c>
      <c r="BN28" s="428" t="e">
        <f t="shared" si="21"/>
        <v>#REF!</v>
      </c>
      <c r="BO28" s="428" t="e">
        <f>SUM(#REF!)</f>
        <v>#REF!</v>
      </c>
      <c r="BP28" s="428" t="e">
        <f>SUM(#REF!)</f>
        <v>#REF!</v>
      </c>
      <c r="BQ28" s="741">
        <f t="shared" si="39"/>
        <v>3232540</v>
      </c>
      <c r="BR28" s="741" t="e">
        <f t="shared" si="39"/>
        <v>#REF!</v>
      </c>
      <c r="BS28" s="741" t="e">
        <f t="shared" si="39"/>
        <v>#REF!</v>
      </c>
      <c r="BT28" s="741" t="e">
        <f t="shared" si="39"/>
        <v>#REF!</v>
      </c>
      <c r="BU28" s="562" t="e">
        <f t="shared" si="39"/>
        <v>#REF!</v>
      </c>
      <c r="BV28" s="676" t="e">
        <f t="shared" si="39"/>
        <v>#REF!</v>
      </c>
      <c r="BW28" s="425">
        <v>0</v>
      </c>
      <c r="BX28" s="429"/>
      <c r="BY28" s="429"/>
      <c r="BZ28" s="428">
        <f t="shared" si="40"/>
        <v>0</v>
      </c>
      <c r="CA28" s="429">
        <f t="shared" si="23"/>
        <v>0</v>
      </c>
      <c r="CB28" s="430"/>
      <c r="CC28" s="502"/>
      <c r="CD28" s="429"/>
      <c r="CE28" s="429"/>
      <c r="CF28" s="429"/>
      <c r="CG28" s="429"/>
      <c r="CH28" s="430"/>
      <c r="CI28" s="432"/>
      <c r="CJ28" s="432"/>
      <c r="CK28" s="432"/>
      <c r="CL28" s="432"/>
      <c r="CM28" s="435"/>
      <c r="CN28" s="459"/>
      <c r="CO28" s="502"/>
      <c r="CP28" s="429"/>
      <c r="CQ28" s="429"/>
      <c r="CR28" s="428">
        <f t="shared" si="41"/>
        <v>0</v>
      </c>
      <c r="CS28" s="429"/>
      <c r="CT28" s="430"/>
      <c r="CU28" s="502"/>
      <c r="CV28" s="429"/>
      <c r="CW28" s="429"/>
      <c r="CX28" s="429"/>
      <c r="CY28" s="429"/>
      <c r="CZ28" s="714"/>
      <c r="DA28" s="726">
        <v>0</v>
      </c>
      <c r="DB28" s="422"/>
      <c r="DC28" s="422"/>
      <c r="DD28" s="9">
        <f t="shared" si="42"/>
        <v>0</v>
      </c>
      <c r="DE28" s="422"/>
      <c r="DF28" s="723"/>
      <c r="DG28" s="472"/>
      <c r="DH28" s="472"/>
      <c r="DI28" s="472"/>
      <c r="DJ28" s="472"/>
      <c r="DK28" s="472"/>
      <c r="DL28" s="472"/>
      <c r="DM28" s="699"/>
      <c r="DN28" s="429"/>
      <c r="DO28" s="429"/>
      <c r="DP28" s="429"/>
      <c r="DQ28" s="429"/>
      <c r="DR28" s="700"/>
      <c r="DS28" s="615"/>
      <c r="DT28" s="615"/>
      <c r="DU28" s="615"/>
      <c r="DV28" s="615"/>
      <c r="DW28" s="615"/>
      <c r="DX28" s="615"/>
      <c r="DY28" s="668">
        <v>0</v>
      </c>
      <c r="DZ28" s="669"/>
      <c r="EA28" s="669"/>
      <c r="EB28" s="428">
        <f t="shared" si="43"/>
        <v>0</v>
      </c>
      <c r="EC28" s="428"/>
      <c r="ED28" s="453"/>
      <c r="EE28" s="587"/>
      <c r="EF28" s="437"/>
      <c r="EG28" s="437"/>
      <c r="EH28" s="437"/>
      <c r="EI28" s="437"/>
      <c r="EJ28" s="453"/>
      <c r="EK28" s="688">
        <f t="shared" si="44"/>
        <v>0</v>
      </c>
      <c r="EL28" s="688">
        <f t="shared" si="44"/>
        <v>0</v>
      </c>
      <c r="EM28" s="688">
        <f t="shared" si="44"/>
        <v>0</v>
      </c>
      <c r="EN28" s="688">
        <f t="shared" si="44"/>
        <v>0</v>
      </c>
      <c r="EO28" s="688">
        <f t="shared" si="44"/>
        <v>0</v>
      </c>
      <c r="EP28" s="687">
        <f t="shared" si="44"/>
        <v>0</v>
      </c>
      <c r="EQ28" s="739">
        <f t="shared" si="45"/>
        <v>3232540</v>
      </c>
      <c r="ER28" s="739" t="e">
        <f t="shared" si="45"/>
        <v>#REF!</v>
      </c>
      <c r="ES28" s="739" t="e">
        <f t="shared" si="45"/>
        <v>#REF!</v>
      </c>
      <c r="ET28" s="739" t="e">
        <f t="shared" si="45"/>
        <v>#REF!</v>
      </c>
      <c r="EU28" s="739" t="e">
        <f t="shared" si="45"/>
        <v>#REF!</v>
      </c>
      <c r="EV28" s="740" t="e">
        <f t="shared" si="45"/>
        <v>#REF!</v>
      </c>
      <c r="EW28" s="438" t="e">
        <f>SUM('общ.сводрайон без курсовой '!C28-#REF!-#REF!)</f>
        <v>#REF!</v>
      </c>
      <c r="EX28" s="438" t="e">
        <f>SUM('общ.сводрайон без курсовой '!D28-#REF!-#REF!)</f>
        <v>#REF!</v>
      </c>
      <c r="EY28" s="438" t="e">
        <f>SUM('общ.сводрайон без курсовой '!E28-#REF!-#REF!)</f>
        <v>#REF!</v>
      </c>
      <c r="EZ28" s="438" t="e">
        <f>SUM('общ.сводрайон без курсовой '!F28-#REF!-#REF!)</f>
        <v>#REF!</v>
      </c>
    </row>
    <row r="29" spans="1:156" s="439" customFormat="1" ht="18.95" customHeight="1">
      <c r="A29" s="440">
        <f>A28+1</f>
        <v>17</v>
      </c>
      <c r="B29" s="441" t="s">
        <v>58</v>
      </c>
      <c r="C29" s="425">
        <f>1081984+2449</f>
        <v>1084433</v>
      </c>
      <c r="D29" s="428">
        <v>144006</v>
      </c>
      <c r="E29" s="428">
        <v>392440</v>
      </c>
      <c r="F29" s="428">
        <f t="shared" si="30"/>
        <v>835999</v>
      </c>
      <c r="G29" s="428">
        <v>813</v>
      </c>
      <c r="H29" s="453"/>
      <c r="I29" s="425">
        <f>4597555+4032</f>
        <v>4601587</v>
      </c>
      <c r="J29" s="428">
        <v>305000</v>
      </c>
      <c r="K29" s="428">
        <v>7000</v>
      </c>
      <c r="L29" s="428">
        <f t="shared" si="31"/>
        <v>4899587</v>
      </c>
      <c r="M29" s="508">
        <v>21</v>
      </c>
      <c r="N29" s="453"/>
      <c r="O29" s="442">
        <v>1853879</v>
      </c>
      <c r="P29" s="443">
        <v>7000</v>
      </c>
      <c r="Q29" s="443">
        <v>19390</v>
      </c>
      <c r="R29" s="428">
        <f t="shared" si="32"/>
        <v>1841489</v>
      </c>
      <c r="S29" s="428"/>
      <c r="T29" s="453"/>
      <c r="U29" s="425">
        <v>0</v>
      </c>
      <c r="V29" s="428"/>
      <c r="W29" s="428"/>
      <c r="X29" s="428">
        <f t="shared" si="46"/>
        <v>0</v>
      </c>
      <c r="Y29" s="428"/>
      <c r="Z29" s="453"/>
      <c r="AA29" s="425">
        <f>3465602+1339.3</f>
        <v>3466941.3</v>
      </c>
      <c r="AB29" s="428">
        <v>262953.08</v>
      </c>
      <c r="AC29" s="508">
        <v>446849.9</v>
      </c>
      <c r="AD29" s="428">
        <f t="shared" si="33"/>
        <v>3283044.48</v>
      </c>
      <c r="AE29" s="428">
        <v>1026</v>
      </c>
      <c r="AF29" s="453"/>
      <c r="AG29" s="442">
        <v>41590</v>
      </c>
      <c r="AH29" s="428">
        <v>10976</v>
      </c>
      <c r="AI29" s="428">
        <v>29385</v>
      </c>
      <c r="AJ29" s="428">
        <f t="shared" si="34"/>
        <v>23181</v>
      </c>
      <c r="AK29" s="428"/>
      <c r="AL29" s="453"/>
      <c r="AM29" s="425">
        <f>1201311.78+9561.6</f>
        <v>1210873.3800000001</v>
      </c>
      <c r="AN29" s="461">
        <v>117128.15</v>
      </c>
      <c r="AO29" s="428">
        <v>182935.69</v>
      </c>
      <c r="AP29" s="428">
        <f t="shared" si="35"/>
        <v>1145065.8400000001</v>
      </c>
      <c r="AQ29" s="428">
        <v>707</v>
      </c>
      <c r="AR29" s="453"/>
      <c r="AS29" s="425">
        <v>0</v>
      </c>
      <c r="AT29" s="428">
        <v>0</v>
      </c>
      <c r="AU29" s="428">
        <v>0</v>
      </c>
      <c r="AV29" s="428">
        <f>SUM(AS29+AT29-AU29)</f>
        <v>0</v>
      </c>
      <c r="AW29" s="508">
        <v>0</v>
      </c>
      <c r="AX29" s="453">
        <v>0</v>
      </c>
      <c r="AY29" s="425">
        <f>915404+1363</f>
        <v>916767</v>
      </c>
      <c r="AZ29" s="428">
        <v>104031</v>
      </c>
      <c r="BA29" s="428">
        <v>137943</v>
      </c>
      <c r="BB29" s="428">
        <f t="shared" si="37"/>
        <v>882855</v>
      </c>
      <c r="BC29" s="428">
        <v>689</v>
      </c>
      <c r="BD29" s="453"/>
      <c r="BE29" s="425">
        <f>1968606-618408</f>
        <v>1350198</v>
      </c>
      <c r="BF29" s="428">
        <v>104031</v>
      </c>
      <c r="BG29" s="428">
        <v>2536</v>
      </c>
      <c r="BH29" s="428">
        <f t="shared" si="38"/>
        <v>1451693</v>
      </c>
      <c r="BI29" s="83">
        <v>2535</v>
      </c>
      <c r="BJ29" s="626">
        <v>-2528</v>
      </c>
      <c r="BK29" s="425">
        <v>1139386.69</v>
      </c>
      <c r="BL29" s="428" t="e">
        <f>SUM(#REF!)</f>
        <v>#REF!</v>
      </c>
      <c r="BM29" s="428" t="e">
        <f>SUM(#REF!)</f>
        <v>#REF!</v>
      </c>
      <c r="BN29" s="428" t="e">
        <f t="shared" si="21"/>
        <v>#REF!</v>
      </c>
      <c r="BO29" s="428" t="e">
        <f>SUM(#REF!)</f>
        <v>#REF!</v>
      </c>
      <c r="BP29" s="428" t="e">
        <f>SUM(#REF!)</f>
        <v>#REF!</v>
      </c>
      <c r="BQ29" s="741">
        <f t="shared" si="39"/>
        <v>15665655.370000001</v>
      </c>
      <c r="BR29" s="741" t="e">
        <f t="shared" si="39"/>
        <v>#REF!</v>
      </c>
      <c r="BS29" s="741" t="e">
        <f t="shared" si="39"/>
        <v>#REF!</v>
      </c>
      <c r="BT29" s="741" t="e">
        <f t="shared" si="39"/>
        <v>#REF!</v>
      </c>
      <c r="BU29" s="562" t="e">
        <f t="shared" si="39"/>
        <v>#REF!</v>
      </c>
      <c r="BV29" s="676" t="e">
        <f t="shared" si="39"/>
        <v>#REF!</v>
      </c>
      <c r="BW29" s="425">
        <v>0</v>
      </c>
      <c r="BX29" s="429">
        <v>209954</v>
      </c>
      <c r="BY29" s="429"/>
      <c r="BZ29" s="428">
        <f t="shared" si="40"/>
        <v>209954</v>
      </c>
      <c r="CA29" s="429">
        <f t="shared" si="23"/>
        <v>0</v>
      </c>
      <c r="CB29" s="430"/>
      <c r="CC29" s="502"/>
      <c r="CD29" s="429"/>
      <c r="CE29" s="429"/>
      <c r="CF29" s="429"/>
      <c r="CG29" s="429"/>
      <c r="CH29" s="430"/>
      <c r="CI29" s="432">
        <v>0</v>
      </c>
      <c r="CJ29" s="432"/>
      <c r="CK29" s="432"/>
      <c r="CL29" s="431">
        <f>SUM(CI29+CJ29-CK29)</f>
        <v>0</v>
      </c>
      <c r="CM29" s="435"/>
      <c r="CN29" s="459"/>
      <c r="CO29" s="502"/>
      <c r="CP29" s="429"/>
      <c r="CQ29" s="429"/>
      <c r="CR29" s="428">
        <f t="shared" si="41"/>
        <v>0</v>
      </c>
      <c r="CS29" s="429"/>
      <c r="CT29" s="430"/>
      <c r="CU29" s="502"/>
      <c r="CV29" s="429"/>
      <c r="CW29" s="429"/>
      <c r="CX29" s="429"/>
      <c r="CY29" s="429"/>
      <c r="CZ29" s="714"/>
      <c r="DA29" s="726">
        <f>1006+34</f>
        <v>1040</v>
      </c>
      <c r="DB29" s="422"/>
      <c r="DC29" s="422"/>
      <c r="DD29" s="9">
        <f t="shared" si="42"/>
        <v>1040</v>
      </c>
      <c r="DE29" s="422"/>
      <c r="DF29" s="723"/>
      <c r="DG29" s="472"/>
      <c r="DH29" s="472"/>
      <c r="DI29" s="472"/>
      <c r="DJ29" s="472"/>
      <c r="DK29" s="472"/>
      <c r="DL29" s="472"/>
      <c r="DM29" s="703">
        <v>98000</v>
      </c>
      <c r="DN29" s="428"/>
      <c r="DO29" s="428">
        <v>1000</v>
      </c>
      <c r="DP29" s="428">
        <f>SUM(DM29+DN29-DO29)</f>
        <v>97000</v>
      </c>
      <c r="DQ29" s="429"/>
      <c r="DR29" s="700"/>
      <c r="DS29" s="615"/>
      <c r="DT29" s="615"/>
      <c r="DU29" s="615"/>
      <c r="DV29" s="615"/>
      <c r="DW29" s="615"/>
      <c r="DX29" s="615"/>
      <c r="DY29" s="668">
        <v>0</v>
      </c>
      <c r="DZ29" s="669"/>
      <c r="EA29" s="669"/>
      <c r="EB29" s="428">
        <f t="shared" si="43"/>
        <v>0</v>
      </c>
      <c r="EC29" s="428"/>
      <c r="ED29" s="453"/>
      <c r="EE29" s="587"/>
      <c r="EF29" s="437"/>
      <c r="EG29" s="437"/>
      <c r="EH29" s="437"/>
      <c r="EI29" s="437"/>
      <c r="EJ29" s="453"/>
      <c r="EK29" s="688">
        <f t="shared" si="44"/>
        <v>99040</v>
      </c>
      <c r="EL29" s="688">
        <f t="shared" si="44"/>
        <v>209954</v>
      </c>
      <c r="EM29" s="688">
        <f t="shared" si="44"/>
        <v>1000</v>
      </c>
      <c r="EN29" s="688">
        <f t="shared" si="44"/>
        <v>307994</v>
      </c>
      <c r="EO29" s="688">
        <f t="shared" si="44"/>
        <v>0</v>
      </c>
      <c r="EP29" s="687">
        <f t="shared" si="44"/>
        <v>0</v>
      </c>
      <c r="EQ29" s="739">
        <f t="shared" si="45"/>
        <v>15764695.370000001</v>
      </c>
      <c r="ER29" s="739" t="e">
        <f t="shared" si="45"/>
        <v>#REF!</v>
      </c>
      <c r="ES29" s="739" t="e">
        <f t="shared" si="45"/>
        <v>#REF!</v>
      </c>
      <c r="ET29" s="739" t="e">
        <f t="shared" si="45"/>
        <v>#REF!</v>
      </c>
      <c r="EU29" s="739" t="e">
        <f t="shared" si="45"/>
        <v>#REF!</v>
      </c>
      <c r="EV29" s="740" t="e">
        <f t="shared" si="45"/>
        <v>#REF!</v>
      </c>
      <c r="EW29" s="438" t="e">
        <f>SUM('общ.сводрайон без курсовой '!C29-#REF!-#REF!)</f>
        <v>#REF!</v>
      </c>
      <c r="EX29" s="438" t="e">
        <f>SUM('общ.сводрайон без курсовой '!D29-#REF!-#REF!)</f>
        <v>#REF!</v>
      </c>
      <c r="EY29" s="438" t="e">
        <f>SUM('общ.сводрайон без курсовой '!E29-#REF!-#REF!)</f>
        <v>#REF!</v>
      </c>
      <c r="EZ29" s="438" t="e">
        <f>SUM('общ.сводрайон без курсовой '!F29-#REF!-#REF!)</f>
        <v>#REF!</v>
      </c>
    </row>
    <row r="30" spans="1:156" s="439" customFormat="1" ht="18.95" customHeight="1">
      <c r="A30" s="440">
        <v>18</v>
      </c>
      <c r="B30" s="441" t="s">
        <v>57</v>
      </c>
      <c r="C30" s="425">
        <f>9883398+17435</f>
        <v>9900833</v>
      </c>
      <c r="D30" s="428">
        <v>1581584</v>
      </c>
      <c r="E30" s="428">
        <v>793789</v>
      </c>
      <c r="F30" s="428">
        <f t="shared" si="30"/>
        <v>10688628</v>
      </c>
      <c r="G30" s="461">
        <v>7019</v>
      </c>
      <c r="H30" s="462"/>
      <c r="I30" s="425">
        <f>2804790+307</f>
        <v>2805097</v>
      </c>
      <c r="J30" s="428">
        <v>370000</v>
      </c>
      <c r="K30" s="428">
        <v>40241</v>
      </c>
      <c r="L30" s="428">
        <f t="shared" si="31"/>
        <v>3134856</v>
      </c>
      <c r="M30" s="508">
        <v>0</v>
      </c>
      <c r="N30" s="453"/>
      <c r="O30" s="425">
        <v>1418755</v>
      </c>
      <c r="P30" s="428">
        <v>43000</v>
      </c>
      <c r="Q30" s="428">
        <v>12495</v>
      </c>
      <c r="R30" s="428">
        <f t="shared" si="32"/>
        <v>1449260</v>
      </c>
      <c r="S30" s="428"/>
      <c r="T30" s="453"/>
      <c r="U30" s="425">
        <v>0</v>
      </c>
      <c r="V30" s="428">
        <v>4761029</v>
      </c>
      <c r="W30" s="428">
        <v>2125577</v>
      </c>
      <c r="X30" s="428">
        <f t="shared" si="46"/>
        <v>2635452</v>
      </c>
      <c r="Y30" s="428">
        <v>5219</v>
      </c>
      <c r="Z30" s="453"/>
      <c r="AA30" s="425">
        <f>6678156.07+1846.7</f>
        <v>6680002.7700000005</v>
      </c>
      <c r="AB30" s="428">
        <v>548243.07999999996</v>
      </c>
      <c r="AC30" s="428">
        <v>534855</v>
      </c>
      <c r="AD30" s="428">
        <f t="shared" si="33"/>
        <v>6693390.8500000006</v>
      </c>
      <c r="AE30" s="428">
        <v>1300</v>
      </c>
      <c r="AF30" s="453"/>
      <c r="AG30" s="425">
        <v>9303</v>
      </c>
      <c r="AH30" s="428"/>
      <c r="AI30" s="428">
        <v>6953</v>
      </c>
      <c r="AJ30" s="428">
        <f t="shared" si="34"/>
        <v>2350</v>
      </c>
      <c r="AK30" s="428"/>
      <c r="AL30" s="453"/>
      <c r="AM30" s="425">
        <f>20173.09+212.01</f>
        <v>20385.099999999999</v>
      </c>
      <c r="AN30" s="428">
        <v>69309.320000000007</v>
      </c>
      <c r="AO30" s="428">
        <v>19466.060000000001</v>
      </c>
      <c r="AP30" s="428">
        <f t="shared" si="35"/>
        <v>70228.360000000015</v>
      </c>
      <c r="AQ30" s="428">
        <v>56</v>
      </c>
      <c r="AR30" s="453"/>
      <c r="AS30" s="425">
        <v>0</v>
      </c>
      <c r="AT30" s="428">
        <v>0</v>
      </c>
      <c r="AU30" s="428">
        <v>0</v>
      </c>
      <c r="AV30" s="428">
        <f t="shared" si="36"/>
        <v>0</v>
      </c>
      <c r="AW30" s="508">
        <v>0</v>
      </c>
      <c r="AX30" s="453">
        <v>0</v>
      </c>
      <c r="AY30" s="425">
        <f>1315129+1411</f>
        <v>1316540</v>
      </c>
      <c r="AZ30" s="428">
        <v>58912</v>
      </c>
      <c r="BA30" s="428">
        <v>221488</v>
      </c>
      <c r="BB30" s="428">
        <f t="shared" si="37"/>
        <v>1153964</v>
      </c>
      <c r="BC30" s="428">
        <v>690</v>
      </c>
      <c r="BD30" s="453"/>
      <c r="BE30" s="425">
        <f>1353621-303650</f>
        <v>1049971</v>
      </c>
      <c r="BF30" s="428">
        <v>120097</v>
      </c>
      <c r="BG30" s="428">
        <v>5862</v>
      </c>
      <c r="BH30" s="428">
        <f t="shared" si="38"/>
        <v>1164206</v>
      </c>
      <c r="BI30" s="83">
        <v>5862</v>
      </c>
      <c r="BJ30" s="626">
        <v>-2563</v>
      </c>
      <c r="BK30" s="425">
        <v>202857.75</v>
      </c>
      <c r="BL30" s="428" t="e">
        <f>SUM(#REF!)</f>
        <v>#REF!</v>
      </c>
      <c r="BM30" s="428" t="e">
        <f>SUM(#REF!)</f>
        <v>#REF!</v>
      </c>
      <c r="BN30" s="428" t="e">
        <f t="shared" si="21"/>
        <v>#REF!</v>
      </c>
      <c r="BO30" s="428" t="e">
        <f>SUM(#REF!)</f>
        <v>#REF!</v>
      </c>
      <c r="BP30" s="428" t="e">
        <f>SUM(#REF!)</f>
        <v>#REF!</v>
      </c>
      <c r="BQ30" s="741">
        <f t="shared" si="39"/>
        <v>23403744.620000001</v>
      </c>
      <c r="BR30" s="741" t="e">
        <f t="shared" si="39"/>
        <v>#REF!</v>
      </c>
      <c r="BS30" s="741" t="e">
        <f t="shared" si="39"/>
        <v>#REF!</v>
      </c>
      <c r="BT30" s="741" t="e">
        <f t="shared" si="39"/>
        <v>#REF!</v>
      </c>
      <c r="BU30" s="562" t="e">
        <f t="shared" si="39"/>
        <v>#REF!</v>
      </c>
      <c r="BV30" s="676" t="e">
        <f t="shared" si="39"/>
        <v>#REF!</v>
      </c>
      <c r="BW30" s="425">
        <v>44524</v>
      </c>
      <c r="BX30" s="428"/>
      <c r="BY30" s="428"/>
      <c r="BZ30" s="428">
        <f t="shared" si="40"/>
        <v>44524</v>
      </c>
      <c r="CA30" s="429">
        <f t="shared" si="23"/>
        <v>0</v>
      </c>
      <c r="CB30" s="430"/>
      <c r="CC30" s="425">
        <v>8000</v>
      </c>
      <c r="CD30" s="428">
        <v>0</v>
      </c>
      <c r="CE30" s="428">
        <v>0</v>
      </c>
      <c r="CF30" s="428">
        <f>SUM(CC30+CD30-CE30)</f>
        <v>8000</v>
      </c>
      <c r="CG30" s="428"/>
      <c r="CH30" s="453"/>
      <c r="CI30" s="433">
        <f>52045+263</f>
        <v>52308</v>
      </c>
      <c r="CJ30" s="431">
        <v>1734</v>
      </c>
      <c r="CK30" s="431">
        <v>80</v>
      </c>
      <c r="CL30" s="431">
        <f>SUM(CI30+CJ30-CK30)</f>
        <v>53962</v>
      </c>
      <c r="CM30" s="434">
        <v>48</v>
      </c>
      <c r="CN30" s="460"/>
      <c r="CO30" s="425"/>
      <c r="CP30" s="428"/>
      <c r="CQ30" s="428"/>
      <c r="CR30" s="428">
        <f t="shared" si="41"/>
        <v>0</v>
      </c>
      <c r="CS30" s="428"/>
      <c r="CT30" s="453"/>
      <c r="CU30" s="425"/>
      <c r="CV30" s="428"/>
      <c r="CW30" s="428"/>
      <c r="CX30" s="428"/>
      <c r="CY30" s="428"/>
      <c r="CZ30" s="632"/>
      <c r="DA30" s="728">
        <v>0</v>
      </c>
      <c r="DB30" s="420"/>
      <c r="DC30" s="420"/>
      <c r="DD30" s="9">
        <f t="shared" si="42"/>
        <v>0</v>
      </c>
      <c r="DE30" s="420"/>
      <c r="DF30" s="729"/>
      <c r="DG30" s="472"/>
      <c r="DH30" s="472"/>
      <c r="DI30" s="472"/>
      <c r="DJ30" s="472"/>
      <c r="DK30" s="472"/>
      <c r="DL30" s="472"/>
      <c r="DM30" s="703"/>
      <c r="DN30" s="428"/>
      <c r="DO30" s="428"/>
      <c r="DP30" s="428"/>
      <c r="DQ30" s="428"/>
      <c r="DR30" s="704"/>
      <c r="DS30" s="617"/>
      <c r="DT30" s="617"/>
      <c r="DU30" s="617"/>
      <c r="DV30" s="617"/>
      <c r="DW30" s="617"/>
      <c r="DX30" s="617"/>
      <c r="DY30" s="668">
        <v>2315928</v>
      </c>
      <c r="DZ30" s="669"/>
      <c r="EA30" s="669"/>
      <c r="EB30" s="428">
        <f t="shared" si="43"/>
        <v>2315928</v>
      </c>
      <c r="EC30" s="428">
        <v>1872</v>
      </c>
      <c r="ED30" s="453"/>
      <c r="EE30" s="587"/>
      <c r="EF30" s="437"/>
      <c r="EG30" s="437"/>
      <c r="EH30" s="437"/>
      <c r="EI30" s="437"/>
      <c r="EJ30" s="453"/>
      <c r="EK30" s="688">
        <f t="shared" si="44"/>
        <v>2420760</v>
      </c>
      <c r="EL30" s="688">
        <f t="shared" si="44"/>
        <v>1734</v>
      </c>
      <c r="EM30" s="688">
        <f t="shared" si="44"/>
        <v>80</v>
      </c>
      <c r="EN30" s="688">
        <f t="shared" si="44"/>
        <v>2422414</v>
      </c>
      <c r="EO30" s="688">
        <f t="shared" si="44"/>
        <v>1920</v>
      </c>
      <c r="EP30" s="687">
        <f t="shared" si="44"/>
        <v>0</v>
      </c>
      <c r="EQ30" s="739">
        <f t="shared" si="45"/>
        <v>25824504.620000001</v>
      </c>
      <c r="ER30" s="739" t="e">
        <f t="shared" si="45"/>
        <v>#REF!</v>
      </c>
      <c r="ES30" s="739" t="e">
        <f t="shared" si="45"/>
        <v>#REF!</v>
      </c>
      <c r="ET30" s="739" t="e">
        <f t="shared" si="45"/>
        <v>#REF!</v>
      </c>
      <c r="EU30" s="739" t="e">
        <f t="shared" si="45"/>
        <v>#REF!</v>
      </c>
      <c r="EV30" s="740" t="e">
        <f t="shared" si="45"/>
        <v>#REF!</v>
      </c>
      <c r="EW30" s="438" t="e">
        <f>SUM('общ.сводрайон без курсовой '!C30-#REF!-#REF!)</f>
        <v>#REF!</v>
      </c>
      <c r="EX30" s="438" t="e">
        <f>SUM('общ.сводрайон без курсовой '!D30-#REF!-#REF!)</f>
        <v>#REF!</v>
      </c>
      <c r="EY30" s="438" t="e">
        <f>SUM('общ.сводрайон без курсовой '!E30-#REF!-#REF!)</f>
        <v>#REF!</v>
      </c>
      <c r="EZ30" s="438" t="e">
        <f>SUM('общ.сводрайон без курсовой '!F30-#REF!-#REF!)</f>
        <v>#REF!</v>
      </c>
    </row>
    <row r="31" spans="1:156" s="439" customFormat="1" ht="18.95" customHeight="1">
      <c r="A31" s="440">
        <v>19</v>
      </c>
      <c r="B31" s="441" t="s">
        <v>60</v>
      </c>
      <c r="C31" s="425">
        <f>11127203+59406</f>
        <v>11186609</v>
      </c>
      <c r="D31" s="428">
        <v>3027499</v>
      </c>
      <c r="E31" s="428">
        <v>1696391</v>
      </c>
      <c r="F31" s="428">
        <f t="shared" si="30"/>
        <v>12517717</v>
      </c>
      <c r="G31" s="461">
        <v>6595</v>
      </c>
      <c r="H31" s="462"/>
      <c r="I31" s="425">
        <f>8110139+10237</f>
        <v>8120376</v>
      </c>
      <c r="J31" s="428">
        <v>721106</v>
      </c>
      <c r="K31" s="428">
        <v>194513</v>
      </c>
      <c r="L31" s="428">
        <f t="shared" si="31"/>
        <v>8646969</v>
      </c>
      <c r="M31" s="508">
        <v>6665</v>
      </c>
      <c r="N31" s="453"/>
      <c r="O31" s="425">
        <v>965357</v>
      </c>
      <c r="P31" s="428">
        <v>42300</v>
      </c>
      <c r="Q31" s="428">
        <v>42683</v>
      </c>
      <c r="R31" s="428">
        <f t="shared" si="32"/>
        <v>964974</v>
      </c>
      <c r="S31" s="428"/>
      <c r="T31" s="453"/>
      <c r="U31" s="425">
        <v>0</v>
      </c>
      <c r="V31" s="428"/>
      <c r="W31" s="428"/>
      <c r="X31" s="428">
        <f t="shared" si="46"/>
        <v>0</v>
      </c>
      <c r="Y31" s="428"/>
      <c r="Z31" s="453"/>
      <c r="AA31" s="654">
        <f>2731090.18+1146.5</f>
        <v>2732236.68</v>
      </c>
      <c r="AB31" s="428">
        <f>27963.08</f>
        <v>27963.08</v>
      </c>
      <c r="AC31" s="428">
        <f>347901.02</f>
        <v>347901.02</v>
      </c>
      <c r="AD31" s="428">
        <f t="shared" si="33"/>
        <v>2412298.7400000002</v>
      </c>
      <c r="AE31" s="428">
        <v>140</v>
      </c>
      <c r="AF31" s="453"/>
      <c r="AG31" s="537">
        <v>721303</v>
      </c>
      <c r="AH31" s="529">
        <v>3500</v>
      </c>
      <c r="AI31" s="529">
        <v>41100</v>
      </c>
      <c r="AJ31" s="529">
        <f t="shared" si="34"/>
        <v>683703</v>
      </c>
      <c r="AK31" s="428"/>
      <c r="AL31" s="453"/>
      <c r="AM31" s="425">
        <f>845385.82+7457.06</f>
        <v>852842.88</v>
      </c>
      <c r="AN31" s="428">
        <v>101.75</v>
      </c>
      <c r="AO31" s="428">
        <v>68263.73</v>
      </c>
      <c r="AP31" s="428">
        <f t="shared" si="35"/>
        <v>784680.9</v>
      </c>
      <c r="AQ31" s="428">
        <v>633.58000000000004</v>
      </c>
      <c r="AR31" s="453"/>
      <c r="AS31" s="425">
        <v>0</v>
      </c>
      <c r="AT31" s="428">
        <v>0</v>
      </c>
      <c r="AU31" s="428">
        <v>0</v>
      </c>
      <c r="AV31" s="428">
        <f t="shared" si="36"/>
        <v>0</v>
      </c>
      <c r="AW31" s="508">
        <v>0</v>
      </c>
      <c r="AX31" s="453">
        <v>0</v>
      </c>
      <c r="AY31" s="425">
        <f>724514+1018</f>
        <v>725532</v>
      </c>
      <c r="AZ31" s="428">
        <v>123419</v>
      </c>
      <c r="BA31" s="428">
        <v>122944</v>
      </c>
      <c r="BB31" s="428">
        <f t="shared" si="37"/>
        <v>726007</v>
      </c>
      <c r="BC31" s="428">
        <v>519</v>
      </c>
      <c r="BD31" s="453"/>
      <c r="BE31" s="425">
        <f>1400229+296464</f>
        <v>1696693</v>
      </c>
      <c r="BF31" s="428">
        <v>17004</v>
      </c>
      <c r="BG31" s="428">
        <v>160447</v>
      </c>
      <c r="BH31" s="529">
        <f t="shared" si="38"/>
        <v>1553250</v>
      </c>
      <c r="BI31" s="83">
        <v>1528</v>
      </c>
      <c r="BJ31" s="626">
        <v>-2612</v>
      </c>
      <c r="BK31" s="425">
        <v>8818878.1199999992</v>
      </c>
      <c r="BL31" s="428" t="e">
        <f>SUM(#REF!)</f>
        <v>#REF!</v>
      </c>
      <c r="BM31" s="428" t="e">
        <f>SUM(#REF!)</f>
        <v>#REF!</v>
      </c>
      <c r="BN31" s="428" t="e">
        <f t="shared" si="21"/>
        <v>#REF!</v>
      </c>
      <c r="BO31" s="428" t="e">
        <f>SUM(#REF!)</f>
        <v>#REF!</v>
      </c>
      <c r="BP31" s="428" t="e">
        <f>SUM(#REF!)</f>
        <v>#REF!</v>
      </c>
      <c r="BQ31" s="741">
        <f t="shared" si="39"/>
        <v>35819827.68</v>
      </c>
      <c r="BR31" s="741" t="e">
        <f t="shared" si="39"/>
        <v>#REF!</v>
      </c>
      <c r="BS31" s="741" t="e">
        <f t="shared" si="39"/>
        <v>#REF!</v>
      </c>
      <c r="BT31" s="741" t="e">
        <f t="shared" si="39"/>
        <v>#REF!</v>
      </c>
      <c r="BU31" s="562" t="e">
        <f t="shared" si="39"/>
        <v>#REF!</v>
      </c>
      <c r="BV31" s="676" t="e">
        <f t="shared" si="39"/>
        <v>#REF!</v>
      </c>
      <c r="BW31" s="425">
        <f>739590+3450</f>
        <v>743040</v>
      </c>
      <c r="BX31" s="428">
        <v>31804</v>
      </c>
      <c r="BY31" s="428"/>
      <c r="BZ31" s="428">
        <f t="shared" si="40"/>
        <v>774844</v>
      </c>
      <c r="CA31" s="429">
        <v>424</v>
      </c>
      <c r="CB31" s="430"/>
      <c r="CC31" s="425">
        <v>1161543</v>
      </c>
      <c r="CD31" s="428"/>
      <c r="CE31" s="428">
        <v>4319</v>
      </c>
      <c r="CF31" s="428">
        <f>SUM(CC31+CD31-CE31)</f>
        <v>1157224</v>
      </c>
      <c r="CG31" s="429"/>
      <c r="CH31" s="430"/>
      <c r="CI31" s="432"/>
      <c r="CJ31" s="432"/>
      <c r="CK31" s="432"/>
      <c r="CL31" s="432"/>
      <c r="CM31" s="435"/>
      <c r="CN31" s="459"/>
      <c r="CO31" s="502"/>
      <c r="CP31" s="429"/>
      <c r="CQ31" s="429"/>
      <c r="CR31" s="428">
        <f t="shared" si="41"/>
        <v>0</v>
      </c>
      <c r="CS31" s="429"/>
      <c r="CT31" s="430"/>
      <c r="CU31" s="502"/>
      <c r="CV31" s="429"/>
      <c r="CW31" s="429"/>
      <c r="CX31" s="429"/>
      <c r="CY31" s="429"/>
      <c r="CZ31" s="714"/>
      <c r="DA31" s="726">
        <v>0</v>
      </c>
      <c r="DB31" s="9"/>
      <c r="DC31" s="9"/>
      <c r="DD31" s="9">
        <f t="shared" si="42"/>
        <v>0</v>
      </c>
      <c r="DE31" s="422"/>
      <c r="DF31" s="723"/>
      <c r="DG31" s="472"/>
      <c r="DH31" s="472"/>
      <c r="DI31" s="472"/>
      <c r="DJ31" s="472"/>
      <c r="DK31" s="472"/>
      <c r="DL31" s="472"/>
      <c r="DM31" s="703"/>
      <c r="DN31" s="428"/>
      <c r="DO31" s="428"/>
      <c r="DP31" s="428"/>
      <c r="DQ31" s="429"/>
      <c r="DR31" s="700"/>
      <c r="DS31" s="615"/>
      <c r="DT31" s="615"/>
      <c r="DU31" s="615"/>
      <c r="DV31" s="615"/>
      <c r="DW31" s="615"/>
      <c r="DX31" s="615"/>
      <c r="DY31" s="668">
        <v>107398312</v>
      </c>
      <c r="DZ31" s="669">
        <v>18478</v>
      </c>
      <c r="EA31" s="669"/>
      <c r="EB31" s="428">
        <f t="shared" si="43"/>
        <v>107416790</v>
      </c>
      <c r="EC31" s="428">
        <v>53435</v>
      </c>
      <c r="ED31" s="453"/>
      <c r="EE31" s="587"/>
      <c r="EF31" s="437"/>
      <c r="EG31" s="437"/>
      <c r="EH31" s="437"/>
      <c r="EI31" s="437"/>
      <c r="EJ31" s="453"/>
      <c r="EK31" s="688">
        <f t="shared" si="44"/>
        <v>109302895</v>
      </c>
      <c r="EL31" s="688">
        <f t="shared" si="44"/>
        <v>50282</v>
      </c>
      <c r="EM31" s="688">
        <f t="shared" si="44"/>
        <v>4319</v>
      </c>
      <c r="EN31" s="688">
        <f t="shared" si="44"/>
        <v>109348858</v>
      </c>
      <c r="EO31" s="688">
        <f t="shared" si="44"/>
        <v>53859</v>
      </c>
      <c r="EP31" s="687">
        <f t="shared" si="44"/>
        <v>0</v>
      </c>
      <c r="EQ31" s="739">
        <f t="shared" si="45"/>
        <v>145122722.68000001</v>
      </c>
      <c r="ER31" s="739" t="e">
        <f t="shared" si="45"/>
        <v>#REF!</v>
      </c>
      <c r="ES31" s="739" t="e">
        <f t="shared" si="45"/>
        <v>#REF!</v>
      </c>
      <c r="ET31" s="739" t="e">
        <f t="shared" si="45"/>
        <v>#REF!</v>
      </c>
      <c r="EU31" s="739" t="e">
        <f t="shared" si="45"/>
        <v>#REF!</v>
      </c>
      <c r="EV31" s="740" t="e">
        <f t="shared" si="45"/>
        <v>#REF!</v>
      </c>
      <c r="EW31" s="438" t="e">
        <f>SUM('общ.сводрайон без курсовой '!C31-#REF!-#REF!)</f>
        <v>#REF!</v>
      </c>
      <c r="EX31" s="438" t="e">
        <f>SUM('общ.сводрайон без курсовой '!D31-#REF!-#REF!)</f>
        <v>#REF!</v>
      </c>
      <c r="EY31" s="438" t="e">
        <f>SUM('общ.сводрайон без курсовой '!E31-#REF!-#REF!)</f>
        <v>#REF!</v>
      </c>
      <c r="EZ31" s="438" t="e">
        <f>SUM('общ.сводрайон без курсовой '!F31-#REF!-#REF!)</f>
        <v>#REF!</v>
      </c>
    </row>
    <row r="32" spans="1:156" s="439" customFormat="1" ht="18.95" customHeight="1">
      <c r="A32" s="426">
        <f>A31+1</f>
        <v>20</v>
      </c>
      <c r="B32" s="427" t="s">
        <v>61</v>
      </c>
      <c r="C32" s="425">
        <v>769072</v>
      </c>
      <c r="D32" s="428">
        <v>122410</v>
      </c>
      <c r="E32" s="428">
        <v>107742</v>
      </c>
      <c r="F32" s="428">
        <f t="shared" si="30"/>
        <v>783740</v>
      </c>
      <c r="G32" s="461">
        <v>432</v>
      </c>
      <c r="H32" s="462"/>
      <c r="I32" s="425">
        <f>6038090</f>
        <v>6038090</v>
      </c>
      <c r="J32" s="428">
        <v>128400</v>
      </c>
      <c r="K32" s="428">
        <v>363000</v>
      </c>
      <c r="L32" s="428">
        <f t="shared" si="31"/>
        <v>5803490</v>
      </c>
      <c r="M32" s="508">
        <v>280</v>
      </c>
      <c r="N32" s="453"/>
      <c r="O32" s="442">
        <f>391894+16</f>
        <v>391910</v>
      </c>
      <c r="P32" s="443">
        <v>63550</v>
      </c>
      <c r="Q32" s="443">
        <v>20726</v>
      </c>
      <c r="R32" s="428">
        <f t="shared" si="32"/>
        <v>434734</v>
      </c>
      <c r="S32" s="443"/>
      <c r="T32" s="536"/>
      <c r="U32" s="425">
        <v>0</v>
      </c>
      <c r="V32" s="428"/>
      <c r="W32" s="428"/>
      <c r="X32" s="428">
        <f t="shared" si="46"/>
        <v>0</v>
      </c>
      <c r="Y32" s="428"/>
      <c r="Z32" s="453"/>
      <c r="AA32" s="654">
        <f>685857.37+280.9</f>
        <v>686138.27</v>
      </c>
      <c r="AB32" s="428">
        <v>56178.2</v>
      </c>
      <c r="AC32" s="508">
        <f>84807</f>
        <v>84807</v>
      </c>
      <c r="AD32" s="428">
        <f t="shared" si="33"/>
        <v>657509.47</v>
      </c>
      <c r="AE32" s="428">
        <v>571</v>
      </c>
      <c r="AF32" s="453"/>
      <c r="AG32" s="425">
        <v>59021</v>
      </c>
      <c r="AH32" s="428">
        <v>10403</v>
      </c>
      <c r="AI32" s="428">
        <v>5804</v>
      </c>
      <c r="AJ32" s="428">
        <f t="shared" si="34"/>
        <v>63620</v>
      </c>
      <c r="AK32" s="428"/>
      <c r="AL32" s="453"/>
      <c r="AM32" s="425">
        <v>0</v>
      </c>
      <c r="AN32" s="428"/>
      <c r="AO32" s="428"/>
      <c r="AP32" s="428">
        <f t="shared" si="35"/>
        <v>0</v>
      </c>
      <c r="AQ32" s="428"/>
      <c r="AR32" s="453"/>
      <c r="AS32" s="425">
        <v>0</v>
      </c>
      <c r="AT32" s="428">
        <v>0</v>
      </c>
      <c r="AU32" s="428">
        <v>0</v>
      </c>
      <c r="AV32" s="428">
        <f t="shared" si="36"/>
        <v>0</v>
      </c>
      <c r="AW32" s="508">
        <v>0</v>
      </c>
      <c r="AX32" s="453">
        <v>0</v>
      </c>
      <c r="AY32" s="425">
        <v>0</v>
      </c>
      <c r="AZ32" s="428"/>
      <c r="BA32" s="428"/>
      <c r="BB32" s="428">
        <f t="shared" si="37"/>
        <v>0</v>
      </c>
      <c r="BC32" s="428"/>
      <c r="BD32" s="453"/>
      <c r="BE32" s="425">
        <f>60195+441</f>
        <v>60636</v>
      </c>
      <c r="BF32" s="428"/>
      <c r="BG32" s="428"/>
      <c r="BH32" s="529">
        <f t="shared" si="38"/>
        <v>60636</v>
      </c>
      <c r="BI32" s="83">
        <v>49</v>
      </c>
      <c r="BJ32" s="626">
        <v>-210</v>
      </c>
      <c r="BK32" s="425">
        <v>2293799.2200000002</v>
      </c>
      <c r="BL32" s="428" t="e">
        <f>SUM(#REF!)</f>
        <v>#REF!</v>
      </c>
      <c r="BM32" s="428" t="e">
        <f>SUM(#REF!)</f>
        <v>#REF!</v>
      </c>
      <c r="BN32" s="428" t="e">
        <f t="shared" si="21"/>
        <v>#REF!</v>
      </c>
      <c r="BO32" s="428" t="e">
        <f>SUM(#REF!)</f>
        <v>#REF!</v>
      </c>
      <c r="BP32" s="428" t="e">
        <f>SUM(#REF!)</f>
        <v>#REF!</v>
      </c>
      <c r="BQ32" s="741">
        <f t="shared" si="39"/>
        <v>10298666.49</v>
      </c>
      <c r="BR32" s="741" t="e">
        <f t="shared" si="39"/>
        <v>#REF!</v>
      </c>
      <c r="BS32" s="741" t="e">
        <f t="shared" si="39"/>
        <v>#REF!</v>
      </c>
      <c r="BT32" s="741" t="e">
        <f t="shared" si="39"/>
        <v>#REF!</v>
      </c>
      <c r="BU32" s="562" t="e">
        <f t="shared" si="39"/>
        <v>#REF!</v>
      </c>
      <c r="BV32" s="676" t="e">
        <f t="shared" si="39"/>
        <v>#REF!</v>
      </c>
      <c r="BW32" s="425">
        <f>231804+96</f>
        <v>231900</v>
      </c>
      <c r="BX32" s="428"/>
      <c r="BY32" s="428"/>
      <c r="BZ32" s="428">
        <f t="shared" si="40"/>
        <v>231900</v>
      </c>
      <c r="CA32" s="429"/>
      <c r="CB32" s="430"/>
      <c r="CC32" s="425">
        <v>8450</v>
      </c>
      <c r="CD32" s="428">
        <v>0</v>
      </c>
      <c r="CE32" s="428"/>
      <c r="CF32" s="428">
        <f>SUM(CC32+CD32-CE32)</f>
        <v>8450</v>
      </c>
      <c r="CG32" s="429"/>
      <c r="CH32" s="430"/>
      <c r="CI32" s="432"/>
      <c r="CJ32" s="432"/>
      <c r="CK32" s="432"/>
      <c r="CL32" s="432"/>
      <c r="CM32" s="435"/>
      <c r="CN32" s="459"/>
      <c r="CO32" s="502"/>
      <c r="CP32" s="429"/>
      <c r="CQ32" s="429"/>
      <c r="CR32" s="428">
        <f t="shared" si="41"/>
        <v>0</v>
      </c>
      <c r="CS32" s="429"/>
      <c r="CT32" s="430"/>
      <c r="CU32" s="502"/>
      <c r="CV32" s="429"/>
      <c r="CW32" s="429"/>
      <c r="CX32" s="429"/>
      <c r="CY32" s="429"/>
      <c r="CZ32" s="714"/>
      <c r="DA32" s="726">
        <f>31+17</f>
        <v>48</v>
      </c>
      <c r="DB32" s="422"/>
      <c r="DC32" s="422"/>
      <c r="DD32" s="9">
        <f t="shared" si="42"/>
        <v>48</v>
      </c>
      <c r="DE32" s="422"/>
      <c r="DF32" s="723"/>
      <c r="DG32" s="472"/>
      <c r="DH32" s="472"/>
      <c r="DI32" s="472"/>
      <c r="DJ32" s="472"/>
      <c r="DK32" s="472"/>
      <c r="DL32" s="472"/>
      <c r="DM32" s="703"/>
      <c r="DN32" s="428"/>
      <c r="DO32" s="428"/>
      <c r="DP32" s="428"/>
      <c r="DQ32" s="429"/>
      <c r="DR32" s="700"/>
      <c r="DS32" s="615"/>
      <c r="DT32" s="615"/>
      <c r="DU32" s="615"/>
      <c r="DV32" s="615"/>
      <c r="DW32" s="615"/>
      <c r="DX32" s="615"/>
      <c r="DY32" s="668">
        <v>6374653</v>
      </c>
      <c r="DZ32" s="669"/>
      <c r="EA32" s="669"/>
      <c r="EB32" s="428">
        <f t="shared" si="43"/>
        <v>6374653</v>
      </c>
      <c r="EC32" s="428">
        <v>4705</v>
      </c>
      <c r="ED32" s="453"/>
      <c r="EE32" s="587"/>
      <c r="EF32" s="437"/>
      <c r="EG32" s="437"/>
      <c r="EH32" s="437"/>
      <c r="EI32" s="437"/>
      <c r="EJ32" s="453"/>
      <c r="EK32" s="688">
        <f t="shared" si="44"/>
        <v>6615051</v>
      </c>
      <c r="EL32" s="688">
        <f t="shared" si="44"/>
        <v>0</v>
      </c>
      <c r="EM32" s="688">
        <f t="shared" si="44"/>
        <v>0</v>
      </c>
      <c r="EN32" s="688">
        <f t="shared" si="44"/>
        <v>6615051</v>
      </c>
      <c r="EO32" s="688">
        <f t="shared" si="44"/>
        <v>4705</v>
      </c>
      <c r="EP32" s="687">
        <f t="shared" si="44"/>
        <v>0</v>
      </c>
      <c r="EQ32" s="739">
        <f t="shared" si="45"/>
        <v>16913717.490000002</v>
      </c>
      <c r="ER32" s="739" t="e">
        <f t="shared" si="45"/>
        <v>#REF!</v>
      </c>
      <c r="ES32" s="739" t="e">
        <f t="shared" si="45"/>
        <v>#REF!</v>
      </c>
      <c r="ET32" s="739" t="e">
        <f t="shared" si="45"/>
        <v>#REF!</v>
      </c>
      <c r="EU32" s="739" t="e">
        <f t="shared" si="45"/>
        <v>#REF!</v>
      </c>
      <c r="EV32" s="740" t="e">
        <f t="shared" si="45"/>
        <v>#REF!</v>
      </c>
      <c r="EW32" s="438" t="e">
        <f>SUM('общ.сводрайон без курсовой '!C32-#REF!-#REF!)</f>
        <v>#REF!</v>
      </c>
      <c r="EX32" s="438" t="e">
        <f>SUM('общ.сводрайон без курсовой '!D32-#REF!-#REF!)</f>
        <v>#REF!</v>
      </c>
      <c r="EY32" s="438" t="e">
        <f>SUM('общ.сводрайон без курсовой '!E32-#REF!-#REF!)</f>
        <v>#REF!</v>
      </c>
      <c r="EZ32" s="438" t="e">
        <f>SUM('общ.сводрайон без курсовой '!F32-#REF!-#REF!)</f>
        <v>#REF!</v>
      </c>
    </row>
    <row r="33" spans="1:156" s="439" customFormat="1" ht="18.95" customHeight="1">
      <c r="A33" s="440">
        <v>21</v>
      </c>
      <c r="B33" s="441" t="s">
        <v>78</v>
      </c>
      <c r="C33" s="425">
        <f>8028531-112791</f>
        <v>7915740</v>
      </c>
      <c r="D33" s="428">
        <v>1760070</v>
      </c>
      <c r="E33" s="428">
        <v>790584</v>
      </c>
      <c r="F33" s="428">
        <f t="shared" si="30"/>
        <v>8885226</v>
      </c>
      <c r="G33" s="461">
        <v>5012</v>
      </c>
      <c r="H33" s="462"/>
      <c r="I33" s="425">
        <f>1846502+3614</f>
        <v>1850116</v>
      </c>
      <c r="J33" s="428">
        <v>0</v>
      </c>
      <c r="K33" s="428">
        <v>13056</v>
      </c>
      <c r="L33" s="428">
        <f t="shared" si="31"/>
        <v>1837060</v>
      </c>
      <c r="M33" s="508">
        <v>306</v>
      </c>
      <c r="N33" s="453"/>
      <c r="O33" s="442">
        <v>799971</v>
      </c>
      <c r="P33" s="443">
        <v>19050</v>
      </c>
      <c r="Q33" s="443">
        <v>41064</v>
      </c>
      <c r="R33" s="428">
        <f t="shared" si="32"/>
        <v>777957</v>
      </c>
      <c r="S33" s="428"/>
      <c r="T33" s="453"/>
      <c r="U33" s="425">
        <f>6657175+43555</f>
        <v>6700730</v>
      </c>
      <c r="V33" s="428">
        <v>590693.93000000005</v>
      </c>
      <c r="W33" s="428">
        <v>655408.82999999996</v>
      </c>
      <c r="X33" s="428">
        <f t="shared" si="46"/>
        <v>6636015.0999999996</v>
      </c>
      <c r="Y33" s="428">
        <v>4736</v>
      </c>
      <c r="Z33" s="453"/>
      <c r="AA33" s="425">
        <f>10988408+16958.23</f>
        <v>11005366.23</v>
      </c>
      <c r="AB33" s="428">
        <v>639400.07999999996</v>
      </c>
      <c r="AC33" s="428">
        <v>717429</v>
      </c>
      <c r="AD33" s="428">
        <f t="shared" si="33"/>
        <v>10927337.310000001</v>
      </c>
      <c r="AE33" s="428">
        <v>1123</v>
      </c>
      <c r="AF33" s="453"/>
      <c r="AG33" s="425">
        <v>14497</v>
      </c>
      <c r="AH33" s="428">
        <v>180320</v>
      </c>
      <c r="AI33" s="428">
        <v>3000</v>
      </c>
      <c r="AJ33" s="428">
        <f t="shared" si="34"/>
        <v>191817</v>
      </c>
      <c r="AK33" s="428"/>
      <c r="AL33" s="453"/>
      <c r="AM33" s="425">
        <f>35915.57+353.06</f>
        <v>36268.629999999997</v>
      </c>
      <c r="AN33" s="461">
        <v>4.4800000000000004</v>
      </c>
      <c r="AO33" s="461">
        <v>2416.7800000000002</v>
      </c>
      <c r="AP33" s="428">
        <f t="shared" si="35"/>
        <v>33856.33</v>
      </c>
      <c r="AQ33" s="428">
        <v>24.24</v>
      </c>
      <c r="AR33" s="453"/>
      <c r="AS33" s="425">
        <v>45271</v>
      </c>
      <c r="AT33" s="428">
        <v>0</v>
      </c>
      <c r="AU33" s="428">
        <v>20020</v>
      </c>
      <c r="AV33" s="428">
        <f>SUM(AS33+AT33-AU33)</f>
        <v>25251</v>
      </c>
      <c r="AW33" s="508">
        <v>0</v>
      </c>
      <c r="AX33" s="453">
        <v>0</v>
      </c>
      <c r="AY33" s="425">
        <f>3442+23</f>
        <v>3465</v>
      </c>
      <c r="AZ33" s="428"/>
      <c r="BA33" s="428"/>
      <c r="BB33" s="428">
        <f t="shared" si="37"/>
        <v>3465</v>
      </c>
      <c r="BC33" s="428">
        <v>3</v>
      </c>
      <c r="BD33" s="453"/>
      <c r="BE33" s="425">
        <f>801643-428156</f>
        <v>373487</v>
      </c>
      <c r="BF33" s="428">
        <v>35000</v>
      </c>
      <c r="BG33" s="428">
        <v>18038</v>
      </c>
      <c r="BH33" s="428">
        <f t="shared" si="38"/>
        <v>390449</v>
      </c>
      <c r="BI33" s="83">
        <v>2268</v>
      </c>
      <c r="BJ33" s="626">
        <v>-1595</v>
      </c>
      <c r="BK33" s="425">
        <v>21864</v>
      </c>
      <c r="BL33" s="428" t="e">
        <f>SUM(#REF!)</f>
        <v>#REF!</v>
      </c>
      <c r="BM33" s="428" t="e">
        <f>SUM(#REF!)</f>
        <v>#REF!</v>
      </c>
      <c r="BN33" s="428" t="e">
        <f t="shared" si="21"/>
        <v>#REF!</v>
      </c>
      <c r="BO33" s="428" t="e">
        <f>SUM(#REF!)</f>
        <v>#REF!</v>
      </c>
      <c r="BP33" s="428" t="e">
        <f>SUM(#REF!)</f>
        <v>#REF!</v>
      </c>
      <c r="BQ33" s="741">
        <f t="shared" si="39"/>
        <v>28766775.859999999</v>
      </c>
      <c r="BR33" s="741" t="e">
        <f t="shared" si="39"/>
        <v>#REF!</v>
      </c>
      <c r="BS33" s="741" t="e">
        <f t="shared" si="39"/>
        <v>#REF!</v>
      </c>
      <c r="BT33" s="741" t="e">
        <f t="shared" si="39"/>
        <v>#REF!</v>
      </c>
      <c r="BU33" s="562" t="e">
        <f t="shared" si="39"/>
        <v>#REF!</v>
      </c>
      <c r="BV33" s="676" t="e">
        <f t="shared" si="39"/>
        <v>#REF!</v>
      </c>
      <c r="BW33" s="425">
        <f>-133+133</f>
        <v>0</v>
      </c>
      <c r="BX33" s="428">
        <v>34677</v>
      </c>
      <c r="BY33" s="428"/>
      <c r="BZ33" s="428">
        <f t="shared" si="40"/>
        <v>34677</v>
      </c>
      <c r="CA33" s="429"/>
      <c r="CB33" s="430"/>
      <c r="CC33" s="425">
        <v>99410</v>
      </c>
      <c r="CD33" s="428"/>
      <c r="CE33" s="428">
        <v>22000</v>
      </c>
      <c r="CF33" s="428">
        <f>SUM(CC33+CD33-CE33)</f>
        <v>77410</v>
      </c>
      <c r="CG33" s="429"/>
      <c r="CH33" s="430"/>
      <c r="CI33" s="432"/>
      <c r="CJ33" s="432"/>
      <c r="CK33" s="432"/>
      <c r="CL33" s="432"/>
      <c r="CM33" s="435"/>
      <c r="CN33" s="459"/>
      <c r="CO33" s="502"/>
      <c r="CP33" s="429"/>
      <c r="CQ33" s="429"/>
      <c r="CR33" s="428">
        <f t="shared" si="41"/>
        <v>0</v>
      </c>
      <c r="CS33" s="429"/>
      <c r="CT33" s="430"/>
      <c r="CU33" s="502"/>
      <c r="CV33" s="429"/>
      <c r="CW33" s="429"/>
      <c r="CX33" s="429"/>
      <c r="CY33" s="429"/>
      <c r="CZ33" s="714"/>
      <c r="DA33" s="726">
        <f>8487.34+72</f>
        <v>8559.34</v>
      </c>
      <c r="DB33" s="422"/>
      <c r="DC33" s="422"/>
      <c r="DD33" s="9">
        <f t="shared" si="42"/>
        <v>8559.34</v>
      </c>
      <c r="DE33" s="422"/>
      <c r="DF33" s="723"/>
      <c r="DG33" s="472"/>
      <c r="DH33" s="472"/>
      <c r="DI33" s="472"/>
      <c r="DJ33" s="472"/>
      <c r="DK33" s="472"/>
      <c r="DL33" s="472"/>
      <c r="DM33" s="703"/>
      <c r="DN33" s="428"/>
      <c r="DO33" s="428"/>
      <c r="DP33" s="428"/>
      <c r="DQ33" s="429"/>
      <c r="DR33" s="700"/>
      <c r="DS33" s="615"/>
      <c r="DT33" s="615"/>
      <c r="DU33" s="615"/>
      <c r="DV33" s="615"/>
      <c r="DW33" s="615"/>
      <c r="DX33" s="615"/>
      <c r="DY33" s="668">
        <v>14136598</v>
      </c>
      <c r="DZ33" s="669">
        <v>1733850</v>
      </c>
      <c r="EA33" s="669">
        <v>1733850</v>
      </c>
      <c r="EB33" s="428">
        <f t="shared" si="43"/>
        <v>14136598</v>
      </c>
      <c r="EC33" s="428">
        <v>11340</v>
      </c>
      <c r="ED33" s="453"/>
      <c r="EE33" s="587"/>
      <c r="EF33" s="437"/>
      <c r="EG33" s="437"/>
      <c r="EH33" s="437"/>
      <c r="EI33" s="437"/>
      <c r="EJ33" s="453"/>
      <c r="EK33" s="688">
        <f t="shared" si="44"/>
        <v>14244567.34</v>
      </c>
      <c r="EL33" s="688">
        <f t="shared" si="44"/>
        <v>1768527</v>
      </c>
      <c r="EM33" s="688">
        <f t="shared" si="44"/>
        <v>1755850</v>
      </c>
      <c r="EN33" s="688">
        <f t="shared" si="44"/>
        <v>14257244.34</v>
      </c>
      <c r="EO33" s="688">
        <f t="shared" si="44"/>
        <v>11340</v>
      </c>
      <c r="EP33" s="687">
        <f t="shared" si="44"/>
        <v>0</v>
      </c>
      <c r="EQ33" s="739">
        <f t="shared" si="45"/>
        <v>43011343.200000003</v>
      </c>
      <c r="ER33" s="739" t="e">
        <f t="shared" si="45"/>
        <v>#REF!</v>
      </c>
      <c r="ES33" s="739" t="e">
        <f t="shared" si="45"/>
        <v>#REF!</v>
      </c>
      <c r="ET33" s="739" t="e">
        <f t="shared" si="45"/>
        <v>#REF!</v>
      </c>
      <c r="EU33" s="739" t="e">
        <f t="shared" si="45"/>
        <v>#REF!</v>
      </c>
      <c r="EV33" s="740" t="e">
        <f t="shared" si="45"/>
        <v>#REF!</v>
      </c>
      <c r="EW33" s="438" t="e">
        <f>SUM('общ.сводрайон без курсовой '!C33-#REF!-#REF!)</f>
        <v>#REF!</v>
      </c>
      <c r="EX33" s="438" t="e">
        <f>SUM('общ.сводрайон без курсовой '!D33-#REF!-#REF!)</f>
        <v>#REF!</v>
      </c>
      <c r="EY33" s="438" t="e">
        <f>SUM('общ.сводрайон без курсовой '!E33-#REF!-#REF!)</f>
        <v>#REF!</v>
      </c>
      <c r="EZ33" s="438" t="e">
        <f>SUM('общ.сводрайон без курсовой '!F33-#REF!-#REF!)</f>
        <v>#REF!</v>
      </c>
    </row>
    <row r="34" spans="1:156" s="439" customFormat="1" ht="18.95" customHeight="1">
      <c r="A34" s="1219" t="s">
        <v>62</v>
      </c>
      <c r="B34" s="1220"/>
      <c r="C34" s="445">
        <f>SUM(C26:C33)</f>
        <v>38780040</v>
      </c>
      <c r="D34" s="446">
        <f>SUM(D26:D33)</f>
        <v>7648751</v>
      </c>
      <c r="E34" s="446">
        <f>SUM(E26:E33)</f>
        <v>4608398</v>
      </c>
      <c r="F34" s="446">
        <f t="shared" ref="F34:BQ34" si="47">SUM(F26:F33)</f>
        <v>41820393</v>
      </c>
      <c r="G34" s="446">
        <f t="shared" si="47"/>
        <v>23724</v>
      </c>
      <c r="H34" s="447">
        <f t="shared" si="47"/>
        <v>0</v>
      </c>
      <c r="I34" s="445">
        <f t="shared" si="47"/>
        <v>25139979</v>
      </c>
      <c r="J34" s="446">
        <f t="shared" si="47"/>
        <v>1652506</v>
      </c>
      <c r="K34" s="446">
        <f t="shared" si="47"/>
        <v>623197</v>
      </c>
      <c r="L34" s="446">
        <f t="shared" si="47"/>
        <v>26169288</v>
      </c>
      <c r="M34" s="527">
        <f t="shared" si="47"/>
        <v>7581</v>
      </c>
      <c r="N34" s="447">
        <f t="shared" si="47"/>
        <v>0</v>
      </c>
      <c r="O34" s="445">
        <f t="shared" si="47"/>
        <v>7726874</v>
      </c>
      <c r="P34" s="446">
        <f t="shared" si="47"/>
        <v>500570</v>
      </c>
      <c r="Q34" s="446">
        <f t="shared" si="47"/>
        <v>288798</v>
      </c>
      <c r="R34" s="446">
        <f t="shared" si="47"/>
        <v>7938646</v>
      </c>
      <c r="S34" s="446">
        <f t="shared" si="47"/>
        <v>6</v>
      </c>
      <c r="T34" s="447">
        <f t="shared" si="47"/>
        <v>0</v>
      </c>
      <c r="U34" s="445">
        <f t="shared" si="47"/>
        <v>6700730</v>
      </c>
      <c r="V34" s="446">
        <f t="shared" si="47"/>
        <v>5351722.93</v>
      </c>
      <c r="W34" s="446">
        <f t="shared" si="47"/>
        <v>2780985.83</v>
      </c>
      <c r="X34" s="446">
        <f t="shared" si="47"/>
        <v>9271467.0999999996</v>
      </c>
      <c r="Y34" s="446">
        <f t="shared" si="47"/>
        <v>9955</v>
      </c>
      <c r="Z34" s="447">
        <f t="shared" si="47"/>
        <v>0</v>
      </c>
      <c r="AA34" s="445">
        <f t="shared" si="47"/>
        <v>25160142.93</v>
      </c>
      <c r="AB34" s="446">
        <f t="shared" si="47"/>
        <v>1653315.3049999997</v>
      </c>
      <c r="AC34" s="446">
        <f t="shared" si="47"/>
        <v>2225853.023947</v>
      </c>
      <c r="AD34" s="446">
        <f t="shared" si="47"/>
        <v>24587605.211053003</v>
      </c>
      <c r="AE34" s="446">
        <f t="shared" si="47"/>
        <v>5260</v>
      </c>
      <c r="AF34" s="447">
        <f t="shared" si="47"/>
        <v>0</v>
      </c>
      <c r="AG34" s="445">
        <f t="shared" si="47"/>
        <v>845714</v>
      </c>
      <c r="AH34" s="446">
        <f t="shared" si="47"/>
        <v>205199</v>
      </c>
      <c r="AI34" s="446">
        <f t="shared" si="47"/>
        <v>86242</v>
      </c>
      <c r="AJ34" s="446">
        <f t="shared" si="47"/>
        <v>964671</v>
      </c>
      <c r="AK34" s="446">
        <f t="shared" si="47"/>
        <v>0</v>
      </c>
      <c r="AL34" s="447">
        <f t="shared" si="47"/>
        <v>0</v>
      </c>
      <c r="AM34" s="445">
        <f t="shared" si="47"/>
        <v>2120446.7000000002</v>
      </c>
      <c r="AN34" s="446">
        <f t="shared" si="47"/>
        <v>186543.7</v>
      </c>
      <c r="AO34" s="446">
        <f t="shared" si="47"/>
        <v>273158.97000000003</v>
      </c>
      <c r="AP34" s="446">
        <f t="shared" si="47"/>
        <v>2033831.4300000002</v>
      </c>
      <c r="AQ34" s="446">
        <f t="shared" si="47"/>
        <v>1420.82</v>
      </c>
      <c r="AR34" s="447">
        <f t="shared" si="47"/>
        <v>0</v>
      </c>
      <c r="AS34" s="445">
        <f t="shared" si="47"/>
        <v>45271</v>
      </c>
      <c r="AT34" s="446">
        <f t="shared" si="47"/>
        <v>0</v>
      </c>
      <c r="AU34" s="446">
        <f t="shared" si="47"/>
        <v>20020</v>
      </c>
      <c r="AV34" s="446">
        <f t="shared" si="47"/>
        <v>25251</v>
      </c>
      <c r="AW34" s="527">
        <f t="shared" si="47"/>
        <v>0</v>
      </c>
      <c r="AX34" s="447">
        <f t="shared" si="47"/>
        <v>0</v>
      </c>
      <c r="AY34" s="445">
        <f t="shared" si="47"/>
        <v>5969703</v>
      </c>
      <c r="AZ34" s="446">
        <f t="shared" si="47"/>
        <v>518362</v>
      </c>
      <c r="BA34" s="446">
        <f t="shared" si="47"/>
        <v>784059</v>
      </c>
      <c r="BB34" s="446">
        <f t="shared" si="47"/>
        <v>5704006</v>
      </c>
      <c r="BC34" s="446">
        <f t="shared" si="47"/>
        <v>3003</v>
      </c>
      <c r="BD34" s="447">
        <f t="shared" si="47"/>
        <v>0</v>
      </c>
      <c r="BE34" s="445">
        <f t="shared" si="47"/>
        <v>4858938</v>
      </c>
      <c r="BF34" s="446">
        <f t="shared" si="47"/>
        <v>276132</v>
      </c>
      <c r="BG34" s="446">
        <f t="shared" si="47"/>
        <v>189310</v>
      </c>
      <c r="BH34" s="446">
        <f t="shared" si="47"/>
        <v>4945760</v>
      </c>
      <c r="BI34" s="745">
        <f t="shared" si="47"/>
        <v>12507</v>
      </c>
      <c r="BJ34" s="745">
        <f t="shared" si="47"/>
        <v>-10631</v>
      </c>
      <c r="BK34" s="445">
        <f t="shared" si="47"/>
        <v>12928379.75</v>
      </c>
      <c r="BL34" s="446" t="e">
        <f t="shared" si="47"/>
        <v>#REF!</v>
      </c>
      <c r="BM34" s="446" t="e">
        <f t="shared" si="47"/>
        <v>#REF!</v>
      </c>
      <c r="BN34" s="446" t="e">
        <f t="shared" si="47"/>
        <v>#REF!</v>
      </c>
      <c r="BO34" s="446" t="e">
        <f t="shared" si="47"/>
        <v>#REF!</v>
      </c>
      <c r="BP34" s="447" t="e">
        <f t="shared" si="47"/>
        <v>#REF!</v>
      </c>
      <c r="BQ34" s="548">
        <f t="shared" si="47"/>
        <v>130276218.38</v>
      </c>
      <c r="BR34" s="551" t="e">
        <f t="shared" ref="BR34:EC34" si="48">SUM(BR26:BR33)</f>
        <v>#REF!</v>
      </c>
      <c r="BS34" s="551" t="e">
        <f t="shared" si="48"/>
        <v>#REF!</v>
      </c>
      <c r="BT34" s="551" t="e">
        <f t="shared" si="48"/>
        <v>#REF!</v>
      </c>
      <c r="BU34" s="551" t="e">
        <f t="shared" si="48"/>
        <v>#REF!</v>
      </c>
      <c r="BV34" s="575" t="e">
        <f t="shared" si="48"/>
        <v>#REF!</v>
      </c>
      <c r="BW34" s="445">
        <f t="shared" si="48"/>
        <v>1088754</v>
      </c>
      <c r="BX34" s="446">
        <f t="shared" si="48"/>
        <v>276435</v>
      </c>
      <c r="BY34" s="446">
        <f t="shared" si="48"/>
        <v>0</v>
      </c>
      <c r="BZ34" s="446">
        <f t="shared" si="48"/>
        <v>1365189</v>
      </c>
      <c r="CA34" s="446">
        <f t="shared" si="48"/>
        <v>488</v>
      </c>
      <c r="CB34" s="447">
        <f t="shared" si="48"/>
        <v>0</v>
      </c>
      <c r="CC34" s="445">
        <f t="shared" si="48"/>
        <v>1277403</v>
      </c>
      <c r="CD34" s="446">
        <f t="shared" si="48"/>
        <v>0</v>
      </c>
      <c r="CE34" s="446">
        <f t="shared" si="48"/>
        <v>26319</v>
      </c>
      <c r="CF34" s="446">
        <f t="shared" si="48"/>
        <v>1251084</v>
      </c>
      <c r="CG34" s="446">
        <f t="shared" si="48"/>
        <v>0</v>
      </c>
      <c r="CH34" s="447">
        <f t="shared" si="48"/>
        <v>0</v>
      </c>
      <c r="CI34" s="448">
        <f t="shared" si="48"/>
        <v>52308</v>
      </c>
      <c r="CJ34" s="451">
        <f t="shared" si="48"/>
        <v>1734</v>
      </c>
      <c r="CK34" s="451">
        <f t="shared" si="48"/>
        <v>80</v>
      </c>
      <c r="CL34" s="451">
        <f t="shared" si="48"/>
        <v>53962</v>
      </c>
      <c r="CM34" s="458">
        <f t="shared" si="48"/>
        <v>48</v>
      </c>
      <c r="CN34" s="452">
        <f t="shared" si="48"/>
        <v>0</v>
      </c>
      <c r="CO34" s="445">
        <f t="shared" si="48"/>
        <v>0</v>
      </c>
      <c r="CP34" s="446">
        <f t="shared" si="48"/>
        <v>0</v>
      </c>
      <c r="CQ34" s="446">
        <f t="shared" si="48"/>
        <v>0</v>
      </c>
      <c r="CR34" s="446">
        <f t="shared" si="48"/>
        <v>0</v>
      </c>
      <c r="CS34" s="446">
        <f t="shared" si="48"/>
        <v>0</v>
      </c>
      <c r="CT34" s="447">
        <f t="shared" si="48"/>
        <v>0</v>
      </c>
      <c r="CU34" s="445">
        <f t="shared" si="48"/>
        <v>0</v>
      </c>
      <c r="CV34" s="446">
        <f t="shared" si="48"/>
        <v>0</v>
      </c>
      <c r="CW34" s="446">
        <f t="shared" si="48"/>
        <v>0</v>
      </c>
      <c r="CX34" s="446">
        <f t="shared" si="48"/>
        <v>0</v>
      </c>
      <c r="CY34" s="446">
        <f t="shared" si="48"/>
        <v>0</v>
      </c>
      <c r="CZ34" s="715">
        <f t="shared" si="48"/>
        <v>0</v>
      </c>
      <c r="DA34" s="724">
        <f t="shared" si="48"/>
        <v>9647.34</v>
      </c>
      <c r="DB34" s="578">
        <f t="shared" si="48"/>
        <v>0</v>
      </c>
      <c r="DC34" s="578">
        <f t="shared" si="48"/>
        <v>0</v>
      </c>
      <c r="DD34" s="578">
        <f t="shared" si="48"/>
        <v>9647.34</v>
      </c>
      <c r="DE34" s="578">
        <f t="shared" si="48"/>
        <v>0</v>
      </c>
      <c r="DF34" s="725">
        <f t="shared" si="48"/>
        <v>0</v>
      </c>
      <c r="DG34" s="684"/>
      <c r="DH34" s="686"/>
      <c r="DI34" s="686"/>
      <c r="DJ34" s="686"/>
      <c r="DK34" s="686"/>
      <c r="DL34" s="683"/>
      <c r="DM34" s="701">
        <f t="shared" si="48"/>
        <v>98000</v>
      </c>
      <c r="DN34" s="446">
        <f t="shared" si="48"/>
        <v>0</v>
      </c>
      <c r="DO34" s="446">
        <f t="shared" si="48"/>
        <v>1000</v>
      </c>
      <c r="DP34" s="446">
        <f t="shared" si="48"/>
        <v>97000</v>
      </c>
      <c r="DQ34" s="446">
        <f t="shared" si="48"/>
        <v>0</v>
      </c>
      <c r="DR34" s="702">
        <f t="shared" si="48"/>
        <v>0</v>
      </c>
      <c r="DS34" s="616"/>
      <c r="DT34" s="616"/>
      <c r="DU34" s="616"/>
      <c r="DV34" s="616"/>
      <c r="DW34" s="616"/>
      <c r="DX34" s="616"/>
      <c r="DY34" s="445">
        <f t="shared" si="48"/>
        <v>130296651</v>
      </c>
      <c r="DZ34" s="446">
        <f t="shared" si="48"/>
        <v>1752328</v>
      </c>
      <c r="EA34" s="446">
        <f t="shared" si="48"/>
        <v>1733850</v>
      </c>
      <c r="EB34" s="446">
        <f t="shared" si="48"/>
        <v>130315129</v>
      </c>
      <c r="EC34" s="446">
        <f t="shared" si="48"/>
        <v>71359</v>
      </c>
      <c r="ED34" s="447">
        <f t="shared" ref="ED34:EV34" si="49">SUM(ED26:ED33)</f>
        <v>0</v>
      </c>
      <c r="EE34" s="445">
        <f t="shared" si="49"/>
        <v>0</v>
      </c>
      <c r="EF34" s="446">
        <f t="shared" si="49"/>
        <v>0</v>
      </c>
      <c r="EG34" s="446">
        <f t="shared" si="49"/>
        <v>0</v>
      </c>
      <c r="EH34" s="446">
        <f t="shared" si="49"/>
        <v>0</v>
      </c>
      <c r="EI34" s="446">
        <f t="shared" si="49"/>
        <v>0</v>
      </c>
      <c r="EJ34" s="447">
        <f t="shared" si="49"/>
        <v>0</v>
      </c>
      <c r="EK34" s="690">
        <f t="shared" ref="EK34:EP34" si="50">SUM(EK26:EK33)</f>
        <v>132822763.34</v>
      </c>
      <c r="EL34" s="690">
        <f t="shared" si="50"/>
        <v>2030497</v>
      </c>
      <c r="EM34" s="690">
        <f t="shared" si="50"/>
        <v>1761249</v>
      </c>
      <c r="EN34" s="690">
        <f t="shared" si="50"/>
        <v>133092011.34</v>
      </c>
      <c r="EO34" s="690">
        <f t="shared" si="50"/>
        <v>71895</v>
      </c>
      <c r="EP34" s="616">
        <f t="shared" si="50"/>
        <v>0</v>
      </c>
      <c r="EQ34" s="596">
        <f t="shared" si="49"/>
        <v>263098981.72000003</v>
      </c>
      <c r="ER34" s="597" t="e">
        <f t="shared" si="49"/>
        <v>#REF!</v>
      </c>
      <c r="ES34" s="597" t="e">
        <f t="shared" si="49"/>
        <v>#REF!</v>
      </c>
      <c r="ET34" s="597" t="e">
        <f t="shared" si="49"/>
        <v>#REF!</v>
      </c>
      <c r="EU34" s="597" t="e">
        <f t="shared" si="49"/>
        <v>#REF!</v>
      </c>
      <c r="EV34" s="598" t="e">
        <f t="shared" si="49"/>
        <v>#REF!</v>
      </c>
    </row>
    <row r="35" spans="1:156" s="439" customFormat="1" ht="18.95" customHeight="1">
      <c r="A35" s="440"/>
      <c r="B35" s="463" t="s">
        <v>72</v>
      </c>
      <c r="C35" s="425"/>
      <c r="D35" s="429"/>
      <c r="E35" s="429"/>
      <c r="F35" s="634">
        <f>SUM(F34+G34-H34)</f>
        <v>41844117</v>
      </c>
      <c r="G35" s="429"/>
      <c r="H35" s="430"/>
      <c r="I35" s="425"/>
      <c r="J35" s="429"/>
      <c r="K35" s="429"/>
      <c r="L35" s="428">
        <f>SUM(L34+M34)</f>
        <v>26176869</v>
      </c>
      <c r="M35" s="541"/>
      <c r="N35" s="430"/>
      <c r="O35" s="425"/>
      <c r="P35" s="429"/>
      <c r="Q35" s="429"/>
      <c r="R35" s="428">
        <f>SUM(R34+S34-T34)</f>
        <v>7938652</v>
      </c>
      <c r="S35" s="429"/>
      <c r="T35" s="430"/>
      <c r="U35" s="425"/>
      <c r="V35" s="429"/>
      <c r="W35" s="429"/>
      <c r="X35" s="428"/>
      <c r="Y35" s="429"/>
      <c r="Z35" s="430"/>
      <c r="AA35" s="425"/>
      <c r="AB35" s="429"/>
      <c r="AC35" s="429"/>
      <c r="AD35" s="428"/>
      <c r="AE35" s="429"/>
      <c r="AF35" s="430"/>
      <c r="AG35" s="425"/>
      <c r="AH35" s="429"/>
      <c r="AI35" s="429"/>
      <c r="AJ35" s="428"/>
      <c r="AK35" s="429"/>
      <c r="AL35" s="430"/>
      <c r="AM35" s="425"/>
      <c r="AN35" s="429"/>
      <c r="AO35" s="429"/>
      <c r="AP35" s="428"/>
      <c r="AQ35" s="429"/>
      <c r="AR35" s="430"/>
      <c r="AS35" s="425"/>
      <c r="AT35" s="429"/>
      <c r="AU35" s="429"/>
      <c r="AV35" s="428"/>
      <c r="AW35" s="541"/>
      <c r="AX35" s="430"/>
      <c r="AY35" s="425"/>
      <c r="AZ35" s="429"/>
      <c r="BA35" s="429"/>
      <c r="BB35" s="545">
        <f>SUM(BB34+BC34)</f>
        <v>5707009</v>
      </c>
      <c r="BC35" s="429"/>
      <c r="BD35" s="430"/>
      <c r="BE35" s="425"/>
      <c r="BF35" s="429"/>
      <c r="BG35" s="429"/>
      <c r="BH35" s="545">
        <f>SUM(BH34+BI34)</f>
        <v>4958267</v>
      </c>
      <c r="BI35" s="627"/>
      <c r="BJ35" s="628"/>
      <c r="BK35" s="425"/>
      <c r="BL35" s="428"/>
      <c r="BM35" s="428"/>
      <c r="BN35" s="428"/>
      <c r="BO35" s="428"/>
      <c r="BP35" s="453"/>
      <c r="BQ35" s="567"/>
      <c r="BR35" s="568"/>
      <c r="BS35" s="568"/>
      <c r="BT35" s="568"/>
      <c r="BU35" s="569"/>
      <c r="BV35" s="565"/>
      <c r="BW35" s="425"/>
      <c r="BX35" s="428"/>
      <c r="BY35" s="428"/>
      <c r="BZ35" s="545">
        <f>SUM(BZ34+CA34-CB34)</f>
        <v>1365677</v>
      </c>
      <c r="CA35" s="428"/>
      <c r="CB35" s="453"/>
      <c r="CC35" s="425"/>
      <c r="CD35" s="428"/>
      <c r="CE35" s="428"/>
      <c r="CF35" s="428"/>
      <c r="CG35" s="428"/>
      <c r="CH35" s="453"/>
      <c r="CI35" s="464"/>
      <c r="CJ35" s="465"/>
      <c r="CK35" s="465"/>
      <c r="CL35" s="465"/>
      <c r="CM35" s="466"/>
      <c r="CN35" s="460"/>
      <c r="CO35" s="425"/>
      <c r="CP35" s="428"/>
      <c r="CQ35" s="428"/>
      <c r="CR35" s="428"/>
      <c r="CS35" s="428"/>
      <c r="CT35" s="453"/>
      <c r="CU35" s="425"/>
      <c r="CV35" s="428"/>
      <c r="CW35" s="428"/>
      <c r="CX35" s="428"/>
      <c r="CY35" s="428"/>
      <c r="CZ35" s="632"/>
      <c r="DA35" s="726"/>
      <c r="DB35" s="9"/>
      <c r="DC35" s="9"/>
      <c r="DD35" s="355">
        <f>SUM(DD34+DE34)</f>
        <v>9647.34</v>
      </c>
      <c r="DE35" s="9"/>
      <c r="DF35" s="727"/>
      <c r="DG35" s="472"/>
      <c r="DH35" s="472"/>
      <c r="DI35" s="472"/>
      <c r="DJ35" s="472"/>
      <c r="DK35" s="472"/>
      <c r="DL35" s="472"/>
      <c r="DM35" s="703"/>
      <c r="DN35" s="428"/>
      <c r="DO35" s="428"/>
      <c r="DP35" s="428"/>
      <c r="DQ35" s="428"/>
      <c r="DR35" s="704"/>
      <c r="DS35" s="617"/>
      <c r="DT35" s="617"/>
      <c r="DU35" s="617"/>
      <c r="DV35" s="617"/>
      <c r="DW35" s="617"/>
      <c r="DX35" s="617"/>
      <c r="DY35" s="425"/>
      <c r="DZ35" s="428"/>
      <c r="EA35" s="428"/>
      <c r="EB35" s="634">
        <f>SUM(DY34+DZ34-EA34+EC34-ED34)</f>
        <v>130386488</v>
      </c>
      <c r="EC35" s="428"/>
      <c r="ED35" s="453"/>
      <c r="EE35" s="587"/>
      <c r="EF35" s="437"/>
      <c r="EG35" s="437"/>
      <c r="EH35" s="437"/>
      <c r="EI35" s="437"/>
      <c r="EJ35" s="453"/>
      <c r="EK35" s="687"/>
      <c r="EL35" s="617"/>
      <c r="EM35" s="617"/>
      <c r="EN35" s="617"/>
      <c r="EO35" s="617"/>
      <c r="EP35" s="617"/>
      <c r="EQ35" s="1221"/>
      <c r="ER35" s="1222"/>
      <c r="ES35" s="1222"/>
      <c r="ET35" s="1222"/>
      <c r="EU35" s="1222"/>
      <c r="EV35" s="599"/>
    </row>
    <row r="36" spans="1:156" s="439" customFormat="1" ht="18.95" customHeight="1">
      <c r="A36" s="467">
        <v>22</v>
      </c>
      <c r="B36" s="468" t="s">
        <v>49</v>
      </c>
      <c r="C36" s="425">
        <f>8863902+110421</f>
        <v>8974323</v>
      </c>
      <c r="D36" s="428">
        <v>1129545</v>
      </c>
      <c r="E36" s="428">
        <v>706765</v>
      </c>
      <c r="F36" s="428">
        <f t="shared" ref="F36:F60" si="51">SUM(C36+D36-E36)</f>
        <v>9397103</v>
      </c>
      <c r="G36" s="428">
        <v>7374</v>
      </c>
      <c r="H36" s="453"/>
      <c r="I36" s="425">
        <f>62347872+581061</f>
        <v>62928933</v>
      </c>
      <c r="J36" s="428">
        <v>313062</v>
      </c>
      <c r="K36" s="428">
        <v>6040905</v>
      </c>
      <c r="L36" s="428">
        <f t="shared" ref="L36:L60" si="52">SUM(I36+J36-K36)</f>
        <v>57201090</v>
      </c>
      <c r="M36" s="508">
        <v>33865</v>
      </c>
      <c r="N36" s="453"/>
      <c r="O36" s="425">
        <v>13031166</v>
      </c>
      <c r="P36" s="428">
        <v>129750</v>
      </c>
      <c r="Q36" s="428">
        <v>45648</v>
      </c>
      <c r="R36" s="428">
        <f t="shared" ref="R36:R60" si="53">SUM(O36+P36-Q36)</f>
        <v>13115268</v>
      </c>
      <c r="S36" s="428">
        <v>114</v>
      </c>
      <c r="T36" s="453"/>
      <c r="U36" s="425">
        <f>8588122+64760</f>
        <v>8652882</v>
      </c>
      <c r="V36" s="529">
        <v>954736.28</v>
      </c>
      <c r="W36" s="428">
        <v>1078054.7</v>
      </c>
      <c r="X36" s="428">
        <f t="shared" ref="X36:X60" si="54">SUM(U36+V36-W36)</f>
        <v>8529563.5800000001</v>
      </c>
      <c r="Y36" s="428">
        <v>1923</v>
      </c>
      <c r="Z36" s="453"/>
      <c r="AA36" s="425">
        <f>7220996.77+516.8</f>
        <v>7221513.5699999994</v>
      </c>
      <c r="AB36" s="428"/>
      <c r="AC36" s="428"/>
      <c r="AD36" s="428">
        <f t="shared" ref="AD36:AD60" si="55">SUM(AA36+AB36-AC36)</f>
        <v>7221513.5699999994</v>
      </c>
      <c r="AE36" s="428"/>
      <c r="AF36" s="453"/>
      <c r="AG36" s="425">
        <v>6630275</v>
      </c>
      <c r="AH36" s="428">
        <v>505352</v>
      </c>
      <c r="AI36" s="428">
        <v>599452</v>
      </c>
      <c r="AJ36" s="428">
        <f t="shared" ref="AJ36:AJ60" si="56">SUM(AG36+AH36-AI36)</f>
        <v>6536175</v>
      </c>
      <c r="AK36" s="428"/>
      <c r="AL36" s="453"/>
      <c r="AM36" s="425">
        <v>0</v>
      </c>
      <c r="AN36" s="428"/>
      <c r="AO36" s="428"/>
      <c r="AP36" s="428">
        <f t="shared" ref="AP36:AP60" si="57">SUM(AM36+AN36-AO36)</f>
        <v>0</v>
      </c>
      <c r="AQ36" s="428"/>
      <c r="AR36" s="453"/>
      <c r="AS36" s="425">
        <v>40666</v>
      </c>
      <c r="AT36" s="428">
        <v>0</v>
      </c>
      <c r="AU36" s="428">
        <v>17866</v>
      </c>
      <c r="AV36" s="428">
        <f>SUM(AS36+AT36-AU36)</f>
        <v>22800</v>
      </c>
      <c r="AW36" s="508">
        <v>0</v>
      </c>
      <c r="AX36" s="453">
        <v>0</v>
      </c>
      <c r="AY36" s="425">
        <v>0</v>
      </c>
      <c r="AZ36" s="428"/>
      <c r="BA36" s="428"/>
      <c r="BB36" s="428">
        <f t="shared" ref="BB36:BB60" si="58">SUM(AY36+AZ36-BA36)</f>
        <v>0</v>
      </c>
      <c r="BC36" s="428"/>
      <c r="BD36" s="453"/>
      <c r="BE36" s="425">
        <f>200750+33597</f>
        <v>234347</v>
      </c>
      <c r="BF36" s="428"/>
      <c r="BG36" s="428"/>
      <c r="BH36" s="428">
        <f t="shared" ref="BH36:BH60" si="59">SUM(BE36+BF36-BG36)</f>
        <v>234347</v>
      </c>
      <c r="BI36" s="21">
        <v>527</v>
      </c>
      <c r="BJ36" s="625">
        <v>-648</v>
      </c>
      <c r="BK36" s="425">
        <v>768638.99</v>
      </c>
      <c r="BL36" s="428" t="e">
        <f>SUM(#REF!)</f>
        <v>#REF!</v>
      </c>
      <c r="BM36" s="428" t="e">
        <f>SUM(#REF!)</f>
        <v>#REF!</v>
      </c>
      <c r="BN36" s="428" t="e">
        <f t="shared" ref="BN36:BN60" si="60">SUM(BK36+BL36-BM36)</f>
        <v>#REF!</v>
      </c>
      <c r="BO36" s="428" t="e">
        <f>SUM(#REF!)</f>
        <v>#REF!</v>
      </c>
      <c r="BP36" s="428" t="e">
        <f>SUM(#REF!)</f>
        <v>#REF!</v>
      </c>
      <c r="BQ36" s="741">
        <f t="shared" ref="BQ36:BV60" si="61">SUM(C36+I36+O36+AA36+AG36+AM36+AS36+U36+AY36+BK36+BE36)</f>
        <v>108482744.55999999</v>
      </c>
      <c r="BR36" s="741" t="e">
        <f t="shared" si="61"/>
        <v>#REF!</v>
      </c>
      <c r="BS36" s="741" t="e">
        <f t="shared" si="61"/>
        <v>#REF!</v>
      </c>
      <c r="BT36" s="741" t="e">
        <f t="shared" si="61"/>
        <v>#REF!</v>
      </c>
      <c r="BU36" s="562" t="e">
        <f t="shared" si="61"/>
        <v>#REF!</v>
      </c>
      <c r="BV36" s="676" t="e">
        <f t="shared" si="61"/>
        <v>#REF!</v>
      </c>
      <c r="BW36" s="425"/>
      <c r="BX36" s="428"/>
      <c r="BY36" s="428"/>
      <c r="BZ36" s="428"/>
      <c r="CA36" s="429">
        <f t="shared" ref="CA36:CA60" si="62">SUM(BW36+BX36-BY36-BZ36)</f>
        <v>0</v>
      </c>
      <c r="CB36" s="430"/>
      <c r="CC36" s="425"/>
      <c r="CD36" s="428"/>
      <c r="CE36" s="428"/>
      <c r="CF36" s="428"/>
      <c r="CG36" s="428"/>
      <c r="CH36" s="453"/>
      <c r="CI36" s="469">
        <v>0</v>
      </c>
      <c r="CJ36" s="470"/>
      <c r="CK36" s="470"/>
      <c r="CL36" s="428">
        <f t="shared" ref="CL36:CL41" si="63">SUM(CI36+CJ36-CK36)</f>
        <v>0</v>
      </c>
      <c r="CM36" s="471"/>
      <c r="CN36" s="460"/>
      <c r="CO36" s="425"/>
      <c r="CP36" s="428"/>
      <c r="CQ36" s="428"/>
      <c r="CR36" s="428">
        <f t="shared" ref="CR36:CR60" si="64">SUM(CO36+CP36-CQ36)</f>
        <v>0</v>
      </c>
      <c r="CS36" s="428"/>
      <c r="CT36" s="453"/>
      <c r="CU36" s="425"/>
      <c r="CV36" s="428"/>
      <c r="CW36" s="428"/>
      <c r="CX36" s="428"/>
      <c r="CY36" s="428"/>
      <c r="CZ36" s="632"/>
      <c r="DA36" s="726">
        <v>0</v>
      </c>
      <c r="DB36" s="9"/>
      <c r="DC36" s="9"/>
      <c r="DD36" s="9">
        <f t="shared" ref="DD36:DD60" si="65">SUM(DA36+DB36-DC36)</f>
        <v>0</v>
      </c>
      <c r="DE36" s="9"/>
      <c r="DF36" s="727"/>
      <c r="DG36" s="472"/>
      <c r="DH36" s="472"/>
      <c r="DI36" s="472"/>
      <c r="DJ36" s="472"/>
      <c r="DK36" s="472"/>
      <c r="DL36" s="472"/>
      <c r="DM36" s="703"/>
      <c r="DN36" s="428"/>
      <c r="DO36" s="428"/>
      <c r="DP36" s="428"/>
      <c r="DQ36" s="428"/>
      <c r="DR36" s="704"/>
      <c r="DS36" s="617"/>
      <c r="DT36" s="617"/>
      <c r="DU36" s="617"/>
      <c r="DV36" s="617"/>
      <c r="DW36" s="617"/>
      <c r="DX36" s="617"/>
      <c r="DY36" s="668">
        <v>573947996</v>
      </c>
      <c r="DZ36" s="669">
        <v>676929</v>
      </c>
      <c r="EA36" s="669">
        <v>47123</v>
      </c>
      <c r="EB36" s="428">
        <f t="shared" ref="EB36:EB60" si="66">SUM(DY36+DZ36-EA36)</f>
        <v>574577802</v>
      </c>
      <c r="EC36" s="428">
        <v>229187</v>
      </c>
      <c r="ED36" s="453"/>
      <c r="EE36" s="587"/>
      <c r="EF36" s="437"/>
      <c r="EG36" s="437"/>
      <c r="EH36" s="437"/>
      <c r="EI36" s="437"/>
      <c r="EJ36" s="453"/>
      <c r="EK36" s="688">
        <f t="shared" ref="EK36:EP60" si="67">SUM(BW36+CC36+CI36+CO36+CU36+DA36+DG36+DM36+DS36+DY36+EE36)</f>
        <v>573947996</v>
      </c>
      <c r="EL36" s="688">
        <f t="shared" si="67"/>
        <v>676929</v>
      </c>
      <c r="EM36" s="688">
        <f t="shared" si="67"/>
        <v>47123</v>
      </c>
      <c r="EN36" s="688">
        <f t="shared" si="67"/>
        <v>574577802</v>
      </c>
      <c r="EO36" s="688">
        <f t="shared" si="67"/>
        <v>229187</v>
      </c>
      <c r="EP36" s="687">
        <f t="shared" si="67"/>
        <v>0</v>
      </c>
      <c r="EQ36" s="739">
        <f t="shared" ref="EQ36:EV60" si="68">SUM(EK36+BQ36)</f>
        <v>682430740.55999994</v>
      </c>
      <c r="ER36" s="739" t="e">
        <f t="shared" si="68"/>
        <v>#REF!</v>
      </c>
      <c r="ES36" s="739" t="e">
        <f t="shared" si="68"/>
        <v>#REF!</v>
      </c>
      <c r="ET36" s="739" t="e">
        <f t="shared" si="68"/>
        <v>#REF!</v>
      </c>
      <c r="EU36" s="739" t="e">
        <f t="shared" si="68"/>
        <v>#REF!</v>
      </c>
      <c r="EV36" s="740" t="e">
        <f t="shared" si="68"/>
        <v>#REF!</v>
      </c>
      <c r="EW36" s="438" t="e">
        <f>SUM('общ.сводрайон без курсовой '!C36-#REF!-#REF!)</f>
        <v>#REF!</v>
      </c>
      <c r="EX36" s="438" t="e">
        <f>SUM('общ.сводрайон без курсовой '!D36-#REF!-#REF!)</f>
        <v>#REF!</v>
      </c>
      <c r="EY36" s="438" t="e">
        <f>SUM('общ.сводрайон без курсовой '!E36-#REF!-#REF!)</f>
        <v>#REF!</v>
      </c>
      <c r="EZ36" s="438" t="e">
        <f>SUM('общ.сводрайон без курсовой '!F36-#REF!-#REF!)</f>
        <v>#REF!</v>
      </c>
    </row>
    <row r="37" spans="1:156" s="439" customFormat="1" ht="18.95" customHeight="1">
      <c r="A37" s="440">
        <v>23</v>
      </c>
      <c r="B37" s="441" t="s">
        <v>31</v>
      </c>
      <c r="C37" s="425">
        <f>2920461-8124</f>
        <v>2912337</v>
      </c>
      <c r="D37" s="428">
        <v>1100821</v>
      </c>
      <c r="E37" s="428">
        <v>159721</v>
      </c>
      <c r="F37" s="428">
        <f t="shared" si="51"/>
        <v>3853437</v>
      </c>
      <c r="G37" s="428">
        <v>1980</v>
      </c>
      <c r="H37" s="453"/>
      <c r="I37" s="425">
        <v>108050</v>
      </c>
      <c r="J37" s="428">
        <v>2000</v>
      </c>
      <c r="K37" s="428">
        <v>17700</v>
      </c>
      <c r="L37" s="428">
        <f t="shared" si="52"/>
        <v>92350</v>
      </c>
      <c r="M37" s="508">
        <v>0</v>
      </c>
      <c r="N37" s="453"/>
      <c r="O37" s="425">
        <v>1148300</v>
      </c>
      <c r="P37" s="428">
        <v>2000</v>
      </c>
      <c r="Q37" s="428">
        <v>528</v>
      </c>
      <c r="R37" s="428">
        <f t="shared" si="53"/>
        <v>1149772</v>
      </c>
      <c r="S37" s="428"/>
      <c r="T37" s="453"/>
      <c r="U37" s="425">
        <f>1705021+9591</f>
        <v>1714612</v>
      </c>
      <c r="V37" s="529">
        <v>507631.66</v>
      </c>
      <c r="W37" s="428">
        <v>96527.07</v>
      </c>
      <c r="X37" s="428">
        <f t="shared" si="54"/>
        <v>2125716.5900000003</v>
      </c>
      <c r="Y37" s="428">
        <v>1254</v>
      </c>
      <c r="Z37" s="453"/>
      <c r="AA37" s="425">
        <v>224309</v>
      </c>
      <c r="AB37" s="428">
        <v>40398.53</v>
      </c>
      <c r="AC37" s="428">
        <v>0</v>
      </c>
      <c r="AD37" s="428">
        <f t="shared" si="55"/>
        <v>264707.53000000003</v>
      </c>
      <c r="AE37" s="428">
        <v>115</v>
      </c>
      <c r="AF37" s="453"/>
      <c r="AG37" s="425">
        <v>0</v>
      </c>
      <c r="AH37" s="428"/>
      <c r="AI37" s="428"/>
      <c r="AJ37" s="428">
        <f t="shared" si="56"/>
        <v>0</v>
      </c>
      <c r="AK37" s="428"/>
      <c r="AL37" s="453"/>
      <c r="AM37" s="425">
        <v>0</v>
      </c>
      <c r="AN37" s="428"/>
      <c r="AO37" s="428"/>
      <c r="AP37" s="428">
        <f t="shared" si="57"/>
        <v>0</v>
      </c>
      <c r="AQ37" s="428"/>
      <c r="AR37" s="453"/>
      <c r="AS37" s="425">
        <v>0</v>
      </c>
      <c r="AT37" s="428">
        <v>0</v>
      </c>
      <c r="AU37" s="428">
        <v>0</v>
      </c>
      <c r="AV37" s="428">
        <f t="shared" ref="AV37:AV60" si="69">SUM(AS37+AT37-AU37)</f>
        <v>0</v>
      </c>
      <c r="AW37" s="508">
        <v>0</v>
      </c>
      <c r="AX37" s="453">
        <v>0</v>
      </c>
      <c r="AY37" s="425">
        <v>0</v>
      </c>
      <c r="AZ37" s="428"/>
      <c r="BA37" s="428"/>
      <c r="BB37" s="428">
        <f t="shared" si="58"/>
        <v>0</v>
      </c>
      <c r="BC37" s="428"/>
      <c r="BD37" s="453"/>
      <c r="BE37" s="425">
        <f>274408+97962</f>
        <v>372370</v>
      </c>
      <c r="BF37" s="428"/>
      <c r="BG37" s="428">
        <v>138405</v>
      </c>
      <c r="BH37" s="428">
        <f t="shared" si="59"/>
        <v>233965</v>
      </c>
      <c r="BI37" s="83">
        <v>1000</v>
      </c>
      <c r="BJ37" s="626"/>
      <c r="BK37" s="425">
        <v>15099263.630000001</v>
      </c>
      <c r="BL37" s="428" t="e">
        <f>SUM(#REF!)</f>
        <v>#REF!</v>
      </c>
      <c r="BM37" s="428" t="e">
        <f>SUM(#REF!)</f>
        <v>#REF!</v>
      </c>
      <c r="BN37" s="428" t="e">
        <f t="shared" si="60"/>
        <v>#REF!</v>
      </c>
      <c r="BO37" s="428" t="e">
        <f>SUM(#REF!)</f>
        <v>#REF!</v>
      </c>
      <c r="BP37" s="428" t="e">
        <f>SUM(#REF!)</f>
        <v>#REF!</v>
      </c>
      <c r="BQ37" s="741">
        <f t="shared" si="61"/>
        <v>21579241.630000003</v>
      </c>
      <c r="BR37" s="741" t="e">
        <f t="shared" si="61"/>
        <v>#REF!</v>
      </c>
      <c r="BS37" s="741" t="e">
        <f t="shared" si="61"/>
        <v>#REF!</v>
      </c>
      <c r="BT37" s="741" t="e">
        <f t="shared" si="61"/>
        <v>#REF!</v>
      </c>
      <c r="BU37" s="562" t="e">
        <f t="shared" si="61"/>
        <v>#REF!</v>
      </c>
      <c r="BV37" s="676" t="e">
        <f t="shared" si="61"/>
        <v>#REF!</v>
      </c>
      <c r="BW37" s="425"/>
      <c r="BX37" s="428"/>
      <c r="BY37" s="428"/>
      <c r="BZ37" s="428"/>
      <c r="CA37" s="429">
        <f t="shared" si="62"/>
        <v>0</v>
      </c>
      <c r="CB37" s="430"/>
      <c r="CC37" s="425"/>
      <c r="CD37" s="428"/>
      <c r="CE37" s="428"/>
      <c r="CF37" s="428"/>
      <c r="CG37" s="428"/>
      <c r="CH37" s="453"/>
      <c r="CI37" s="436">
        <v>0</v>
      </c>
      <c r="CJ37" s="428"/>
      <c r="CK37" s="428"/>
      <c r="CL37" s="428">
        <f t="shared" si="63"/>
        <v>0</v>
      </c>
      <c r="CM37" s="454"/>
      <c r="CN37" s="460"/>
      <c r="CO37" s="425"/>
      <c r="CP37" s="428"/>
      <c r="CQ37" s="428"/>
      <c r="CR37" s="428">
        <f t="shared" si="64"/>
        <v>0</v>
      </c>
      <c r="CS37" s="428"/>
      <c r="CT37" s="453"/>
      <c r="CU37" s="425"/>
      <c r="CV37" s="428"/>
      <c r="CW37" s="428"/>
      <c r="CX37" s="428"/>
      <c r="CY37" s="428"/>
      <c r="CZ37" s="632"/>
      <c r="DA37" s="726">
        <v>0</v>
      </c>
      <c r="DB37" s="9"/>
      <c r="DC37" s="9"/>
      <c r="DD37" s="9">
        <f t="shared" si="65"/>
        <v>0</v>
      </c>
      <c r="DE37" s="9"/>
      <c r="DF37" s="727"/>
      <c r="DG37" s="472"/>
      <c r="DH37" s="472"/>
      <c r="DI37" s="472"/>
      <c r="DJ37" s="472"/>
      <c r="DK37" s="472"/>
      <c r="DL37" s="472"/>
      <c r="DM37" s="703"/>
      <c r="DN37" s="428"/>
      <c r="DO37" s="428"/>
      <c r="DP37" s="428"/>
      <c r="DQ37" s="428"/>
      <c r="DR37" s="704"/>
      <c r="DS37" s="617"/>
      <c r="DT37" s="617"/>
      <c r="DU37" s="617"/>
      <c r="DV37" s="617"/>
      <c r="DW37" s="617"/>
      <c r="DX37" s="617"/>
      <c r="DY37" s="668">
        <v>37270155</v>
      </c>
      <c r="DZ37" s="669"/>
      <c r="EA37" s="669"/>
      <c r="EB37" s="428">
        <f t="shared" si="66"/>
        <v>37270155</v>
      </c>
      <c r="EC37" s="428">
        <v>8719</v>
      </c>
      <c r="ED37" s="453"/>
      <c r="EE37" s="587"/>
      <c r="EF37" s="437"/>
      <c r="EG37" s="437"/>
      <c r="EH37" s="437"/>
      <c r="EI37" s="437"/>
      <c r="EJ37" s="453"/>
      <c r="EK37" s="688">
        <f t="shared" si="67"/>
        <v>37270155</v>
      </c>
      <c r="EL37" s="688">
        <f t="shared" si="67"/>
        <v>0</v>
      </c>
      <c r="EM37" s="688">
        <f t="shared" si="67"/>
        <v>0</v>
      </c>
      <c r="EN37" s="688">
        <f t="shared" si="67"/>
        <v>37270155</v>
      </c>
      <c r="EO37" s="688">
        <f t="shared" si="67"/>
        <v>8719</v>
      </c>
      <c r="EP37" s="687">
        <f t="shared" si="67"/>
        <v>0</v>
      </c>
      <c r="EQ37" s="739">
        <f t="shared" si="68"/>
        <v>58849396.630000003</v>
      </c>
      <c r="ER37" s="739" t="e">
        <f t="shared" si="68"/>
        <v>#REF!</v>
      </c>
      <c r="ES37" s="739" t="e">
        <f t="shared" si="68"/>
        <v>#REF!</v>
      </c>
      <c r="ET37" s="739" t="e">
        <f t="shared" si="68"/>
        <v>#REF!</v>
      </c>
      <c r="EU37" s="739" t="e">
        <f t="shared" si="68"/>
        <v>#REF!</v>
      </c>
      <c r="EV37" s="740" t="e">
        <f t="shared" si="68"/>
        <v>#REF!</v>
      </c>
      <c r="EW37" s="438" t="e">
        <f>SUM('общ.сводрайон без курсовой '!C37-#REF!-#REF!)</f>
        <v>#REF!</v>
      </c>
      <c r="EX37" s="438" t="e">
        <f>SUM('общ.сводрайон без курсовой '!D37-#REF!-#REF!)</f>
        <v>#REF!</v>
      </c>
      <c r="EY37" s="438" t="e">
        <f>SUM('общ.сводрайон без курсовой '!E37-#REF!-#REF!)</f>
        <v>#REF!</v>
      </c>
      <c r="EZ37" s="438" t="e">
        <f>SUM('общ.сводрайон без курсовой '!F37-#REF!-#REF!)</f>
        <v>#REF!</v>
      </c>
    </row>
    <row r="38" spans="1:156" s="439" customFormat="1" ht="18.95" customHeight="1">
      <c r="A38" s="440">
        <v>24</v>
      </c>
      <c r="B38" s="441" t="s">
        <v>36</v>
      </c>
      <c r="C38" s="425">
        <f>1342458+1275</f>
        <v>1343733</v>
      </c>
      <c r="D38" s="428">
        <v>139307</v>
      </c>
      <c r="E38" s="428">
        <v>61547</v>
      </c>
      <c r="F38" s="428">
        <f t="shared" si="51"/>
        <v>1421493</v>
      </c>
      <c r="G38" s="428">
        <v>400</v>
      </c>
      <c r="H38" s="453"/>
      <c r="I38" s="425">
        <v>0</v>
      </c>
      <c r="J38" s="428"/>
      <c r="K38" s="428"/>
      <c r="L38" s="428">
        <f t="shared" si="52"/>
        <v>0</v>
      </c>
      <c r="M38" s="508"/>
      <c r="N38" s="453"/>
      <c r="O38" s="425">
        <v>743471</v>
      </c>
      <c r="P38" s="428">
        <v>42900</v>
      </c>
      <c r="Q38" s="428">
        <v>30039</v>
      </c>
      <c r="R38" s="428">
        <f t="shared" si="53"/>
        <v>756332</v>
      </c>
      <c r="S38" s="428"/>
      <c r="T38" s="453"/>
      <c r="U38" s="425">
        <v>0</v>
      </c>
      <c r="V38" s="428"/>
      <c r="W38" s="428"/>
      <c r="X38" s="428">
        <f t="shared" si="54"/>
        <v>0</v>
      </c>
      <c r="Y38" s="428"/>
      <c r="Z38" s="453"/>
      <c r="AA38" s="425">
        <v>7958</v>
      </c>
      <c r="AB38" s="428">
        <v>27324.5</v>
      </c>
      <c r="AC38" s="428">
        <v>347</v>
      </c>
      <c r="AD38" s="428">
        <f t="shared" si="55"/>
        <v>34935.5</v>
      </c>
      <c r="AE38" s="428">
        <v>189</v>
      </c>
      <c r="AF38" s="453"/>
      <c r="AG38" s="425">
        <v>0</v>
      </c>
      <c r="AH38" s="428"/>
      <c r="AI38" s="428"/>
      <c r="AJ38" s="428">
        <f t="shared" si="56"/>
        <v>0</v>
      </c>
      <c r="AK38" s="428"/>
      <c r="AL38" s="453"/>
      <c r="AM38" s="425">
        <v>0</v>
      </c>
      <c r="AN38" s="428"/>
      <c r="AO38" s="428"/>
      <c r="AP38" s="428">
        <f t="shared" si="57"/>
        <v>0</v>
      </c>
      <c r="AQ38" s="428"/>
      <c r="AR38" s="453"/>
      <c r="AS38" s="425">
        <v>0</v>
      </c>
      <c r="AT38" s="428">
        <v>0</v>
      </c>
      <c r="AU38" s="428">
        <v>0</v>
      </c>
      <c r="AV38" s="428">
        <f t="shared" si="69"/>
        <v>0</v>
      </c>
      <c r="AW38" s="508">
        <v>0</v>
      </c>
      <c r="AX38" s="453">
        <v>0</v>
      </c>
      <c r="AY38" s="425">
        <f>1069714+249</f>
        <v>1069963</v>
      </c>
      <c r="AZ38" s="428"/>
      <c r="BA38" s="428">
        <v>64679</v>
      </c>
      <c r="BB38" s="428">
        <f t="shared" si="58"/>
        <v>1005284</v>
      </c>
      <c r="BC38" s="428">
        <v>678</v>
      </c>
      <c r="BD38" s="453"/>
      <c r="BE38" s="425">
        <f>207986-35182</f>
        <v>172804</v>
      </c>
      <c r="BF38" s="428">
        <v>42212</v>
      </c>
      <c r="BG38" s="428">
        <v>894</v>
      </c>
      <c r="BH38" s="428">
        <f t="shared" si="59"/>
        <v>214122</v>
      </c>
      <c r="BI38" s="83">
        <v>478</v>
      </c>
      <c r="BJ38" s="626">
        <v>-1429</v>
      </c>
      <c r="BK38" s="425">
        <v>177767.02</v>
      </c>
      <c r="BL38" s="428" t="e">
        <f>SUM(#REF!)</f>
        <v>#REF!</v>
      </c>
      <c r="BM38" s="428" t="e">
        <f>SUM(#REF!)</f>
        <v>#REF!</v>
      </c>
      <c r="BN38" s="428" t="e">
        <f t="shared" si="60"/>
        <v>#REF!</v>
      </c>
      <c r="BO38" s="428" t="e">
        <f>SUM(#REF!)</f>
        <v>#REF!</v>
      </c>
      <c r="BP38" s="428" t="e">
        <f>SUM(#REF!)</f>
        <v>#REF!</v>
      </c>
      <c r="BQ38" s="741">
        <f t="shared" si="61"/>
        <v>3515696.02</v>
      </c>
      <c r="BR38" s="741" t="e">
        <f t="shared" si="61"/>
        <v>#REF!</v>
      </c>
      <c r="BS38" s="741" t="e">
        <f t="shared" si="61"/>
        <v>#REF!</v>
      </c>
      <c r="BT38" s="741" t="e">
        <f t="shared" si="61"/>
        <v>#REF!</v>
      </c>
      <c r="BU38" s="562" t="e">
        <f t="shared" si="61"/>
        <v>#REF!</v>
      </c>
      <c r="BV38" s="676" t="e">
        <f t="shared" si="61"/>
        <v>#REF!</v>
      </c>
      <c r="BW38" s="425"/>
      <c r="BX38" s="428"/>
      <c r="BY38" s="428"/>
      <c r="BZ38" s="428"/>
      <c r="CA38" s="429">
        <f t="shared" si="62"/>
        <v>0</v>
      </c>
      <c r="CB38" s="430"/>
      <c r="CC38" s="425"/>
      <c r="CD38" s="428"/>
      <c r="CE38" s="428"/>
      <c r="CF38" s="428"/>
      <c r="CG38" s="428"/>
      <c r="CH38" s="453"/>
      <c r="CI38" s="436">
        <v>0</v>
      </c>
      <c r="CJ38" s="428"/>
      <c r="CK38" s="428"/>
      <c r="CL38" s="428">
        <f t="shared" si="63"/>
        <v>0</v>
      </c>
      <c r="CM38" s="454"/>
      <c r="CN38" s="460"/>
      <c r="CO38" s="425"/>
      <c r="CP38" s="428"/>
      <c r="CQ38" s="428"/>
      <c r="CR38" s="428">
        <f t="shared" si="64"/>
        <v>0</v>
      </c>
      <c r="CS38" s="428"/>
      <c r="CT38" s="453"/>
      <c r="CU38" s="425"/>
      <c r="CV38" s="428"/>
      <c r="CW38" s="428"/>
      <c r="CX38" s="428"/>
      <c r="CY38" s="428"/>
      <c r="CZ38" s="632"/>
      <c r="DA38" s="726">
        <v>0</v>
      </c>
      <c r="DB38" s="9"/>
      <c r="DC38" s="9"/>
      <c r="DD38" s="9">
        <f t="shared" si="65"/>
        <v>0</v>
      </c>
      <c r="DE38" s="9"/>
      <c r="DF38" s="727"/>
      <c r="DG38" s="472"/>
      <c r="DH38" s="472"/>
      <c r="DI38" s="472"/>
      <c r="DJ38" s="472"/>
      <c r="DK38" s="472"/>
      <c r="DL38" s="472"/>
      <c r="DM38" s="703"/>
      <c r="DN38" s="428"/>
      <c r="DO38" s="428"/>
      <c r="DP38" s="428"/>
      <c r="DQ38" s="428"/>
      <c r="DR38" s="704"/>
      <c r="DS38" s="617"/>
      <c r="DT38" s="617"/>
      <c r="DU38" s="617"/>
      <c r="DV38" s="617"/>
      <c r="DW38" s="617"/>
      <c r="DX38" s="617"/>
      <c r="DY38" s="668"/>
      <c r="DZ38" s="669"/>
      <c r="EA38" s="669"/>
      <c r="EB38" s="428">
        <f t="shared" si="66"/>
        <v>0</v>
      </c>
      <c r="EC38" s="428"/>
      <c r="ED38" s="453"/>
      <c r="EE38" s="587"/>
      <c r="EF38" s="437"/>
      <c r="EG38" s="437"/>
      <c r="EH38" s="437"/>
      <c r="EI38" s="437"/>
      <c r="EJ38" s="453"/>
      <c r="EK38" s="688">
        <f t="shared" si="67"/>
        <v>0</v>
      </c>
      <c r="EL38" s="688">
        <f t="shared" si="67"/>
        <v>0</v>
      </c>
      <c r="EM38" s="688">
        <f t="shared" si="67"/>
        <v>0</v>
      </c>
      <c r="EN38" s="688">
        <f t="shared" si="67"/>
        <v>0</v>
      </c>
      <c r="EO38" s="688">
        <f t="shared" si="67"/>
        <v>0</v>
      </c>
      <c r="EP38" s="687">
        <f t="shared" si="67"/>
        <v>0</v>
      </c>
      <c r="EQ38" s="739">
        <f t="shared" si="68"/>
        <v>3515696.02</v>
      </c>
      <c r="ER38" s="739" t="e">
        <f t="shared" si="68"/>
        <v>#REF!</v>
      </c>
      <c r="ES38" s="739" t="e">
        <f t="shared" si="68"/>
        <v>#REF!</v>
      </c>
      <c r="ET38" s="739" t="e">
        <f t="shared" si="68"/>
        <v>#REF!</v>
      </c>
      <c r="EU38" s="739" t="e">
        <f t="shared" si="68"/>
        <v>#REF!</v>
      </c>
      <c r="EV38" s="740" t="e">
        <f t="shared" si="68"/>
        <v>#REF!</v>
      </c>
      <c r="EW38" s="438" t="e">
        <f>SUM('общ.сводрайон без курсовой '!C38-#REF!-#REF!)</f>
        <v>#REF!</v>
      </c>
      <c r="EX38" s="438" t="e">
        <f>SUM('общ.сводрайон без курсовой '!D38-#REF!-#REF!)</f>
        <v>#REF!</v>
      </c>
      <c r="EY38" s="438" t="e">
        <f>SUM('общ.сводрайон без курсовой '!E38-#REF!-#REF!)</f>
        <v>#REF!</v>
      </c>
      <c r="EZ38" s="438" t="e">
        <f>SUM('общ.сводрайон без курсовой '!F38-#REF!-#REF!)</f>
        <v>#REF!</v>
      </c>
    </row>
    <row r="39" spans="1:156" s="439" customFormat="1" ht="18.95" customHeight="1">
      <c r="A39" s="440">
        <v>25</v>
      </c>
      <c r="B39" s="441" t="s">
        <v>44</v>
      </c>
      <c r="C39" s="425">
        <f>620269+2049</f>
        <v>622318</v>
      </c>
      <c r="D39" s="428">
        <v>58067</v>
      </c>
      <c r="E39" s="428">
        <v>116040</v>
      </c>
      <c r="F39" s="428">
        <f t="shared" si="51"/>
        <v>564345</v>
      </c>
      <c r="G39" s="428">
        <v>304</v>
      </c>
      <c r="H39" s="453"/>
      <c r="I39" s="425">
        <v>0</v>
      </c>
      <c r="J39" s="428"/>
      <c r="K39" s="428"/>
      <c r="L39" s="428">
        <f t="shared" si="52"/>
        <v>0</v>
      </c>
      <c r="M39" s="508"/>
      <c r="N39" s="453"/>
      <c r="O39" s="425">
        <v>716307</v>
      </c>
      <c r="P39" s="428">
        <v>55900</v>
      </c>
      <c r="Q39" s="428">
        <v>25069</v>
      </c>
      <c r="R39" s="428">
        <f t="shared" si="53"/>
        <v>747138</v>
      </c>
      <c r="S39" s="428"/>
      <c r="T39" s="453"/>
      <c r="U39" s="425">
        <v>0</v>
      </c>
      <c r="V39" s="428"/>
      <c r="W39" s="428"/>
      <c r="X39" s="428">
        <f t="shared" si="54"/>
        <v>0</v>
      </c>
      <c r="Y39" s="428"/>
      <c r="Z39" s="453"/>
      <c r="AA39" s="425">
        <v>0</v>
      </c>
      <c r="AB39" s="428"/>
      <c r="AC39" s="428"/>
      <c r="AD39" s="428">
        <f t="shared" si="55"/>
        <v>0</v>
      </c>
      <c r="AE39" s="428"/>
      <c r="AF39" s="453"/>
      <c r="AG39" s="425">
        <v>0</v>
      </c>
      <c r="AH39" s="428"/>
      <c r="AI39" s="428"/>
      <c r="AJ39" s="428">
        <f t="shared" si="56"/>
        <v>0</v>
      </c>
      <c r="AK39" s="428"/>
      <c r="AL39" s="453"/>
      <c r="AM39" s="425">
        <v>0</v>
      </c>
      <c r="AN39" s="428"/>
      <c r="AO39" s="428"/>
      <c r="AP39" s="428">
        <f t="shared" si="57"/>
        <v>0</v>
      </c>
      <c r="AQ39" s="428"/>
      <c r="AR39" s="453"/>
      <c r="AS39" s="425">
        <v>0</v>
      </c>
      <c r="AT39" s="428">
        <v>0</v>
      </c>
      <c r="AU39" s="428">
        <v>0</v>
      </c>
      <c r="AV39" s="428">
        <f t="shared" si="69"/>
        <v>0</v>
      </c>
      <c r="AW39" s="508">
        <v>0</v>
      </c>
      <c r="AX39" s="453">
        <v>0</v>
      </c>
      <c r="AY39" s="425">
        <f>1585002+57</f>
        <v>1585059</v>
      </c>
      <c r="AZ39" s="428">
        <v>155935</v>
      </c>
      <c r="BA39" s="428">
        <v>138955</v>
      </c>
      <c r="BB39" s="428">
        <f t="shared" si="58"/>
        <v>1602039</v>
      </c>
      <c r="BC39" s="428">
        <v>487</v>
      </c>
      <c r="BD39" s="453"/>
      <c r="BE39" s="425">
        <f>1384100-285343</f>
        <v>1098757</v>
      </c>
      <c r="BF39" s="428">
        <v>47000</v>
      </c>
      <c r="BG39" s="428"/>
      <c r="BH39" s="428">
        <f>SUM(BE39+BF39-BG39)</f>
        <v>1145757</v>
      </c>
      <c r="BI39" s="83">
        <v>607</v>
      </c>
      <c r="BJ39" s="626">
        <v>-1635</v>
      </c>
      <c r="BK39" s="425">
        <v>558829.89</v>
      </c>
      <c r="BL39" s="428" t="e">
        <f>SUM(#REF!)</f>
        <v>#REF!</v>
      </c>
      <c r="BM39" s="428" t="e">
        <f>SUM(#REF!)</f>
        <v>#REF!</v>
      </c>
      <c r="BN39" s="428" t="e">
        <f t="shared" si="60"/>
        <v>#REF!</v>
      </c>
      <c r="BO39" s="428" t="e">
        <f>SUM(#REF!)</f>
        <v>#REF!</v>
      </c>
      <c r="BP39" s="428" t="e">
        <f>SUM(#REF!)</f>
        <v>#REF!</v>
      </c>
      <c r="BQ39" s="741">
        <f t="shared" si="61"/>
        <v>4581270.8900000006</v>
      </c>
      <c r="BR39" s="741" t="e">
        <f t="shared" si="61"/>
        <v>#REF!</v>
      </c>
      <c r="BS39" s="741" t="e">
        <f t="shared" si="61"/>
        <v>#REF!</v>
      </c>
      <c r="BT39" s="741" t="e">
        <f t="shared" si="61"/>
        <v>#REF!</v>
      </c>
      <c r="BU39" s="562" t="e">
        <f t="shared" si="61"/>
        <v>#REF!</v>
      </c>
      <c r="BV39" s="676" t="e">
        <f t="shared" si="61"/>
        <v>#REF!</v>
      </c>
      <c r="BW39" s="425"/>
      <c r="BX39" s="428"/>
      <c r="BY39" s="428"/>
      <c r="BZ39" s="428"/>
      <c r="CA39" s="429">
        <f t="shared" si="62"/>
        <v>0</v>
      </c>
      <c r="CB39" s="430"/>
      <c r="CC39" s="425"/>
      <c r="CD39" s="428"/>
      <c r="CE39" s="428"/>
      <c r="CF39" s="428"/>
      <c r="CG39" s="428"/>
      <c r="CH39" s="453"/>
      <c r="CI39" s="436">
        <v>120000</v>
      </c>
      <c r="CJ39" s="428">
        <v>70000</v>
      </c>
      <c r="CK39" s="428"/>
      <c r="CL39" s="428">
        <f>SUM(CI39+CJ39-CK39)</f>
        <v>190000</v>
      </c>
      <c r="CM39" s="454"/>
      <c r="CN39" s="460"/>
      <c r="CO39" s="425"/>
      <c r="CP39" s="428"/>
      <c r="CQ39" s="428"/>
      <c r="CR39" s="428">
        <f t="shared" si="64"/>
        <v>0</v>
      </c>
      <c r="CS39" s="428"/>
      <c r="CT39" s="453"/>
      <c r="CU39" s="425"/>
      <c r="CV39" s="428"/>
      <c r="CW39" s="428"/>
      <c r="CX39" s="428"/>
      <c r="CY39" s="428"/>
      <c r="CZ39" s="632"/>
      <c r="DA39" s="726">
        <v>0</v>
      </c>
      <c r="DB39" s="9"/>
      <c r="DC39" s="9"/>
      <c r="DD39" s="9">
        <f t="shared" si="65"/>
        <v>0</v>
      </c>
      <c r="DE39" s="9"/>
      <c r="DF39" s="727"/>
      <c r="DG39" s="472"/>
      <c r="DH39" s="472"/>
      <c r="DI39" s="472"/>
      <c r="DJ39" s="472"/>
      <c r="DK39" s="472"/>
      <c r="DL39" s="472"/>
      <c r="DM39" s="703"/>
      <c r="DN39" s="428"/>
      <c r="DO39" s="428"/>
      <c r="DP39" s="428"/>
      <c r="DQ39" s="428"/>
      <c r="DR39" s="704"/>
      <c r="DS39" s="617"/>
      <c r="DT39" s="617"/>
      <c r="DU39" s="617"/>
      <c r="DV39" s="617"/>
      <c r="DW39" s="617"/>
      <c r="DX39" s="617"/>
      <c r="DY39" s="668"/>
      <c r="DZ39" s="669"/>
      <c r="EA39" s="669"/>
      <c r="EB39" s="428">
        <f t="shared" si="66"/>
        <v>0</v>
      </c>
      <c r="EC39" s="428"/>
      <c r="ED39" s="453"/>
      <c r="EE39" s="587"/>
      <c r="EF39" s="437"/>
      <c r="EG39" s="437"/>
      <c r="EH39" s="437"/>
      <c r="EI39" s="437"/>
      <c r="EJ39" s="453"/>
      <c r="EK39" s="688">
        <f t="shared" si="67"/>
        <v>120000</v>
      </c>
      <c r="EL39" s="688">
        <f t="shared" si="67"/>
        <v>70000</v>
      </c>
      <c r="EM39" s="688">
        <f t="shared" si="67"/>
        <v>0</v>
      </c>
      <c r="EN39" s="688">
        <f t="shared" si="67"/>
        <v>190000</v>
      </c>
      <c r="EO39" s="688">
        <f t="shared" si="67"/>
        <v>0</v>
      </c>
      <c r="EP39" s="687">
        <f t="shared" si="67"/>
        <v>0</v>
      </c>
      <c r="EQ39" s="739">
        <f t="shared" si="68"/>
        <v>4701270.8900000006</v>
      </c>
      <c r="ER39" s="739" t="e">
        <f t="shared" si="68"/>
        <v>#REF!</v>
      </c>
      <c r="ES39" s="739" t="e">
        <f t="shared" si="68"/>
        <v>#REF!</v>
      </c>
      <c r="ET39" s="739" t="e">
        <f t="shared" si="68"/>
        <v>#REF!</v>
      </c>
      <c r="EU39" s="739" t="e">
        <f t="shared" si="68"/>
        <v>#REF!</v>
      </c>
      <c r="EV39" s="740" t="e">
        <f t="shared" si="68"/>
        <v>#REF!</v>
      </c>
      <c r="EW39" s="438" t="e">
        <f>SUM('общ.сводрайон без курсовой '!C39-#REF!-#REF!)</f>
        <v>#REF!</v>
      </c>
      <c r="EX39" s="438" t="e">
        <f>SUM('общ.сводрайон без курсовой '!D39-#REF!-#REF!)</f>
        <v>#REF!</v>
      </c>
      <c r="EY39" s="438" t="e">
        <f>SUM('общ.сводрайон без курсовой '!E39-#REF!-#REF!)</f>
        <v>#REF!</v>
      </c>
      <c r="EZ39" s="438" t="e">
        <f>SUM('общ.сводрайон без курсовой '!F39-#REF!-#REF!)</f>
        <v>#REF!</v>
      </c>
    </row>
    <row r="40" spans="1:156" s="439" customFormat="1" ht="18.95" customHeight="1">
      <c r="A40" s="440">
        <v>26</v>
      </c>
      <c r="B40" s="441" t="s">
        <v>28</v>
      </c>
      <c r="C40" s="425">
        <v>0</v>
      </c>
      <c r="D40" s="428">
        <v>0</v>
      </c>
      <c r="E40" s="428">
        <v>0</v>
      </c>
      <c r="F40" s="428">
        <f t="shared" si="51"/>
        <v>0</v>
      </c>
      <c r="G40" s="428">
        <v>0</v>
      </c>
      <c r="H40" s="453"/>
      <c r="I40" s="425">
        <v>0</v>
      </c>
      <c r="J40" s="428"/>
      <c r="K40" s="428"/>
      <c r="L40" s="428">
        <f t="shared" si="52"/>
        <v>0</v>
      </c>
      <c r="M40" s="508"/>
      <c r="N40" s="453"/>
      <c r="O40" s="425">
        <v>755800</v>
      </c>
      <c r="P40" s="428">
        <v>35500</v>
      </c>
      <c r="Q40" s="428">
        <v>17700</v>
      </c>
      <c r="R40" s="428">
        <f t="shared" si="53"/>
        <v>773600</v>
      </c>
      <c r="S40" s="428"/>
      <c r="T40" s="453"/>
      <c r="U40" s="425">
        <v>0</v>
      </c>
      <c r="V40" s="428"/>
      <c r="W40" s="428"/>
      <c r="X40" s="428">
        <f t="shared" si="54"/>
        <v>0</v>
      </c>
      <c r="Y40" s="428"/>
      <c r="Z40" s="453"/>
      <c r="AA40" s="425">
        <v>13100</v>
      </c>
      <c r="AB40" s="428"/>
      <c r="AC40" s="428"/>
      <c r="AD40" s="428">
        <f t="shared" si="55"/>
        <v>13100</v>
      </c>
      <c r="AE40" s="428"/>
      <c r="AF40" s="453"/>
      <c r="AG40" s="425">
        <v>0</v>
      </c>
      <c r="AH40" s="428"/>
      <c r="AI40" s="428"/>
      <c r="AJ40" s="428">
        <f t="shared" si="56"/>
        <v>0</v>
      </c>
      <c r="AK40" s="428"/>
      <c r="AL40" s="453"/>
      <c r="AM40" s="425">
        <v>0</v>
      </c>
      <c r="AN40" s="428"/>
      <c r="AO40" s="428"/>
      <c r="AP40" s="428">
        <f t="shared" si="57"/>
        <v>0</v>
      </c>
      <c r="AQ40" s="428"/>
      <c r="AR40" s="453"/>
      <c r="AS40" s="425">
        <v>0</v>
      </c>
      <c r="AT40" s="428">
        <v>0</v>
      </c>
      <c r="AU40" s="428">
        <v>0</v>
      </c>
      <c r="AV40" s="428">
        <f t="shared" si="69"/>
        <v>0</v>
      </c>
      <c r="AW40" s="508">
        <v>0</v>
      </c>
      <c r="AX40" s="453">
        <v>0</v>
      </c>
      <c r="AY40" s="425">
        <v>0</v>
      </c>
      <c r="AZ40" s="428"/>
      <c r="BA40" s="428"/>
      <c r="BB40" s="428">
        <f t="shared" si="58"/>
        <v>0</v>
      </c>
      <c r="BC40" s="428"/>
      <c r="BD40" s="453"/>
      <c r="BE40" s="425">
        <v>0</v>
      </c>
      <c r="BF40" s="428"/>
      <c r="BG40" s="428"/>
      <c r="BH40" s="428">
        <f t="shared" si="59"/>
        <v>0</v>
      </c>
      <c r="BI40" s="83"/>
      <c r="BJ40" s="626"/>
      <c r="BK40" s="425">
        <v>568815.85</v>
      </c>
      <c r="BL40" s="428" t="e">
        <f>SUM(#REF!)</f>
        <v>#REF!</v>
      </c>
      <c r="BM40" s="428" t="e">
        <f>SUM(#REF!)</f>
        <v>#REF!</v>
      </c>
      <c r="BN40" s="428" t="e">
        <f t="shared" si="60"/>
        <v>#REF!</v>
      </c>
      <c r="BO40" s="428" t="e">
        <f>SUM(#REF!)</f>
        <v>#REF!</v>
      </c>
      <c r="BP40" s="428" t="e">
        <f>SUM(#REF!)</f>
        <v>#REF!</v>
      </c>
      <c r="BQ40" s="741">
        <f t="shared" si="61"/>
        <v>1337715.8500000001</v>
      </c>
      <c r="BR40" s="741" t="e">
        <f t="shared" si="61"/>
        <v>#REF!</v>
      </c>
      <c r="BS40" s="741" t="e">
        <f t="shared" si="61"/>
        <v>#REF!</v>
      </c>
      <c r="BT40" s="741" t="e">
        <f t="shared" si="61"/>
        <v>#REF!</v>
      </c>
      <c r="BU40" s="562" t="e">
        <f t="shared" si="61"/>
        <v>#REF!</v>
      </c>
      <c r="BV40" s="676" t="e">
        <f t="shared" si="61"/>
        <v>#REF!</v>
      </c>
      <c r="BW40" s="425"/>
      <c r="BX40" s="428"/>
      <c r="BY40" s="428"/>
      <c r="BZ40" s="428"/>
      <c r="CA40" s="429">
        <f t="shared" si="62"/>
        <v>0</v>
      </c>
      <c r="CB40" s="430"/>
      <c r="CC40" s="425"/>
      <c r="CD40" s="428"/>
      <c r="CE40" s="428"/>
      <c r="CF40" s="428"/>
      <c r="CG40" s="428"/>
      <c r="CH40" s="453"/>
      <c r="CI40" s="436">
        <v>0</v>
      </c>
      <c r="CJ40" s="428"/>
      <c r="CK40" s="428"/>
      <c r="CL40" s="428">
        <f t="shared" si="63"/>
        <v>0</v>
      </c>
      <c r="CM40" s="454"/>
      <c r="CN40" s="460"/>
      <c r="CO40" s="425"/>
      <c r="CP40" s="428"/>
      <c r="CQ40" s="428"/>
      <c r="CR40" s="428">
        <f t="shared" si="64"/>
        <v>0</v>
      </c>
      <c r="CS40" s="428"/>
      <c r="CT40" s="453"/>
      <c r="CU40" s="425"/>
      <c r="CV40" s="428"/>
      <c r="CW40" s="428"/>
      <c r="CX40" s="428"/>
      <c r="CY40" s="428"/>
      <c r="CZ40" s="632"/>
      <c r="DA40" s="726">
        <v>0</v>
      </c>
      <c r="DB40" s="9"/>
      <c r="DC40" s="9"/>
      <c r="DD40" s="9">
        <f t="shared" si="65"/>
        <v>0</v>
      </c>
      <c r="DE40" s="9"/>
      <c r="DF40" s="727"/>
      <c r="DG40" s="472"/>
      <c r="DH40" s="472"/>
      <c r="DI40" s="472"/>
      <c r="DJ40" s="472"/>
      <c r="DK40" s="472"/>
      <c r="DL40" s="472"/>
      <c r="DM40" s="703"/>
      <c r="DN40" s="428"/>
      <c r="DO40" s="428"/>
      <c r="DP40" s="428"/>
      <c r="DQ40" s="428"/>
      <c r="DR40" s="704"/>
      <c r="DS40" s="617"/>
      <c r="DT40" s="617"/>
      <c r="DU40" s="617"/>
      <c r="DV40" s="617"/>
      <c r="DW40" s="617"/>
      <c r="DX40" s="617"/>
      <c r="DY40" s="668"/>
      <c r="DZ40" s="669"/>
      <c r="EA40" s="669"/>
      <c r="EB40" s="428">
        <f t="shared" si="66"/>
        <v>0</v>
      </c>
      <c r="EC40" s="428"/>
      <c r="ED40" s="453"/>
      <c r="EE40" s="587"/>
      <c r="EF40" s="437"/>
      <c r="EG40" s="437"/>
      <c r="EH40" s="437"/>
      <c r="EI40" s="437"/>
      <c r="EJ40" s="453"/>
      <c r="EK40" s="688">
        <f t="shared" si="67"/>
        <v>0</v>
      </c>
      <c r="EL40" s="688">
        <f t="shared" si="67"/>
        <v>0</v>
      </c>
      <c r="EM40" s="688">
        <f t="shared" si="67"/>
        <v>0</v>
      </c>
      <c r="EN40" s="688">
        <f t="shared" si="67"/>
        <v>0</v>
      </c>
      <c r="EO40" s="688">
        <f t="shared" si="67"/>
        <v>0</v>
      </c>
      <c r="EP40" s="687">
        <f t="shared" si="67"/>
        <v>0</v>
      </c>
      <c r="EQ40" s="739">
        <f t="shared" si="68"/>
        <v>1337715.8500000001</v>
      </c>
      <c r="ER40" s="739" t="e">
        <f t="shared" si="68"/>
        <v>#REF!</v>
      </c>
      <c r="ES40" s="739" t="e">
        <f t="shared" si="68"/>
        <v>#REF!</v>
      </c>
      <c r="ET40" s="739" t="e">
        <f t="shared" si="68"/>
        <v>#REF!</v>
      </c>
      <c r="EU40" s="739" t="e">
        <f t="shared" si="68"/>
        <v>#REF!</v>
      </c>
      <c r="EV40" s="740" t="e">
        <f t="shared" si="68"/>
        <v>#REF!</v>
      </c>
      <c r="EW40" s="438" t="e">
        <f>SUM('общ.сводрайон без курсовой '!C40-#REF!-#REF!)</f>
        <v>#REF!</v>
      </c>
      <c r="EX40" s="438" t="e">
        <f>SUM('общ.сводрайон без курсовой '!D40-#REF!-#REF!)</f>
        <v>#REF!</v>
      </c>
      <c r="EY40" s="438" t="e">
        <f>SUM('общ.сводрайон без курсовой '!E40-#REF!-#REF!)</f>
        <v>#REF!</v>
      </c>
      <c r="EZ40" s="438" t="e">
        <f>SUM('общ.сводрайон без курсовой '!F40-#REF!-#REF!)</f>
        <v>#REF!</v>
      </c>
    </row>
    <row r="41" spans="1:156" s="439" customFormat="1" ht="18.95" customHeight="1">
      <c r="A41" s="440">
        <v>27</v>
      </c>
      <c r="B41" s="441" t="s">
        <v>48</v>
      </c>
      <c r="C41" s="425">
        <f>999791+148</f>
        <v>999939</v>
      </c>
      <c r="D41" s="428">
        <v>41439</v>
      </c>
      <c r="E41" s="428">
        <v>82757</v>
      </c>
      <c r="F41" s="428">
        <f t="shared" si="51"/>
        <v>958621</v>
      </c>
      <c r="G41" s="428">
        <v>333</v>
      </c>
      <c r="H41" s="453"/>
      <c r="I41" s="425">
        <v>0</v>
      </c>
      <c r="J41" s="428"/>
      <c r="K41" s="428"/>
      <c r="L41" s="428">
        <f t="shared" si="52"/>
        <v>0</v>
      </c>
      <c r="M41" s="508"/>
      <c r="N41" s="453"/>
      <c r="O41" s="425">
        <v>779980</v>
      </c>
      <c r="P41" s="428">
        <v>115000</v>
      </c>
      <c r="Q41" s="428">
        <v>42714</v>
      </c>
      <c r="R41" s="428">
        <f t="shared" si="53"/>
        <v>852266</v>
      </c>
      <c r="S41" s="428"/>
      <c r="T41" s="453"/>
      <c r="U41" s="425">
        <v>0</v>
      </c>
      <c r="V41" s="428"/>
      <c r="W41" s="428"/>
      <c r="X41" s="428">
        <f t="shared" si="54"/>
        <v>0</v>
      </c>
      <c r="Y41" s="428"/>
      <c r="Z41" s="453"/>
      <c r="AA41" s="425">
        <v>46245</v>
      </c>
      <c r="AB41" s="428">
        <v>32620.74</v>
      </c>
      <c r="AC41" s="428">
        <v>2219</v>
      </c>
      <c r="AD41" s="428">
        <f t="shared" si="55"/>
        <v>76646.740000000005</v>
      </c>
      <c r="AE41" s="428">
        <v>176</v>
      </c>
      <c r="AF41" s="453"/>
      <c r="AG41" s="425">
        <v>0</v>
      </c>
      <c r="AH41" s="428"/>
      <c r="AI41" s="428"/>
      <c r="AJ41" s="428">
        <f t="shared" si="56"/>
        <v>0</v>
      </c>
      <c r="AK41" s="428"/>
      <c r="AL41" s="453"/>
      <c r="AM41" s="425">
        <v>0</v>
      </c>
      <c r="AN41" s="428"/>
      <c r="AO41" s="428"/>
      <c r="AP41" s="428">
        <f t="shared" si="57"/>
        <v>0</v>
      </c>
      <c r="AQ41" s="428"/>
      <c r="AR41" s="453"/>
      <c r="AS41" s="425">
        <v>0</v>
      </c>
      <c r="AT41" s="428">
        <v>0</v>
      </c>
      <c r="AU41" s="428">
        <v>0</v>
      </c>
      <c r="AV41" s="428">
        <f t="shared" si="69"/>
        <v>0</v>
      </c>
      <c r="AW41" s="508">
        <v>0</v>
      </c>
      <c r="AX41" s="453">
        <v>0</v>
      </c>
      <c r="AY41" s="425">
        <f>1381329+315</f>
        <v>1381644</v>
      </c>
      <c r="AZ41" s="428"/>
      <c r="BA41" s="428">
        <v>141183</v>
      </c>
      <c r="BB41" s="428">
        <f t="shared" si="58"/>
        <v>1240461</v>
      </c>
      <c r="BC41" s="428">
        <v>168</v>
      </c>
      <c r="BD41" s="453"/>
      <c r="BE41" s="425">
        <v>0</v>
      </c>
      <c r="BF41" s="428"/>
      <c r="BG41" s="428"/>
      <c r="BH41" s="428">
        <f t="shared" si="59"/>
        <v>0</v>
      </c>
      <c r="BI41" s="83"/>
      <c r="BJ41" s="626"/>
      <c r="BK41" s="425">
        <v>525503</v>
      </c>
      <c r="BL41" s="428" t="e">
        <f>SUM(#REF!)</f>
        <v>#REF!</v>
      </c>
      <c r="BM41" s="428" t="e">
        <f>SUM(#REF!)</f>
        <v>#REF!</v>
      </c>
      <c r="BN41" s="428" t="e">
        <f t="shared" si="60"/>
        <v>#REF!</v>
      </c>
      <c r="BO41" s="428" t="e">
        <f>SUM(#REF!)</f>
        <v>#REF!</v>
      </c>
      <c r="BP41" s="428" t="e">
        <f>SUM(#REF!)</f>
        <v>#REF!</v>
      </c>
      <c r="BQ41" s="741">
        <f t="shared" si="61"/>
        <v>3733311</v>
      </c>
      <c r="BR41" s="741" t="e">
        <f t="shared" si="61"/>
        <v>#REF!</v>
      </c>
      <c r="BS41" s="741" t="e">
        <f t="shared" si="61"/>
        <v>#REF!</v>
      </c>
      <c r="BT41" s="741" t="e">
        <f t="shared" si="61"/>
        <v>#REF!</v>
      </c>
      <c r="BU41" s="562" t="e">
        <f t="shared" si="61"/>
        <v>#REF!</v>
      </c>
      <c r="BV41" s="676" t="e">
        <f t="shared" si="61"/>
        <v>#REF!</v>
      </c>
      <c r="BW41" s="425"/>
      <c r="BX41" s="428"/>
      <c r="BY41" s="428"/>
      <c r="BZ41" s="428"/>
      <c r="CA41" s="429">
        <f t="shared" si="62"/>
        <v>0</v>
      </c>
      <c r="CB41" s="430"/>
      <c r="CC41" s="425"/>
      <c r="CD41" s="428"/>
      <c r="CE41" s="428"/>
      <c r="CF41" s="428"/>
      <c r="CG41" s="428"/>
      <c r="CH41" s="453"/>
      <c r="CI41" s="436">
        <v>0</v>
      </c>
      <c r="CJ41" s="428"/>
      <c r="CK41" s="428"/>
      <c r="CL41" s="428">
        <f t="shared" si="63"/>
        <v>0</v>
      </c>
      <c r="CM41" s="454"/>
      <c r="CN41" s="460"/>
      <c r="CO41" s="425"/>
      <c r="CP41" s="428"/>
      <c r="CQ41" s="428"/>
      <c r="CR41" s="428">
        <f t="shared" si="64"/>
        <v>0</v>
      </c>
      <c r="CS41" s="428"/>
      <c r="CT41" s="453"/>
      <c r="CU41" s="425"/>
      <c r="CV41" s="428"/>
      <c r="CW41" s="428"/>
      <c r="CX41" s="428"/>
      <c r="CY41" s="428"/>
      <c r="CZ41" s="632"/>
      <c r="DA41" s="726">
        <v>0</v>
      </c>
      <c r="DB41" s="9"/>
      <c r="DC41" s="9"/>
      <c r="DD41" s="9">
        <f t="shared" si="65"/>
        <v>0</v>
      </c>
      <c r="DE41" s="9"/>
      <c r="DF41" s="727"/>
      <c r="DG41" s="472"/>
      <c r="DH41" s="472"/>
      <c r="DI41" s="472"/>
      <c r="DJ41" s="472"/>
      <c r="DK41" s="472"/>
      <c r="DL41" s="472"/>
      <c r="DM41" s="703"/>
      <c r="DN41" s="428"/>
      <c r="DO41" s="428"/>
      <c r="DP41" s="428"/>
      <c r="DQ41" s="428"/>
      <c r="DR41" s="704"/>
      <c r="DS41" s="617"/>
      <c r="DT41" s="617"/>
      <c r="DU41" s="617"/>
      <c r="DV41" s="617"/>
      <c r="DW41" s="617"/>
      <c r="DX41" s="617"/>
      <c r="DY41" s="668"/>
      <c r="DZ41" s="669"/>
      <c r="EA41" s="669"/>
      <c r="EB41" s="428">
        <f t="shared" si="66"/>
        <v>0</v>
      </c>
      <c r="EC41" s="428"/>
      <c r="ED41" s="453"/>
      <c r="EE41" s="587"/>
      <c r="EF41" s="437"/>
      <c r="EG41" s="437"/>
      <c r="EH41" s="437"/>
      <c r="EI41" s="437"/>
      <c r="EJ41" s="453"/>
      <c r="EK41" s="688">
        <f t="shared" si="67"/>
        <v>0</v>
      </c>
      <c r="EL41" s="688">
        <f t="shared" si="67"/>
        <v>0</v>
      </c>
      <c r="EM41" s="688">
        <f t="shared" si="67"/>
        <v>0</v>
      </c>
      <c r="EN41" s="688">
        <f t="shared" si="67"/>
        <v>0</v>
      </c>
      <c r="EO41" s="688">
        <f t="shared" si="67"/>
        <v>0</v>
      </c>
      <c r="EP41" s="687">
        <f t="shared" si="67"/>
        <v>0</v>
      </c>
      <c r="EQ41" s="739">
        <f t="shared" si="68"/>
        <v>3733311</v>
      </c>
      <c r="ER41" s="739" t="e">
        <f t="shared" si="68"/>
        <v>#REF!</v>
      </c>
      <c r="ES41" s="739" t="e">
        <f t="shared" si="68"/>
        <v>#REF!</v>
      </c>
      <c r="ET41" s="739" t="e">
        <f t="shared" si="68"/>
        <v>#REF!</v>
      </c>
      <c r="EU41" s="739" t="e">
        <f t="shared" si="68"/>
        <v>#REF!</v>
      </c>
      <c r="EV41" s="740" t="e">
        <f t="shared" si="68"/>
        <v>#REF!</v>
      </c>
      <c r="EW41" s="438" t="e">
        <f>SUM('общ.сводрайон без курсовой '!C41-#REF!-#REF!)</f>
        <v>#REF!</v>
      </c>
      <c r="EX41" s="438" t="e">
        <f>SUM('общ.сводрайон без курсовой '!D41-#REF!-#REF!)</f>
        <v>#REF!</v>
      </c>
      <c r="EY41" s="438" t="e">
        <f>SUM('общ.сводрайон без курсовой '!E41-#REF!-#REF!)</f>
        <v>#REF!</v>
      </c>
      <c r="EZ41" s="438" t="e">
        <f>SUM('общ.сводрайон без курсовой '!F41-#REF!-#REF!)</f>
        <v>#REF!</v>
      </c>
    </row>
    <row r="42" spans="1:156" s="439" customFormat="1" ht="18.95" customHeight="1">
      <c r="A42" s="440">
        <v>28</v>
      </c>
      <c r="B42" s="441" t="s">
        <v>41</v>
      </c>
      <c r="C42" s="425">
        <f>206732+48</f>
        <v>206780</v>
      </c>
      <c r="D42" s="428">
        <v>33918</v>
      </c>
      <c r="E42" s="428">
        <v>18560</v>
      </c>
      <c r="F42" s="428">
        <f t="shared" si="51"/>
        <v>222138</v>
      </c>
      <c r="G42" s="428">
        <v>136</v>
      </c>
      <c r="H42" s="453"/>
      <c r="I42" s="425">
        <v>0</v>
      </c>
      <c r="J42" s="428"/>
      <c r="K42" s="428"/>
      <c r="L42" s="428">
        <f t="shared" si="52"/>
        <v>0</v>
      </c>
      <c r="M42" s="508"/>
      <c r="N42" s="453"/>
      <c r="O42" s="425">
        <v>704816</v>
      </c>
      <c r="P42" s="428">
        <v>175600</v>
      </c>
      <c r="Q42" s="428">
        <v>31593</v>
      </c>
      <c r="R42" s="428">
        <f t="shared" si="53"/>
        <v>848823</v>
      </c>
      <c r="S42" s="428"/>
      <c r="T42" s="453"/>
      <c r="U42" s="425">
        <v>0</v>
      </c>
      <c r="V42" s="428"/>
      <c r="W42" s="428"/>
      <c r="X42" s="428">
        <f t="shared" si="54"/>
        <v>0</v>
      </c>
      <c r="Y42" s="428"/>
      <c r="Z42" s="453"/>
      <c r="AA42" s="425">
        <v>6920</v>
      </c>
      <c r="AB42" s="428"/>
      <c r="AC42" s="428"/>
      <c r="AD42" s="428">
        <f t="shared" si="55"/>
        <v>6920</v>
      </c>
      <c r="AE42" s="428"/>
      <c r="AF42" s="453"/>
      <c r="AG42" s="425">
        <v>0</v>
      </c>
      <c r="AH42" s="428"/>
      <c r="AI42" s="428"/>
      <c r="AJ42" s="428">
        <f t="shared" si="56"/>
        <v>0</v>
      </c>
      <c r="AK42" s="428"/>
      <c r="AL42" s="453"/>
      <c r="AM42" s="425">
        <v>0</v>
      </c>
      <c r="AN42" s="428"/>
      <c r="AO42" s="428"/>
      <c r="AP42" s="428">
        <f t="shared" si="57"/>
        <v>0</v>
      </c>
      <c r="AQ42" s="428"/>
      <c r="AR42" s="453"/>
      <c r="AS42" s="425">
        <v>0</v>
      </c>
      <c r="AT42" s="428">
        <v>0</v>
      </c>
      <c r="AU42" s="428">
        <v>0</v>
      </c>
      <c r="AV42" s="428">
        <f t="shared" si="69"/>
        <v>0</v>
      </c>
      <c r="AW42" s="508">
        <v>0</v>
      </c>
      <c r="AX42" s="453">
        <v>0</v>
      </c>
      <c r="AY42" s="425">
        <v>0</v>
      </c>
      <c r="AZ42" s="428"/>
      <c r="BA42" s="428"/>
      <c r="BB42" s="428">
        <f t="shared" si="58"/>
        <v>0</v>
      </c>
      <c r="BC42" s="428"/>
      <c r="BD42" s="453"/>
      <c r="BE42" s="425">
        <v>0</v>
      </c>
      <c r="BF42" s="428"/>
      <c r="BG42" s="428"/>
      <c r="BH42" s="428">
        <f t="shared" si="59"/>
        <v>0</v>
      </c>
      <c r="BI42" s="83"/>
      <c r="BJ42" s="626"/>
      <c r="BK42" s="425">
        <v>35991.519999999997</v>
      </c>
      <c r="BL42" s="428" t="e">
        <f>SUM(#REF!)</f>
        <v>#REF!</v>
      </c>
      <c r="BM42" s="428" t="e">
        <f>SUM(#REF!)</f>
        <v>#REF!</v>
      </c>
      <c r="BN42" s="428" t="e">
        <f t="shared" si="60"/>
        <v>#REF!</v>
      </c>
      <c r="BO42" s="428" t="e">
        <f>SUM(#REF!)</f>
        <v>#REF!</v>
      </c>
      <c r="BP42" s="428" t="e">
        <f>SUM(#REF!)</f>
        <v>#REF!</v>
      </c>
      <c r="BQ42" s="741">
        <f t="shared" si="61"/>
        <v>954507.52</v>
      </c>
      <c r="BR42" s="741" t="e">
        <f t="shared" si="61"/>
        <v>#REF!</v>
      </c>
      <c r="BS42" s="741" t="e">
        <f t="shared" si="61"/>
        <v>#REF!</v>
      </c>
      <c r="BT42" s="741" t="e">
        <f t="shared" si="61"/>
        <v>#REF!</v>
      </c>
      <c r="BU42" s="562" t="e">
        <f t="shared" si="61"/>
        <v>#REF!</v>
      </c>
      <c r="BV42" s="676" t="e">
        <f t="shared" si="61"/>
        <v>#REF!</v>
      </c>
      <c r="BW42" s="425"/>
      <c r="BX42" s="428"/>
      <c r="BY42" s="428"/>
      <c r="BZ42" s="428"/>
      <c r="CA42" s="429">
        <f t="shared" si="62"/>
        <v>0</v>
      </c>
      <c r="CB42" s="430"/>
      <c r="CC42" s="425"/>
      <c r="CD42" s="428"/>
      <c r="CE42" s="428"/>
      <c r="CF42" s="428"/>
      <c r="CG42" s="428"/>
      <c r="CH42" s="453"/>
      <c r="CI42" s="436">
        <f>1381+5</f>
        <v>1386</v>
      </c>
      <c r="CJ42" s="428"/>
      <c r="CK42" s="428"/>
      <c r="CL42" s="428">
        <f>SUM(CI42+CJ42-CK42)</f>
        <v>1386</v>
      </c>
      <c r="CM42" s="454">
        <v>2</v>
      </c>
      <c r="CN42" s="460"/>
      <c r="CO42" s="425"/>
      <c r="CP42" s="428"/>
      <c r="CQ42" s="428"/>
      <c r="CR42" s="428">
        <f t="shared" si="64"/>
        <v>0</v>
      </c>
      <c r="CS42" s="428"/>
      <c r="CT42" s="453"/>
      <c r="CU42" s="425"/>
      <c r="CV42" s="428"/>
      <c r="CW42" s="428"/>
      <c r="CX42" s="428"/>
      <c r="CY42" s="428"/>
      <c r="CZ42" s="632"/>
      <c r="DA42" s="726">
        <v>0</v>
      </c>
      <c r="DB42" s="9"/>
      <c r="DC42" s="9"/>
      <c r="DD42" s="9">
        <f t="shared" si="65"/>
        <v>0</v>
      </c>
      <c r="DE42" s="9"/>
      <c r="DF42" s="727"/>
      <c r="DG42" s="472"/>
      <c r="DH42" s="472"/>
      <c r="DI42" s="472"/>
      <c r="DJ42" s="472"/>
      <c r="DK42" s="472"/>
      <c r="DL42" s="472"/>
      <c r="DM42" s="703"/>
      <c r="DN42" s="428"/>
      <c r="DO42" s="428"/>
      <c r="DP42" s="428"/>
      <c r="DQ42" s="428"/>
      <c r="DR42" s="704"/>
      <c r="DS42" s="617"/>
      <c r="DT42" s="617"/>
      <c r="DU42" s="617"/>
      <c r="DV42" s="617"/>
      <c r="DW42" s="617"/>
      <c r="DX42" s="617"/>
      <c r="DY42" s="668">
        <v>34388</v>
      </c>
      <c r="DZ42" s="669"/>
      <c r="EA42" s="669"/>
      <c r="EB42" s="428">
        <f t="shared" si="66"/>
        <v>34388</v>
      </c>
      <c r="EC42" s="428"/>
      <c r="ED42" s="453"/>
      <c r="EE42" s="587"/>
      <c r="EF42" s="437"/>
      <c r="EG42" s="437"/>
      <c r="EH42" s="437"/>
      <c r="EI42" s="437"/>
      <c r="EJ42" s="453"/>
      <c r="EK42" s="688">
        <f t="shared" si="67"/>
        <v>35774</v>
      </c>
      <c r="EL42" s="688">
        <f t="shared" si="67"/>
        <v>0</v>
      </c>
      <c r="EM42" s="688">
        <f t="shared" si="67"/>
        <v>0</v>
      </c>
      <c r="EN42" s="688">
        <f t="shared" si="67"/>
        <v>35774</v>
      </c>
      <c r="EO42" s="688">
        <f t="shared" si="67"/>
        <v>2</v>
      </c>
      <c r="EP42" s="687">
        <f t="shared" si="67"/>
        <v>0</v>
      </c>
      <c r="EQ42" s="739">
        <f t="shared" si="68"/>
        <v>990281.52</v>
      </c>
      <c r="ER42" s="739" t="e">
        <f t="shared" si="68"/>
        <v>#REF!</v>
      </c>
      <c r="ES42" s="739" t="e">
        <f t="shared" si="68"/>
        <v>#REF!</v>
      </c>
      <c r="ET42" s="739" t="e">
        <f t="shared" si="68"/>
        <v>#REF!</v>
      </c>
      <c r="EU42" s="739" t="e">
        <f t="shared" si="68"/>
        <v>#REF!</v>
      </c>
      <c r="EV42" s="740" t="e">
        <f t="shared" si="68"/>
        <v>#REF!</v>
      </c>
      <c r="EW42" s="438" t="e">
        <f>SUM('общ.сводрайон без курсовой '!C42-#REF!-#REF!)</f>
        <v>#REF!</v>
      </c>
      <c r="EX42" s="438" t="e">
        <f>SUM('общ.сводрайон без курсовой '!D42-#REF!-#REF!)</f>
        <v>#REF!</v>
      </c>
      <c r="EY42" s="438" t="e">
        <f>SUM('общ.сводрайон без курсовой '!E42-#REF!-#REF!)</f>
        <v>#REF!</v>
      </c>
      <c r="EZ42" s="438" t="e">
        <f>SUM('общ.сводрайон без курсовой '!F42-#REF!-#REF!)</f>
        <v>#REF!</v>
      </c>
    </row>
    <row r="43" spans="1:156" s="439" customFormat="1" ht="18.95" customHeight="1">
      <c r="A43" s="440">
        <v>29</v>
      </c>
      <c r="B43" s="441" t="s">
        <v>37</v>
      </c>
      <c r="C43" s="425">
        <v>0</v>
      </c>
      <c r="D43" s="428">
        <v>0</v>
      </c>
      <c r="E43" s="428">
        <v>0</v>
      </c>
      <c r="F43" s="428">
        <f t="shared" si="51"/>
        <v>0</v>
      </c>
      <c r="G43" s="428">
        <v>0</v>
      </c>
      <c r="H43" s="453"/>
      <c r="I43" s="425">
        <v>1466473</v>
      </c>
      <c r="J43" s="428">
        <v>1541228</v>
      </c>
      <c r="K43" s="428">
        <v>1130618</v>
      </c>
      <c r="L43" s="428">
        <f t="shared" si="52"/>
        <v>1877083</v>
      </c>
      <c r="M43" s="508">
        <v>0</v>
      </c>
      <c r="N43" s="453"/>
      <c r="O43" s="425">
        <v>1308548</v>
      </c>
      <c r="P43" s="428">
        <v>66900</v>
      </c>
      <c r="Q43" s="428">
        <v>79089</v>
      </c>
      <c r="R43" s="428">
        <f t="shared" si="53"/>
        <v>1296359</v>
      </c>
      <c r="S43" s="428"/>
      <c r="T43" s="453"/>
      <c r="U43" s="425">
        <v>0</v>
      </c>
      <c r="V43" s="428"/>
      <c r="W43" s="428"/>
      <c r="X43" s="428">
        <f t="shared" si="54"/>
        <v>0</v>
      </c>
      <c r="Y43" s="428"/>
      <c r="Z43" s="453"/>
      <c r="AA43" s="425">
        <v>19384</v>
      </c>
      <c r="AB43" s="428">
        <v>79930.31</v>
      </c>
      <c r="AC43" s="428">
        <v>2594.15</v>
      </c>
      <c r="AD43" s="428">
        <f t="shared" si="55"/>
        <v>96720.16</v>
      </c>
      <c r="AE43" s="428">
        <v>125</v>
      </c>
      <c r="AF43" s="453"/>
      <c r="AG43" s="425">
        <v>0</v>
      </c>
      <c r="AH43" s="428"/>
      <c r="AI43" s="428"/>
      <c r="AJ43" s="428">
        <f t="shared" si="56"/>
        <v>0</v>
      </c>
      <c r="AK43" s="428"/>
      <c r="AL43" s="453"/>
      <c r="AM43" s="425">
        <v>0</v>
      </c>
      <c r="AN43" s="428"/>
      <c r="AO43" s="428"/>
      <c r="AP43" s="428">
        <f t="shared" si="57"/>
        <v>0</v>
      </c>
      <c r="AQ43" s="428"/>
      <c r="AR43" s="453"/>
      <c r="AS43" s="425">
        <v>0</v>
      </c>
      <c r="AT43" s="428">
        <v>0</v>
      </c>
      <c r="AU43" s="428">
        <v>0</v>
      </c>
      <c r="AV43" s="428">
        <f t="shared" si="69"/>
        <v>0</v>
      </c>
      <c r="AW43" s="508">
        <v>0</v>
      </c>
      <c r="AX43" s="453">
        <v>0</v>
      </c>
      <c r="AY43" s="425">
        <v>0</v>
      </c>
      <c r="AZ43" s="428"/>
      <c r="BA43" s="428"/>
      <c r="BB43" s="428">
        <f t="shared" si="58"/>
        <v>0</v>
      </c>
      <c r="BC43" s="428"/>
      <c r="BD43" s="453"/>
      <c r="BE43" s="425">
        <v>0</v>
      </c>
      <c r="BF43" s="428"/>
      <c r="BG43" s="428"/>
      <c r="BH43" s="428">
        <f t="shared" si="59"/>
        <v>0</v>
      </c>
      <c r="BI43" s="83"/>
      <c r="BJ43" s="626"/>
      <c r="BK43" s="425">
        <v>0</v>
      </c>
      <c r="BL43" s="428" t="e">
        <f>SUM(#REF!)</f>
        <v>#REF!</v>
      </c>
      <c r="BM43" s="428" t="e">
        <f>SUM(#REF!)</f>
        <v>#REF!</v>
      </c>
      <c r="BN43" s="428" t="e">
        <f t="shared" si="60"/>
        <v>#REF!</v>
      </c>
      <c r="BO43" s="428" t="e">
        <f>SUM(#REF!)</f>
        <v>#REF!</v>
      </c>
      <c r="BP43" s="428" t="e">
        <f>SUM(#REF!)</f>
        <v>#REF!</v>
      </c>
      <c r="BQ43" s="741">
        <f t="shared" si="61"/>
        <v>2794405</v>
      </c>
      <c r="BR43" s="741" t="e">
        <f t="shared" si="61"/>
        <v>#REF!</v>
      </c>
      <c r="BS43" s="741" t="e">
        <f t="shared" si="61"/>
        <v>#REF!</v>
      </c>
      <c r="BT43" s="741" t="e">
        <f t="shared" si="61"/>
        <v>#REF!</v>
      </c>
      <c r="BU43" s="562" t="e">
        <f t="shared" si="61"/>
        <v>#REF!</v>
      </c>
      <c r="BV43" s="676" t="e">
        <f t="shared" si="61"/>
        <v>#REF!</v>
      </c>
      <c r="BW43" s="425"/>
      <c r="BX43" s="428"/>
      <c r="BY43" s="428"/>
      <c r="BZ43" s="428"/>
      <c r="CA43" s="429">
        <f t="shared" si="62"/>
        <v>0</v>
      </c>
      <c r="CB43" s="430"/>
      <c r="CC43" s="425"/>
      <c r="CD43" s="428"/>
      <c r="CE43" s="428"/>
      <c r="CF43" s="428"/>
      <c r="CG43" s="428"/>
      <c r="CH43" s="453"/>
      <c r="CI43" s="436">
        <v>0</v>
      </c>
      <c r="CJ43" s="428"/>
      <c r="CK43" s="428"/>
      <c r="CL43" s="428">
        <f t="shared" ref="CL43:CL60" si="70">SUM(CI43+CJ43-CK43)</f>
        <v>0</v>
      </c>
      <c r="CM43" s="454"/>
      <c r="CN43" s="460"/>
      <c r="CO43" s="425"/>
      <c r="CP43" s="428"/>
      <c r="CQ43" s="428"/>
      <c r="CR43" s="428">
        <f t="shared" si="64"/>
        <v>0</v>
      </c>
      <c r="CS43" s="428"/>
      <c r="CT43" s="453"/>
      <c r="CU43" s="425"/>
      <c r="CV43" s="428"/>
      <c r="CW43" s="428"/>
      <c r="CX43" s="428"/>
      <c r="CY43" s="428"/>
      <c r="CZ43" s="632"/>
      <c r="DA43" s="726">
        <v>0</v>
      </c>
      <c r="DB43" s="9"/>
      <c r="DC43" s="9"/>
      <c r="DD43" s="9">
        <f t="shared" si="65"/>
        <v>0</v>
      </c>
      <c r="DE43" s="9"/>
      <c r="DF43" s="727"/>
      <c r="DG43" s="472"/>
      <c r="DH43" s="472"/>
      <c r="DI43" s="472"/>
      <c r="DJ43" s="472"/>
      <c r="DK43" s="472"/>
      <c r="DL43" s="472"/>
      <c r="DM43" s="703"/>
      <c r="DN43" s="428"/>
      <c r="DO43" s="428"/>
      <c r="DP43" s="428"/>
      <c r="DQ43" s="428"/>
      <c r="DR43" s="704"/>
      <c r="DS43" s="617"/>
      <c r="DT43" s="617"/>
      <c r="DU43" s="617"/>
      <c r="DV43" s="617"/>
      <c r="DW43" s="617"/>
      <c r="DX43" s="617"/>
      <c r="DY43" s="668">
        <v>0</v>
      </c>
      <c r="DZ43" s="669"/>
      <c r="EA43" s="669"/>
      <c r="EB43" s="428">
        <f t="shared" si="66"/>
        <v>0</v>
      </c>
      <c r="EC43" s="428"/>
      <c r="ED43" s="453"/>
      <c r="EE43" s="587"/>
      <c r="EF43" s="437"/>
      <c r="EG43" s="437"/>
      <c r="EH43" s="437"/>
      <c r="EI43" s="437"/>
      <c r="EJ43" s="453"/>
      <c r="EK43" s="688">
        <f t="shared" si="67"/>
        <v>0</v>
      </c>
      <c r="EL43" s="688">
        <f t="shared" si="67"/>
        <v>0</v>
      </c>
      <c r="EM43" s="688">
        <f t="shared" si="67"/>
        <v>0</v>
      </c>
      <c r="EN43" s="688">
        <f t="shared" si="67"/>
        <v>0</v>
      </c>
      <c r="EO43" s="688">
        <f t="shared" si="67"/>
        <v>0</v>
      </c>
      <c r="EP43" s="687">
        <f t="shared" si="67"/>
        <v>0</v>
      </c>
      <c r="EQ43" s="739">
        <f t="shared" si="68"/>
        <v>2794405</v>
      </c>
      <c r="ER43" s="739" t="e">
        <f t="shared" si="68"/>
        <v>#REF!</v>
      </c>
      <c r="ES43" s="739" t="e">
        <f t="shared" si="68"/>
        <v>#REF!</v>
      </c>
      <c r="ET43" s="739" t="e">
        <f t="shared" si="68"/>
        <v>#REF!</v>
      </c>
      <c r="EU43" s="739" t="e">
        <f t="shared" si="68"/>
        <v>#REF!</v>
      </c>
      <c r="EV43" s="740" t="e">
        <f t="shared" si="68"/>
        <v>#REF!</v>
      </c>
      <c r="EW43" s="438" t="e">
        <f>SUM('общ.сводрайон без курсовой '!C43-#REF!-#REF!)</f>
        <v>#REF!</v>
      </c>
      <c r="EX43" s="438" t="e">
        <f>SUM('общ.сводрайон без курсовой '!D43-#REF!-#REF!)</f>
        <v>#REF!</v>
      </c>
      <c r="EY43" s="438" t="e">
        <f>SUM('общ.сводрайон без курсовой '!E43-#REF!-#REF!)</f>
        <v>#REF!</v>
      </c>
      <c r="EZ43" s="438" t="e">
        <f>SUM('общ.сводрайон без курсовой '!F43-#REF!-#REF!)</f>
        <v>#REF!</v>
      </c>
    </row>
    <row r="44" spans="1:156" s="439" customFormat="1" ht="18.95" customHeight="1">
      <c r="A44" s="440">
        <v>30</v>
      </c>
      <c r="B44" s="441" t="s">
        <v>4</v>
      </c>
      <c r="C44" s="425">
        <f>922546+2130</f>
        <v>924676</v>
      </c>
      <c r="D44" s="428">
        <v>66406</v>
      </c>
      <c r="E44" s="428">
        <v>94458</v>
      </c>
      <c r="F44" s="428">
        <f t="shared" si="51"/>
        <v>896624</v>
      </c>
      <c r="G44" s="428">
        <v>598</v>
      </c>
      <c r="H44" s="453"/>
      <c r="I44" s="425">
        <v>0</v>
      </c>
      <c r="J44" s="428"/>
      <c r="K44" s="428"/>
      <c r="L44" s="428">
        <f t="shared" si="52"/>
        <v>0</v>
      </c>
      <c r="M44" s="508"/>
      <c r="N44" s="453"/>
      <c r="O44" s="425">
        <v>407063</v>
      </c>
      <c r="P44" s="428">
        <v>11700</v>
      </c>
      <c r="Q44" s="428">
        <v>7497</v>
      </c>
      <c r="R44" s="428">
        <f t="shared" si="53"/>
        <v>411266</v>
      </c>
      <c r="S44" s="428"/>
      <c r="T44" s="453"/>
      <c r="U44" s="425">
        <f>227617+2384</f>
        <v>230001</v>
      </c>
      <c r="V44" s="428">
        <v>65000</v>
      </c>
      <c r="W44" s="428"/>
      <c r="X44" s="428">
        <f t="shared" si="54"/>
        <v>295001</v>
      </c>
      <c r="Y44" s="428"/>
      <c r="Z44" s="453"/>
      <c r="AA44" s="425">
        <v>3689625</v>
      </c>
      <c r="AB44" s="428"/>
      <c r="AC44" s="428"/>
      <c r="AD44" s="428">
        <f t="shared" si="55"/>
        <v>3689625</v>
      </c>
      <c r="AE44" s="428"/>
      <c r="AF44" s="453"/>
      <c r="AG44" s="425">
        <v>0</v>
      </c>
      <c r="AH44" s="428"/>
      <c r="AI44" s="428"/>
      <c r="AJ44" s="428">
        <f t="shared" si="56"/>
        <v>0</v>
      </c>
      <c r="AK44" s="428"/>
      <c r="AL44" s="453"/>
      <c r="AM44" s="425">
        <v>0</v>
      </c>
      <c r="AN44" s="428"/>
      <c r="AO44" s="428"/>
      <c r="AP44" s="428">
        <f t="shared" si="57"/>
        <v>0</v>
      </c>
      <c r="AQ44" s="428"/>
      <c r="AR44" s="453"/>
      <c r="AS44" s="425">
        <v>0</v>
      </c>
      <c r="AT44" s="428">
        <v>0</v>
      </c>
      <c r="AU44" s="428">
        <v>0</v>
      </c>
      <c r="AV44" s="428">
        <f t="shared" si="69"/>
        <v>0</v>
      </c>
      <c r="AW44" s="508">
        <v>0</v>
      </c>
      <c r="AX44" s="453">
        <v>0</v>
      </c>
      <c r="AY44" s="425">
        <v>0</v>
      </c>
      <c r="AZ44" s="428"/>
      <c r="BA44" s="428"/>
      <c r="BB44" s="428">
        <f t="shared" si="58"/>
        <v>0</v>
      </c>
      <c r="BC44" s="428"/>
      <c r="BD44" s="453"/>
      <c r="BE44" s="425">
        <v>0</v>
      </c>
      <c r="BF44" s="428"/>
      <c r="BG44" s="428"/>
      <c r="BH44" s="428">
        <f t="shared" si="59"/>
        <v>0</v>
      </c>
      <c r="BI44" s="83"/>
      <c r="BJ44" s="626"/>
      <c r="BK44" s="425">
        <v>168186</v>
      </c>
      <c r="BL44" s="428" t="e">
        <f>SUM(#REF!)</f>
        <v>#REF!</v>
      </c>
      <c r="BM44" s="428" t="e">
        <f>SUM(#REF!)</f>
        <v>#REF!</v>
      </c>
      <c r="BN44" s="428" t="e">
        <f t="shared" si="60"/>
        <v>#REF!</v>
      </c>
      <c r="BO44" s="428" t="e">
        <f>SUM(#REF!)</f>
        <v>#REF!</v>
      </c>
      <c r="BP44" s="428" t="e">
        <f>SUM(#REF!)</f>
        <v>#REF!</v>
      </c>
      <c r="BQ44" s="741">
        <f t="shared" si="61"/>
        <v>5419551</v>
      </c>
      <c r="BR44" s="741" t="e">
        <f t="shared" si="61"/>
        <v>#REF!</v>
      </c>
      <c r="BS44" s="741" t="e">
        <f t="shared" si="61"/>
        <v>#REF!</v>
      </c>
      <c r="BT44" s="741" t="e">
        <f t="shared" si="61"/>
        <v>#REF!</v>
      </c>
      <c r="BU44" s="562" t="e">
        <f t="shared" si="61"/>
        <v>#REF!</v>
      </c>
      <c r="BV44" s="676" t="e">
        <f t="shared" si="61"/>
        <v>#REF!</v>
      </c>
      <c r="BW44" s="425"/>
      <c r="BX44" s="428"/>
      <c r="BY44" s="428"/>
      <c r="BZ44" s="428"/>
      <c r="CA44" s="429">
        <f t="shared" si="62"/>
        <v>0</v>
      </c>
      <c r="CB44" s="430"/>
      <c r="CC44" s="425"/>
      <c r="CD44" s="428"/>
      <c r="CE44" s="428"/>
      <c r="CF44" s="428"/>
      <c r="CG44" s="428"/>
      <c r="CH44" s="453"/>
      <c r="CI44" s="436">
        <v>0</v>
      </c>
      <c r="CJ44" s="428"/>
      <c r="CK44" s="428"/>
      <c r="CL44" s="428">
        <f t="shared" si="70"/>
        <v>0</v>
      </c>
      <c r="CM44" s="454"/>
      <c r="CN44" s="460"/>
      <c r="CO44" s="425"/>
      <c r="CP44" s="428"/>
      <c r="CQ44" s="428"/>
      <c r="CR44" s="428">
        <f t="shared" si="64"/>
        <v>0</v>
      </c>
      <c r="CS44" s="428"/>
      <c r="CT44" s="453"/>
      <c r="CU44" s="425"/>
      <c r="CV44" s="428"/>
      <c r="CW44" s="428"/>
      <c r="CX44" s="428"/>
      <c r="CY44" s="428"/>
      <c r="CZ44" s="632"/>
      <c r="DA44" s="726">
        <v>0</v>
      </c>
      <c r="DB44" s="9"/>
      <c r="DC44" s="9"/>
      <c r="DD44" s="9">
        <f t="shared" si="65"/>
        <v>0</v>
      </c>
      <c r="DE44" s="9"/>
      <c r="DF44" s="727"/>
      <c r="DG44" s="472"/>
      <c r="DH44" s="472"/>
      <c r="DI44" s="472"/>
      <c r="DJ44" s="472"/>
      <c r="DK44" s="472"/>
      <c r="DL44" s="472"/>
      <c r="DM44" s="703"/>
      <c r="DN44" s="428"/>
      <c r="DO44" s="428"/>
      <c r="DP44" s="428"/>
      <c r="DQ44" s="428"/>
      <c r="DR44" s="704"/>
      <c r="DS44" s="617"/>
      <c r="DT44" s="617"/>
      <c r="DU44" s="617"/>
      <c r="DV44" s="617"/>
      <c r="DW44" s="617"/>
      <c r="DX44" s="617"/>
      <c r="DY44" s="668">
        <v>258995</v>
      </c>
      <c r="DZ44" s="669"/>
      <c r="EA44" s="669"/>
      <c r="EB44" s="428">
        <f t="shared" si="66"/>
        <v>258995</v>
      </c>
      <c r="EC44" s="428">
        <v>210</v>
      </c>
      <c r="ED44" s="453"/>
      <c r="EE44" s="587"/>
      <c r="EF44" s="437"/>
      <c r="EG44" s="437"/>
      <c r="EH44" s="437"/>
      <c r="EI44" s="437"/>
      <c r="EJ44" s="453"/>
      <c r="EK44" s="688">
        <f t="shared" si="67"/>
        <v>258995</v>
      </c>
      <c r="EL44" s="688">
        <f t="shared" si="67"/>
        <v>0</v>
      </c>
      <c r="EM44" s="688">
        <f t="shared" si="67"/>
        <v>0</v>
      </c>
      <c r="EN44" s="688">
        <f t="shared" si="67"/>
        <v>258995</v>
      </c>
      <c r="EO44" s="688">
        <f t="shared" si="67"/>
        <v>210</v>
      </c>
      <c r="EP44" s="687">
        <f t="shared" si="67"/>
        <v>0</v>
      </c>
      <c r="EQ44" s="739">
        <f t="shared" si="68"/>
        <v>5678546</v>
      </c>
      <c r="ER44" s="739" t="e">
        <f t="shared" si="68"/>
        <v>#REF!</v>
      </c>
      <c r="ES44" s="739" t="e">
        <f t="shared" si="68"/>
        <v>#REF!</v>
      </c>
      <c r="ET44" s="739" t="e">
        <f t="shared" si="68"/>
        <v>#REF!</v>
      </c>
      <c r="EU44" s="739" t="e">
        <f t="shared" si="68"/>
        <v>#REF!</v>
      </c>
      <c r="EV44" s="740" t="e">
        <f t="shared" si="68"/>
        <v>#REF!</v>
      </c>
      <c r="EW44" s="438" t="e">
        <f>SUM('общ.сводрайон без курсовой '!C44-#REF!-#REF!)</f>
        <v>#REF!</v>
      </c>
      <c r="EX44" s="438" t="e">
        <f>SUM('общ.сводрайон без курсовой '!D44-#REF!-#REF!)</f>
        <v>#REF!</v>
      </c>
      <c r="EY44" s="438" t="e">
        <f>SUM('общ.сводрайон без курсовой '!E44-#REF!-#REF!)</f>
        <v>#REF!</v>
      </c>
      <c r="EZ44" s="438" t="e">
        <f>SUM('общ.сводрайон без курсовой '!F44-#REF!-#REF!)</f>
        <v>#REF!</v>
      </c>
    </row>
    <row r="45" spans="1:156" s="439" customFormat="1" ht="18.95" customHeight="1">
      <c r="A45" s="440">
        <f>A44+1</f>
        <v>31</v>
      </c>
      <c r="B45" s="441" t="s">
        <v>29</v>
      </c>
      <c r="C45" s="425">
        <f>1183138+1590</f>
        <v>1184728</v>
      </c>
      <c r="D45" s="428">
        <v>322496</v>
      </c>
      <c r="E45" s="428">
        <v>115337</v>
      </c>
      <c r="F45" s="428">
        <f t="shared" si="51"/>
        <v>1391887</v>
      </c>
      <c r="G45" s="428">
        <v>627</v>
      </c>
      <c r="H45" s="453"/>
      <c r="I45" s="425">
        <v>0</v>
      </c>
      <c r="J45" s="428"/>
      <c r="K45" s="428"/>
      <c r="L45" s="428">
        <f t="shared" si="52"/>
        <v>0</v>
      </c>
      <c r="M45" s="508"/>
      <c r="N45" s="453"/>
      <c r="O45" s="425">
        <f>871478+290.3</f>
        <v>871768.3</v>
      </c>
      <c r="P45" s="428">
        <v>5100</v>
      </c>
      <c r="Q45" s="428">
        <v>10925.3</v>
      </c>
      <c r="R45" s="428">
        <f t="shared" si="53"/>
        <v>865943</v>
      </c>
      <c r="S45" s="428">
        <v>198</v>
      </c>
      <c r="T45" s="453"/>
      <c r="U45" s="425">
        <f>5923133+33063</f>
        <v>5956196</v>
      </c>
      <c r="V45" s="529">
        <v>249328.79</v>
      </c>
      <c r="W45" s="428"/>
      <c r="X45" s="428">
        <f t="shared" si="54"/>
        <v>6205524.79</v>
      </c>
      <c r="Y45" s="428">
        <v>549</v>
      </c>
      <c r="Z45" s="453"/>
      <c r="AA45" s="425">
        <v>4060000</v>
      </c>
      <c r="AB45" s="428"/>
      <c r="AC45" s="428"/>
      <c r="AD45" s="428">
        <f t="shared" si="55"/>
        <v>4060000</v>
      </c>
      <c r="AE45" s="428"/>
      <c r="AF45" s="453"/>
      <c r="AG45" s="425">
        <v>0</v>
      </c>
      <c r="AH45" s="428"/>
      <c r="AI45" s="428"/>
      <c r="AJ45" s="428">
        <f t="shared" si="56"/>
        <v>0</v>
      </c>
      <c r="AK45" s="428"/>
      <c r="AL45" s="453"/>
      <c r="AM45" s="425">
        <v>0</v>
      </c>
      <c r="AN45" s="428"/>
      <c r="AO45" s="428"/>
      <c r="AP45" s="428">
        <f t="shared" si="57"/>
        <v>0</v>
      </c>
      <c r="AQ45" s="428"/>
      <c r="AR45" s="453"/>
      <c r="AS45" s="425">
        <v>0</v>
      </c>
      <c r="AT45" s="428">
        <v>0</v>
      </c>
      <c r="AU45" s="428">
        <v>0</v>
      </c>
      <c r="AV45" s="428">
        <f t="shared" si="69"/>
        <v>0</v>
      </c>
      <c r="AW45" s="508">
        <v>0</v>
      </c>
      <c r="AX45" s="453">
        <v>0</v>
      </c>
      <c r="AY45" s="425">
        <f>1139327+179</f>
        <v>1139506</v>
      </c>
      <c r="AZ45" s="428"/>
      <c r="BA45" s="428">
        <v>107761</v>
      </c>
      <c r="BB45" s="428">
        <f t="shared" si="58"/>
        <v>1031745</v>
      </c>
      <c r="BC45" s="428">
        <v>686</v>
      </c>
      <c r="BD45" s="453"/>
      <c r="BE45" s="425">
        <v>10395</v>
      </c>
      <c r="BF45" s="428"/>
      <c r="BG45" s="428">
        <v>1734</v>
      </c>
      <c r="BH45" s="428">
        <f t="shared" si="59"/>
        <v>8661</v>
      </c>
      <c r="BI45" s="83">
        <v>8</v>
      </c>
      <c r="BJ45" s="626">
        <v>-29</v>
      </c>
      <c r="BK45" s="425">
        <v>199254.8</v>
      </c>
      <c r="BL45" s="428" t="e">
        <f>SUM(#REF!)</f>
        <v>#REF!</v>
      </c>
      <c r="BM45" s="428" t="e">
        <f>SUM(#REF!)</f>
        <v>#REF!</v>
      </c>
      <c r="BN45" s="428" t="e">
        <f t="shared" si="60"/>
        <v>#REF!</v>
      </c>
      <c r="BO45" s="428" t="e">
        <f>SUM(#REF!)</f>
        <v>#REF!</v>
      </c>
      <c r="BP45" s="428" t="e">
        <f>SUM(#REF!)</f>
        <v>#REF!</v>
      </c>
      <c r="BQ45" s="741">
        <f t="shared" si="61"/>
        <v>13421848.100000001</v>
      </c>
      <c r="BR45" s="741" t="e">
        <f t="shared" si="61"/>
        <v>#REF!</v>
      </c>
      <c r="BS45" s="741" t="e">
        <f t="shared" si="61"/>
        <v>#REF!</v>
      </c>
      <c r="BT45" s="741" t="e">
        <f t="shared" si="61"/>
        <v>#REF!</v>
      </c>
      <c r="BU45" s="562" t="e">
        <f t="shared" si="61"/>
        <v>#REF!</v>
      </c>
      <c r="BV45" s="676" t="e">
        <f t="shared" si="61"/>
        <v>#REF!</v>
      </c>
      <c r="BW45" s="425">
        <v>82000</v>
      </c>
      <c r="BX45" s="428"/>
      <c r="BY45" s="428"/>
      <c r="BZ45" s="428">
        <f>SUM(BW45+BX45-BY45)</f>
        <v>82000</v>
      </c>
      <c r="CA45" s="429">
        <f t="shared" si="62"/>
        <v>0</v>
      </c>
      <c r="CB45" s="430"/>
      <c r="CC45" s="425"/>
      <c r="CD45" s="428"/>
      <c r="CE45" s="428"/>
      <c r="CF45" s="428"/>
      <c r="CG45" s="428"/>
      <c r="CH45" s="453"/>
      <c r="CI45" s="436">
        <v>0</v>
      </c>
      <c r="CJ45" s="428"/>
      <c r="CK45" s="428"/>
      <c r="CL45" s="428">
        <f t="shared" si="70"/>
        <v>0</v>
      </c>
      <c r="CM45" s="454"/>
      <c r="CN45" s="460"/>
      <c r="CO45" s="425"/>
      <c r="CP45" s="428"/>
      <c r="CQ45" s="428"/>
      <c r="CR45" s="428">
        <f t="shared" si="64"/>
        <v>0</v>
      </c>
      <c r="CS45" s="428"/>
      <c r="CT45" s="453"/>
      <c r="CU45" s="425"/>
      <c r="CV45" s="428"/>
      <c r="CW45" s="428"/>
      <c r="CX45" s="428"/>
      <c r="CY45" s="428"/>
      <c r="CZ45" s="632"/>
      <c r="DA45" s="726">
        <v>0</v>
      </c>
      <c r="DB45" s="9"/>
      <c r="DC45" s="9"/>
      <c r="DD45" s="9">
        <f t="shared" si="65"/>
        <v>0</v>
      </c>
      <c r="DE45" s="9"/>
      <c r="DF45" s="727"/>
      <c r="DG45" s="472"/>
      <c r="DH45" s="472"/>
      <c r="DI45" s="472"/>
      <c r="DJ45" s="472"/>
      <c r="DK45" s="472"/>
      <c r="DL45" s="472"/>
      <c r="DM45" s="703"/>
      <c r="DN45" s="428"/>
      <c r="DO45" s="428"/>
      <c r="DP45" s="428"/>
      <c r="DQ45" s="428"/>
      <c r="DR45" s="704"/>
      <c r="DS45" s="617"/>
      <c r="DT45" s="617"/>
      <c r="DU45" s="617"/>
      <c r="DV45" s="617"/>
      <c r="DW45" s="617"/>
      <c r="DX45" s="617"/>
      <c r="DY45" s="668">
        <v>59679498</v>
      </c>
      <c r="DZ45" s="669"/>
      <c r="EA45" s="669"/>
      <c r="EB45" s="428">
        <f t="shared" si="66"/>
        <v>59679498</v>
      </c>
      <c r="EC45" s="428">
        <v>28165</v>
      </c>
      <c r="ED45" s="453"/>
      <c r="EE45" s="587"/>
      <c r="EF45" s="437"/>
      <c r="EG45" s="437"/>
      <c r="EH45" s="437"/>
      <c r="EI45" s="437"/>
      <c r="EJ45" s="453"/>
      <c r="EK45" s="688">
        <f t="shared" si="67"/>
        <v>59761498</v>
      </c>
      <c r="EL45" s="688">
        <f t="shared" si="67"/>
        <v>0</v>
      </c>
      <c r="EM45" s="688">
        <f t="shared" si="67"/>
        <v>0</v>
      </c>
      <c r="EN45" s="688">
        <f t="shared" si="67"/>
        <v>59761498</v>
      </c>
      <c r="EO45" s="688">
        <f t="shared" si="67"/>
        <v>28165</v>
      </c>
      <c r="EP45" s="687">
        <f t="shared" si="67"/>
        <v>0</v>
      </c>
      <c r="EQ45" s="739">
        <f t="shared" si="68"/>
        <v>73183346.099999994</v>
      </c>
      <c r="ER45" s="739" t="e">
        <f t="shared" si="68"/>
        <v>#REF!</v>
      </c>
      <c r="ES45" s="739" t="e">
        <f t="shared" si="68"/>
        <v>#REF!</v>
      </c>
      <c r="ET45" s="739" t="e">
        <f t="shared" si="68"/>
        <v>#REF!</v>
      </c>
      <c r="EU45" s="739" t="e">
        <f t="shared" si="68"/>
        <v>#REF!</v>
      </c>
      <c r="EV45" s="740" t="e">
        <f t="shared" si="68"/>
        <v>#REF!</v>
      </c>
      <c r="EW45" s="438" t="e">
        <f>SUM('общ.сводрайон без курсовой '!C45-#REF!-#REF!)</f>
        <v>#REF!</v>
      </c>
      <c r="EX45" s="438" t="e">
        <f>SUM('общ.сводрайон без курсовой '!D45-#REF!-#REF!)</f>
        <v>#REF!</v>
      </c>
      <c r="EY45" s="438" t="e">
        <f>SUM('общ.сводрайон без курсовой '!E45-#REF!-#REF!)</f>
        <v>#REF!</v>
      </c>
      <c r="EZ45" s="438" t="e">
        <f>SUM('общ.сводрайон без курсовой '!F45-#REF!-#REF!)</f>
        <v>#REF!</v>
      </c>
    </row>
    <row r="46" spans="1:156" s="439" customFormat="1" ht="18.95" customHeight="1">
      <c r="A46" s="440">
        <f>A45+1</f>
        <v>32</v>
      </c>
      <c r="B46" s="441" t="s">
        <v>30</v>
      </c>
      <c r="C46" s="425">
        <f>1410324+4</f>
        <v>1410328</v>
      </c>
      <c r="D46" s="428">
        <v>104592</v>
      </c>
      <c r="E46" s="428">
        <v>116815</v>
      </c>
      <c r="F46" s="428">
        <f t="shared" si="51"/>
        <v>1398105</v>
      </c>
      <c r="G46" s="428">
        <v>864</v>
      </c>
      <c r="H46" s="453"/>
      <c r="I46" s="425">
        <v>0</v>
      </c>
      <c r="J46" s="428"/>
      <c r="K46" s="428"/>
      <c r="L46" s="428">
        <f t="shared" si="52"/>
        <v>0</v>
      </c>
      <c r="M46" s="508"/>
      <c r="N46" s="453"/>
      <c r="O46" s="425">
        <v>701694</v>
      </c>
      <c r="P46" s="428">
        <v>108000</v>
      </c>
      <c r="Q46" s="428">
        <v>66948</v>
      </c>
      <c r="R46" s="428">
        <f t="shared" si="53"/>
        <v>742746</v>
      </c>
      <c r="S46" s="428"/>
      <c r="T46" s="453"/>
      <c r="U46" s="425">
        <v>0</v>
      </c>
      <c r="V46" s="529"/>
      <c r="W46" s="428"/>
      <c r="X46" s="428">
        <f t="shared" si="54"/>
        <v>0</v>
      </c>
      <c r="Y46" s="428"/>
      <c r="Z46" s="453"/>
      <c r="AA46" s="425">
        <v>34908</v>
      </c>
      <c r="AB46" s="428">
        <v>22019.72</v>
      </c>
      <c r="AC46" s="437">
        <v>5750</v>
      </c>
      <c r="AD46" s="428">
        <f t="shared" si="55"/>
        <v>51177.72</v>
      </c>
      <c r="AE46" s="428">
        <v>179</v>
      </c>
      <c r="AF46" s="453"/>
      <c r="AG46" s="425">
        <v>0</v>
      </c>
      <c r="AH46" s="428"/>
      <c r="AI46" s="428"/>
      <c r="AJ46" s="428">
        <f t="shared" si="56"/>
        <v>0</v>
      </c>
      <c r="AK46" s="428"/>
      <c r="AL46" s="453"/>
      <c r="AM46" s="425">
        <v>0</v>
      </c>
      <c r="AN46" s="428"/>
      <c r="AO46" s="428"/>
      <c r="AP46" s="428">
        <f t="shared" si="57"/>
        <v>0</v>
      </c>
      <c r="AQ46" s="428"/>
      <c r="AR46" s="453"/>
      <c r="AS46" s="425">
        <v>0</v>
      </c>
      <c r="AT46" s="428">
        <v>0</v>
      </c>
      <c r="AU46" s="428">
        <v>0</v>
      </c>
      <c r="AV46" s="428">
        <f t="shared" si="69"/>
        <v>0</v>
      </c>
      <c r="AW46" s="508">
        <v>0</v>
      </c>
      <c r="AX46" s="453">
        <v>0</v>
      </c>
      <c r="AY46" s="425">
        <f>1147835+375</f>
        <v>1148210</v>
      </c>
      <c r="AZ46" s="428">
        <v>6935</v>
      </c>
      <c r="BA46" s="428">
        <v>89410</v>
      </c>
      <c r="BB46" s="428">
        <f t="shared" si="58"/>
        <v>1065735</v>
      </c>
      <c r="BC46" s="428">
        <v>801</v>
      </c>
      <c r="BD46" s="453"/>
      <c r="BE46" s="425">
        <f>76720-1720</f>
        <v>75000</v>
      </c>
      <c r="BF46" s="428"/>
      <c r="BG46" s="428"/>
      <c r="BH46" s="428">
        <f t="shared" si="59"/>
        <v>75000</v>
      </c>
      <c r="BI46" s="83"/>
      <c r="BJ46" s="626"/>
      <c r="BK46" s="425">
        <v>169341</v>
      </c>
      <c r="BL46" s="428" t="e">
        <f>SUM(#REF!)</f>
        <v>#REF!</v>
      </c>
      <c r="BM46" s="428" t="e">
        <f>SUM(#REF!)</f>
        <v>#REF!</v>
      </c>
      <c r="BN46" s="428" t="e">
        <f t="shared" si="60"/>
        <v>#REF!</v>
      </c>
      <c r="BO46" s="428" t="e">
        <f>SUM(#REF!)</f>
        <v>#REF!</v>
      </c>
      <c r="BP46" s="428" t="e">
        <f>SUM(#REF!)</f>
        <v>#REF!</v>
      </c>
      <c r="BQ46" s="741">
        <f t="shared" si="61"/>
        <v>3539481</v>
      </c>
      <c r="BR46" s="741" t="e">
        <f t="shared" si="61"/>
        <v>#REF!</v>
      </c>
      <c r="BS46" s="741" t="e">
        <f t="shared" si="61"/>
        <v>#REF!</v>
      </c>
      <c r="BT46" s="741" t="e">
        <f t="shared" si="61"/>
        <v>#REF!</v>
      </c>
      <c r="BU46" s="562" t="e">
        <f t="shared" si="61"/>
        <v>#REF!</v>
      </c>
      <c r="BV46" s="676" t="e">
        <f t="shared" si="61"/>
        <v>#REF!</v>
      </c>
      <c r="BW46" s="425"/>
      <c r="BX46" s="428"/>
      <c r="BY46" s="428"/>
      <c r="BZ46" s="428"/>
      <c r="CA46" s="429">
        <f t="shared" si="62"/>
        <v>0</v>
      </c>
      <c r="CB46" s="430"/>
      <c r="CC46" s="425"/>
      <c r="CD46" s="428"/>
      <c r="CE46" s="428"/>
      <c r="CF46" s="428"/>
      <c r="CG46" s="428"/>
      <c r="CH46" s="453"/>
      <c r="CI46" s="436">
        <v>0</v>
      </c>
      <c r="CJ46" s="428"/>
      <c r="CK46" s="428"/>
      <c r="CL46" s="428">
        <f t="shared" si="70"/>
        <v>0</v>
      </c>
      <c r="CM46" s="454"/>
      <c r="CN46" s="460"/>
      <c r="CO46" s="425"/>
      <c r="CP46" s="428"/>
      <c r="CQ46" s="428"/>
      <c r="CR46" s="428">
        <f t="shared" si="64"/>
        <v>0</v>
      </c>
      <c r="CS46" s="428"/>
      <c r="CT46" s="453"/>
      <c r="CU46" s="425"/>
      <c r="CV46" s="428"/>
      <c r="CW46" s="428"/>
      <c r="CX46" s="428"/>
      <c r="CY46" s="428"/>
      <c r="CZ46" s="632"/>
      <c r="DA46" s="726">
        <v>302</v>
      </c>
      <c r="DB46" s="9"/>
      <c r="DC46" s="9"/>
      <c r="DD46" s="9">
        <f t="shared" si="65"/>
        <v>302</v>
      </c>
      <c r="DE46" s="9"/>
      <c r="DF46" s="727"/>
      <c r="DG46" s="472"/>
      <c r="DH46" s="472"/>
      <c r="DI46" s="472"/>
      <c r="DJ46" s="472"/>
      <c r="DK46" s="472"/>
      <c r="DL46" s="472"/>
      <c r="DM46" s="703"/>
      <c r="DN46" s="428"/>
      <c r="DO46" s="428"/>
      <c r="DP46" s="428"/>
      <c r="DQ46" s="428"/>
      <c r="DR46" s="704"/>
      <c r="DS46" s="617"/>
      <c r="DT46" s="617"/>
      <c r="DU46" s="617"/>
      <c r="DV46" s="617"/>
      <c r="DW46" s="617"/>
      <c r="DX46" s="617"/>
      <c r="DY46" s="668">
        <v>61923783</v>
      </c>
      <c r="DZ46" s="669"/>
      <c r="EA46" s="669"/>
      <c r="EB46" s="428">
        <f t="shared" si="66"/>
        <v>61923783</v>
      </c>
      <c r="EC46" s="428">
        <v>49035</v>
      </c>
      <c r="ED46" s="453"/>
      <c r="EE46" s="588">
        <f>1289828-101848</f>
        <v>1187980</v>
      </c>
      <c r="EF46" s="589">
        <v>0</v>
      </c>
      <c r="EG46" s="589">
        <f>1136-1136</f>
        <v>0</v>
      </c>
      <c r="EH46" s="589">
        <f>SUM(EE46+EF46-EG46)</f>
        <v>1187980</v>
      </c>
      <c r="EI46" s="437"/>
      <c r="EJ46" s="453"/>
      <c r="EK46" s="688">
        <f t="shared" si="67"/>
        <v>63112065</v>
      </c>
      <c r="EL46" s="688">
        <f t="shared" si="67"/>
        <v>0</v>
      </c>
      <c r="EM46" s="688">
        <f t="shared" si="67"/>
        <v>0</v>
      </c>
      <c r="EN46" s="688">
        <f t="shared" si="67"/>
        <v>63112065</v>
      </c>
      <c r="EO46" s="688">
        <f t="shared" si="67"/>
        <v>49035</v>
      </c>
      <c r="EP46" s="687">
        <f t="shared" si="67"/>
        <v>0</v>
      </c>
      <c r="EQ46" s="739">
        <f t="shared" si="68"/>
        <v>66651546</v>
      </c>
      <c r="ER46" s="739" t="e">
        <f t="shared" si="68"/>
        <v>#REF!</v>
      </c>
      <c r="ES46" s="739" t="e">
        <f t="shared" si="68"/>
        <v>#REF!</v>
      </c>
      <c r="ET46" s="739" t="e">
        <f t="shared" si="68"/>
        <v>#REF!</v>
      </c>
      <c r="EU46" s="739" t="e">
        <f t="shared" si="68"/>
        <v>#REF!</v>
      </c>
      <c r="EV46" s="740" t="e">
        <f t="shared" si="68"/>
        <v>#REF!</v>
      </c>
      <c r="EW46" s="438" t="e">
        <f>SUM('общ.сводрайон без курсовой '!C46-#REF!-#REF!)</f>
        <v>#REF!</v>
      </c>
      <c r="EX46" s="438" t="e">
        <f>SUM('общ.сводрайон без курсовой '!D46-#REF!-#REF!)</f>
        <v>#REF!</v>
      </c>
      <c r="EY46" s="438" t="e">
        <f>SUM('общ.сводрайон без курсовой '!E46-#REF!-#REF!)</f>
        <v>#REF!</v>
      </c>
      <c r="EZ46" s="438" t="e">
        <f>SUM('общ.сводрайон без курсовой '!F46-#REF!-#REF!)</f>
        <v>#REF!</v>
      </c>
    </row>
    <row r="47" spans="1:156" s="439" customFormat="1" ht="18.95" customHeight="1">
      <c r="A47" s="440">
        <v>33</v>
      </c>
      <c r="B47" s="441" t="s">
        <v>32</v>
      </c>
      <c r="C47" s="425">
        <f>1846879+2407</f>
        <v>1849286</v>
      </c>
      <c r="D47" s="428">
        <v>2194711</v>
      </c>
      <c r="E47" s="428">
        <v>54899</v>
      </c>
      <c r="F47" s="428">
        <f t="shared" si="51"/>
        <v>3989098</v>
      </c>
      <c r="G47" s="428">
        <v>1375</v>
      </c>
      <c r="H47" s="453"/>
      <c r="I47" s="425">
        <v>1304990</v>
      </c>
      <c r="J47" s="428">
        <v>0</v>
      </c>
      <c r="K47" s="428">
        <v>43649</v>
      </c>
      <c r="L47" s="428">
        <f t="shared" si="52"/>
        <v>1261341</v>
      </c>
      <c r="M47" s="508">
        <v>0</v>
      </c>
      <c r="N47" s="453"/>
      <c r="O47" s="425">
        <v>400276.1</v>
      </c>
      <c r="P47" s="428">
        <v>41500</v>
      </c>
      <c r="Q47" s="428">
        <v>10228.1</v>
      </c>
      <c r="R47" s="428">
        <f t="shared" si="53"/>
        <v>431548</v>
      </c>
      <c r="S47" s="428"/>
      <c r="T47" s="453"/>
      <c r="U47" s="425">
        <f>4004246+31474</f>
        <v>4035720</v>
      </c>
      <c r="V47" s="529">
        <v>1075950.98</v>
      </c>
      <c r="W47" s="428">
        <v>465320.45</v>
      </c>
      <c r="X47" s="428">
        <f t="shared" si="54"/>
        <v>4646350.53</v>
      </c>
      <c r="Y47" s="428">
        <v>899</v>
      </c>
      <c r="Z47" s="453"/>
      <c r="AA47" s="654">
        <f>3018572.37+2957</f>
        <v>3021529.37</v>
      </c>
      <c r="AB47" s="428">
        <v>180284.08</v>
      </c>
      <c r="AC47" s="428">
        <f>234469.89+62112.62</f>
        <v>296582.51</v>
      </c>
      <c r="AD47" s="428">
        <f t="shared" si="55"/>
        <v>2905230.9400000004</v>
      </c>
      <c r="AE47" s="428">
        <v>170</v>
      </c>
      <c r="AF47" s="453"/>
      <c r="AG47" s="425">
        <v>194677</v>
      </c>
      <c r="AH47" s="428">
        <v>156030</v>
      </c>
      <c r="AI47" s="428">
        <v>77839</v>
      </c>
      <c r="AJ47" s="428">
        <f t="shared" si="56"/>
        <v>272868</v>
      </c>
      <c r="AK47" s="428"/>
      <c r="AL47" s="453"/>
      <c r="AM47" s="425">
        <v>1470.78</v>
      </c>
      <c r="AN47" s="428">
        <v>0</v>
      </c>
      <c r="AO47" s="428">
        <v>280.69</v>
      </c>
      <c r="AP47" s="428">
        <f t="shared" si="57"/>
        <v>1190.0899999999999</v>
      </c>
      <c r="AQ47" s="428"/>
      <c r="AR47" s="453"/>
      <c r="AS47" s="425">
        <v>0</v>
      </c>
      <c r="AT47" s="428">
        <v>0</v>
      </c>
      <c r="AU47" s="428">
        <v>0</v>
      </c>
      <c r="AV47" s="428">
        <f t="shared" si="69"/>
        <v>0</v>
      </c>
      <c r="AW47" s="508">
        <v>0</v>
      </c>
      <c r="AX47" s="453">
        <v>0</v>
      </c>
      <c r="AY47" s="425">
        <f>2471+24</f>
        <v>2495</v>
      </c>
      <c r="AZ47" s="428"/>
      <c r="BA47" s="428">
        <v>312</v>
      </c>
      <c r="BB47" s="428">
        <f t="shared" si="58"/>
        <v>2183</v>
      </c>
      <c r="BC47" s="428">
        <v>2</v>
      </c>
      <c r="BD47" s="453"/>
      <c r="BE47" s="425">
        <v>0</v>
      </c>
      <c r="BF47" s="428"/>
      <c r="BG47" s="428"/>
      <c r="BH47" s="529">
        <f t="shared" si="59"/>
        <v>0</v>
      </c>
      <c r="BI47" s="83"/>
      <c r="BJ47" s="626"/>
      <c r="BK47" s="425">
        <v>1166471.01</v>
      </c>
      <c r="BL47" s="428" t="e">
        <f>SUM(#REF!)</f>
        <v>#REF!</v>
      </c>
      <c r="BM47" s="428" t="e">
        <f>SUM(#REF!)</f>
        <v>#REF!</v>
      </c>
      <c r="BN47" s="428" t="e">
        <f t="shared" si="60"/>
        <v>#REF!</v>
      </c>
      <c r="BO47" s="428" t="e">
        <f>SUM(#REF!)</f>
        <v>#REF!</v>
      </c>
      <c r="BP47" s="428" t="e">
        <f>SUM(#REF!)</f>
        <v>#REF!</v>
      </c>
      <c r="BQ47" s="741">
        <f t="shared" si="61"/>
        <v>11976915.26</v>
      </c>
      <c r="BR47" s="741" t="e">
        <f t="shared" si="61"/>
        <v>#REF!</v>
      </c>
      <c r="BS47" s="741" t="e">
        <f t="shared" si="61"/>
        <v>#REF!</v>
      </c>
      <c r="BT47" s="741" t="e">
        <f t="shared" si="61"/>
        <v>#REF!</v>
      </c>
      <c r="BU47" s="562" t="e">
        <f t="shared" si="61"/>
        <v>#REF!</v>
      </c>
      <c r="BV47" s="676" t="e">
        <f t="shared" si="61"/>
        <v>#REF!</v>
      </c>
      <c r="BW47" s="425"/>
      <c r="BX47" s="428"/>
      <c r="BY47" s="428"/>
      <c r="BZ47" s="428"/>
      <c r="CA47" s="429">
        <f t="shared" si="62"/>
        <v>0</v>
      </c>
      <c r="CB47" s="430"/>
      <c r="CC47" s="425"/>
      <c r="CD47" s="428"/>
      <c r="CE47" s="428"/>
      <c r="CF47" s="428"/>
      <c r="CG47" s="428"/>
      <c r="CH47" s="453"/>
      <c r="CI47" s="436">
        <v>0</v>
      </c>
      <c r="CJ47" s="428"/>
      <c r="CK47" s="428"/>
      <c r="CL47" s="428">
        <f t="shared" si="70"/>
        <v>0</v>
      </c>
      <c r="CM47" s="454"/>
      <c r="CN47" s="460"/>
      <c r="CO47" s="425"/>
      <c r="CP47" s="428"/>
      <c r="CQ47" s="428"/>
      <c r="CR47" s="428">
        <f t="shared" si="64"/>
        <v>0</v>
      </c>
      <c r="CS47" s="428"/>
      <c r="CT47" s="453"/>
      <c r="CU47" s="425"/>
      <c r="CV47" s="428"/>
      <c r="CW47" s="428"/>
      <c r="CX47" s="428"/>
      <c r="CY47" s="428"/>
      <c r="CZ47" s="632"/>
      <c r="DA47" s="726">
        <v>0</v>
      </c>
      <c r="DB47" s="9"/>
      <c r="DC47" s="9"/>
      <c r="DD47" s="9">
        <f t="shared" si="65"/>
        <v>0</v>
      </c>
      <c r="DE47" s="9"/>
      <c r="DF47" s="727"/>
      <c r="DG47" s="472"/>
      <c r="DH47" s="472"/>
      <c r="DI47" s="472"/>
      <c r="DJ47" s="472"/>
      <c r="DK47" s="472"/>
      <c r="DL47" s="472"/>
      <c r="DM47" s="703"/>
      <c r="DN47" s="428">
        <v>715000</v>
      </c>
      <c r="DO47" s="428"/>
      <c r="DP47" s="428">
        <f>SUM(DM47+DN47-DO47)</f>
        <v>715000</v>
      </c>
      <c r="DQ47" s="428"/>
      <c r="DR47" s="704"/>
      <c r="DS47" s="617"/>
      <c r="DT47" s="617"/>
      <c r="DU47" s="617"/>
      <c r="DV47" s="617"/>
      <c r="DW47" s="617"/>
      <c r="DX47" s="617"/>
      <c r="DY47" s="668">
        <v>682109</v>
      </c>
      <c r="DZ47" s="669">
        <v>335810</v>
      </c>
      <c r="EA47" s="669">
        <v>32000</v>
      </c>
      <c r="EB47" s="428">
        <f t="shared" si="66"/>
        <v>985919</v>
      </c>
      <c r="EC47" s="428">
        <v>447</v>
      </c>
      <c r="ED47" s="453"/>
      <c r="EE47" s="587"/>
      <c r="EF47" s="437"/>
      <c r="EG47" s="437"/>
      <c r="EH47" s="437"/>
      <c r="EI47" s="437"/>
      <c r="EJ47" s="453"/>
      <c r="EK47" s="688">
        <f t="shared" si="67"/>
        <v>682109</v>
      </c>
      <c r="EL47" s="688">
        <f t="shared" si="67"/>
        <v>1050810</v>
      </c>
      <c r="EM47" s="688">
        <f t="shared" si="67"/>
        <v>32000</v>
      </c>
      <c r="EN47" s="688">
        <f t="shared" si="67"/>
        <v>1700919</v>
      </c>
      <c r="EO47" s="688">
        <f t="shared" si="67"/>
        <v>447</v>
      </c>
      <c r="EP47" s="687">
        <f t="shared" si="67"/>
        <v>0</v>
      </c>
      <c r="EQ47" s="739">
        <f t="shared" si="68"/>
        <v>12659024.26</v>
      </c>
      <c r="ER47" s="739" t="e">
        <f t="shared" si="68"/>
        <v>#REF!</v>
      </c>
      <c r="ES47" s="739" t="e">
        <f t="shared" si="68"/>
        <v>#REF!</v>
      </c>
      <c r="ET47" s="739" t="e">
        <f t="shared" si="68"/>
        <v>#REF!</v>
      </c>
      <c r="EU47" s="739" t="e">
        <f t="shared" si="68"/>
        <v>#REF!</v>
      </c>
      <c r="EV47" s="740" t="e">
        <f t="shared" si="68"/>
        <v>#REF!</v>
      </c>
      <c r="EW47" s="438" t="e">
        <f>SUM('общ.сводрайон без курсовой '!C47-#REF!-#REF!)</f>
        <v>#REF!</v>
      </c>
      <c r="EX47" s="438" t="e">
        <f>SUM('общ.сводрайон без курсовой '!D47-#REF!-#REF!)</f>
        <v>#REF!</v>
      </c>
      <c r="EY47" s="438" t="e">
        <f>SUM('общ.сводрайон без курсовой '!E47-#REF!-#REF!)</f>
        <v>#REF!</v>
      </c>
      <c r="EZ47" s="438" t="e">
        <f>SUM('общ.сводрайон без курсовой '!F47-#REF!-#REF!)</f>
        <v>#REF!</v>
      </c>
    </row>
    <row r="48" spans="1:156" s="439" customFormat="1" ht="18.95" customHeight="1">
      <c r="A48" s="440">
        <v>34</v>
      </c>
      <c r="B48" s="441" t="s">
        <v>33</v>
      </c>
      <c r="C48" s="425">
        <f>1913608+4525</f>
        <v>1918133</v>
      </c>
      <c r="D48" s="428">
        <v>115117</v>
      </c>
      <c r="E48" s="428">
        <v>127639</v>
      </c>
      <c r="F48" s="428">
        <f t="shared" si="51"/>
        <v>1905611</v>
      </c>
      <c r="G48" s="428">
        <v>1149</v>
      </c>
      <c r="H48" s="453"/>
      <c r="I48" s="425">
        <v>0</v>
      </c>
      <c r="J48" s="428"/>
      <c r="K48" s="428"/>
      <c r="L48" s="428">
        <f t="shared" si="52"/>
        <v>0</v>
      </c>
      <c r="M48" s="508"/>
      <c r="N48" s="453"/>
      <c r="O48" s="425">
        <v>619900</v>
      </c>
      <c r="P48" s="428">
        <v>0</v>
      </c>
      <c r="Q48" s="428">
        <v>33854</v>
      </c>
      <c r="R48" s="428">
        <f t="shared" si="53"/>
        <v>586046</v>
      </c>
      <c r="S48" s="428"/>
      <c r="T48" s="453"/>
      <c r="U48" s="425">
        <f>106261+796</f>
        <v>107057</v>
      </c>
      <c r="V48" s="428"/>
      <c r="W48" s="428"/>
      <c r="X48" s="428">
        <f t="shared" si="54"/>
        <v>107057</v>
      </c>
      <c r="Y48" s="428"/>
      <c r="Z48" s="453"/>
      <c r="AA48" s="425">
        <v>43345.23</v>
      </c>
      <c r="AB48" s="428"/>
      <c r="AC48" s="428"/>
      <c r="AD48" s="428">
        <f t="shared" si="55"/>
        <v>43345.23</v>
      </c>
      <c r="AE48" s="428"/>
      <c r="AF48" s="453"/>
      <c r="AG48" s="425">
        <v>0</v>
      </c>
      <c r="AH48" s="428"/>
      <c r="AI48" s="428"/>
      <c r="AJ48" s="428">
        <f t="shared" si="56"/>
        <v>0</v>
      </c>
      <c r="AK48" s="428"/>
      <c r="AL48" s="453"/>
      <c r="AM48" s="425">
        <v>0</v>
      </c>
      <c r="AN48" s="428"/>
      <c r="AO48" s="428"/>
      <c r="AP48" s="428">
        <f t="shared" si="57"/>
        <v>0</v>
      </c>
      <c r="AQ48" s="428"/>
      <c r="AR48" s="453"/>
      <c r="AS48" s="425">
        <v>0</v>
      </c>
      <c r="AT48" s="428">
        <v>0</v>
      </c>
      <c r="AU48" s="428">
        <v>0</v>
      </c>
      <c r="AV48" s="428">
        <f t="shared" si="69"/>
        <v>0</v>
      </c>
      <c r="AW48" s="508">
        <v>0</v>
      </c>
      <c r="AX48" s="453">
        <v>0</v>
      </c>
      <c r="AY48" s="425">
        <v>604098</v>
      </c>
      <c r="AZ48" s="428"/>
      <c r="BA48" s="428">
        <v>36837</v>
      </c>
      <c r="BB48" s="428">
        <f t="shared" si="58"/>
        <v>567261</v>
      </c>
      <c r="BC48" s="428">
        <v>248</v>
      </c>
      <c r="BD48" s="453"/>
      <c r="BE48" s="425">
        <f>189105-94929</f>
        <v>94176</v>
      </c>
      <c r="BF48" s="428"/>
      <c r="BG48" s="428"/>
      <c r="BH48" s="529">
        <f t="shared" si="59"/>
        <v>94176</v>
      </c>
      <c r="BI48" s="83">
        <v>596</v>
      </c>
      <c r="BJ48" s="626"/>
      <c r="BK48" s="425">
        <v>115275</v>
      </c>
      <c r="BL48" s="428" t="e">
        <f>SUM(#REF!)</f>
        <v>#REF!</v>
      </c>
      <c r="BM48" s="428" t="e">
        <f>SUM(#REF!)</f>
        <v>#REF!</v>
      </c>
      <c r="BN48" s="428" t="e">
        <f t="shared" si="60"/>
        <v>#REF!</v>
      </c>
      <c r="BO48" s="428" t="e">
        <f>SUM(#REF!)</f>
        <v>#REF!</v>
      </c>
      <c r="BP48" s="428" t="e">
        <f>SUM(#REF!)</f>
        <v>#REF!</v>
      </c>
      <c r="BQ48" s="741">
        <f t="shared" si="61"/>
        <v>3501984.23</v>
      </c>
      <c r="BR48" s="741" t="e">
        <f t="shared" si="61"/>
        <v>#REF!</v>
      </c>
      <c r="BS48" s="741" t="e">
        <f t="shared" si="61"/>
        <v>#REF!</v>
      </c>
      <c r="BT48" s="741" t="e">
        <f t="shared" si="61"/>
        <v>#REF!</v>
      </c>
      <c r="BU48" s="562" t="e">
        <f t="shared" si="61"/>
        <v>#REF!</v>
      </c>
      <c r="BV48" s="676" t="e">
        <f t="shared" si="61"/>
        <v>#REF!</v>
      </c>
      <c r="BW48" s="425"/>
      <c r="BX48" s="428"/>
      <c r="BY48" s="428"/>
      <c r="BZ48" s="428"/>
      <c r="CA48" s="429">
        <f t="shared" si="62"/>
        <v>0</v>
      </c>
      <c r="CB48" s="430"/>
      <c r="CC48" s="425"/>
      <c r="CD48" s="428"/>
      <c r="CE48" s="428"/>
      <c r="CF48" s="428"/>
      <c r="CG48" s="428"/>
      <c r="CH48" s="453"/>
      <c r="CI48" s="436">
        <v>0</v>
      </c>
      <c r="CJ48" s="428"/>
      <c r="CK48" s="428"/>
      <c r="CL48" s="428">
        <f t="shared" si="70"/>
        <v>0</v>
      </c>
      <c r="CM48" s="454"/>
      <c r="CN48" s="460"/>
      <c r="CO48" s="425"/>
      <c r="CP48" s="428"/>
      <c r="CQ48" s="428"/>
      <c r="CR48" s="428">
        <f t="shared" si="64"/>
        <v>0</v>
      </c>
      <c r="CS48" s="428"/>
      <c r="CT48" s="453"/>
      <c r="CU48" s="425"/>
      <c r="CV48" s="428"/>
      <c r="CW48" s="428"/>
      <c r="CX48" s="428"/>
      <c r="CY48" s="428"/>
      <c r="CZ48" s="632"/>
      <c r="DA48" s="726">
        <v>0</v>
      </c>
      <c r="DB48" s="9"/>
      <c r="DC48" s="9"/>
      <c r="DD48" s="9">
        <f t="shared" si="65"/>
        <v>0</v>
      </c>
      <c r="DE48" s="9"/>
      <c r="DF48" s="727"/>
      <c r="DG48" s="472"/>
      <c r="DH48" s="472"/>
      <c r="DI48" s="472"/>
      <c r="DJ48" s="472"/>
      <c r="DK48" s="472"/>
      <c r="DL48" s="472"/>
      <c r="DM48" s="703"/>
      <c r="DN48" s="428"/>
      <c r="DO48" s="428"/>
      <c r="DP48" s="428"/>
      <c r="DQ48" s="428"/>
      <c r="DR48" s="704"/>
      <c r="DS48" s="617"/>
      <c r="DT48" s="617"/>
      <c r="DU48" s="617"/>
      <c r="DV48" s="617"/>
      <c r="DW48" s="617"/>
      <c r="DX48" s="617"/>
      <c r="DY48" s="668">
        <v>65442</v>
      </c>
      <c r="DZ48" s="669"/>
      <c r="EA48" s="669">
        <v>6561</v>
      </c>
      <c r="EB48" s="428">
        <f t="shared" si="66"/>
        <v>58881</v>
      </c>
      <c r="EC48" s="428">
        <v>53</v>
      </c>
      <c r="ED48" s="453"/>
      <c r="EE48" s="587"/>
      <c r="EF48" s="437"/>
      <c r="EG48" s="437"/>
      <c r="EH48" s="437"/>
      <c r="EI48" s="437"/>
      <c r="EJ48" s="453"/>
      <c r="EK48" s="688">
        <f t="shared" si="67"/>
        <v>65442</v>
      </c>
      <c r="EL48" s="688">
        <f t="shared" si="67"/>
        <v>0</v>
      </c>
      <c r="EM48" s="688">
        <f t="shared" si="67"/>
        <v>6561</v>
      </c>
      <c r="EN48" s="688">
        <f t="shared" si="67"/>
        <v>58881</v>
      </c>
      <c r="EO48" s="688">
        <f t="shared" si="67"/>
        <v>53</v>
      </c>
      <c r="EP48" s="687">
        <f t="shared" si="67"/>
        <v>0</v>
      </c>
      <c r="EQ48" s="739">
        <f t="shared" si="68"/>
        <v>3567426.23</v>
      </c>
      <c r="ER48" s="739" t="e">
        <f t="shared" si="68"/>
        <v>#REF!</v>
      </c>
      <c r="ES48" s="739" t="e">
        <f t="shared" si="68"/>
        <v>#REF!</v>
      </c>
      <c r="ET48" s="739" t="e">
        <f t="shared" si="68"/>
        <v>#REF!</v>
      </c>
      <c r="EU48" s="739" t="e">
        <f t="shared" si="68"/>
        <v>#REF!</v>
      </c>
      <c r="EV48" s="740" t="e">
        <f t="shared" si="68"/>
        <v>#REF!</v>
      </c>
      <c r="EW48" s="438" t="e">
        <f>SUM('общ.сводрайон без курсовой '!C48-#REF!-#REF!)</f>
        <v>#REF!</v>
      </c>
      <c r="EX48" s="438" t="e">
        <f>SUM('общ.сводрайон без курсовой '!D48-#REF!-#REF!)</f>
        <v>#REF!</v>
      </c>
      <c r="EY48" s="438" t="e">
        <f>SUM('общ.сводрайон без курсовой '!E48-#REF!-#REF!)</f>
        <v>#REF!</v>
      </c>
      <c r="EZ48" s="438" t="e">
        <f>SUM('общ.сводрайон без курсовой '!F48-#REF!-#REF!)</f>
        <v>#REF!</v>
      </c>
    </row>
    <row r="49" spans="1:183" s="439" customFormat="1" ht="18.95" customHeight="1">
      <c r="A49" s="440">
        <f>A48+1</f>
        <v>35</v>
      </c>
      <c r="B49" s="441" t="s">
        <v>34</v>
      </c>
      <c r="C49" s="425">
        <f>1368341+1689</f>
        <v>1370030</v>
      </c>
      <c r="D49" s="428">
        <v>257420</v>
      </c>
      <c r="E49" s="428">
        <v>137781</v>
      </c>
      <c r="F49" s="428">
        <f t="shared" si="51"/>
        <v>1489669</v>
      </c>
      <c r="G49" s="428">
        <v>647</v>
      </c>
      <c r="H49" s="453"/>
      <c r="I49" s="425">
        <v>0</v>
      </c>
      <c r="J49" s="428"/>
      <c r="K49" s="428"/>
      <c r="L49" s="428">
        <f t="shared" si="52"/>
        <v>0</v>
      </c>
      <c r="M49" s="508"/>
      <c r="N49" s="453"/>
      <c r="O49" s="425">
        <v>935045</v>
      </c>
      <c r="P49" s="428">
        <v>16500</v>
      </c>
      <c r="Q49" s="428">
        <v>9220</v>
      </c>
      <c r="R49" s="428">
        <f t="shared" si="53"/>
        <v>942325</v>
      </c>
      <c r="S49" s="428"/>
      <c r="T49" s="453"/>
      <c r="U49" s="425">
        <v>0</v>
      </c>
      <c r="V49" s="428"/>
      <c r="W49" s="428"/>
      <c r="X49" s="428">
        <f t="shared" si="54"/>
        <v>0</v>
      </c>
      <c r="Y49" s="428"/>
      <c r="Z49" s="453"/>
      <c r="AA49" s="425">
        <v>6364</v>
      </c>
      <c r="AB49" s="428"/>
      <c r="AC49" s="428"/>
      <c r="AD49" s="428">
        <f t="shared" si="55"/>
        <v>6364</v>
      </c>
      <c r="AE49" s="428"/>
      <c r="AF49" s="453"/>
      <c r="AG49" s="425">
        <v>0</v>
      </c>
      <c r="AH49" s="428"/>
      <c r="AI49" s="428"/>
      <c r="AJ49" s="428">
        <f t="shared" si="56"/>
        <v>0</v>
      </c>
      <c r="AK49" s="428"/>
      <c r="AL49" s="453"/>
      <c r="AM49" s="425">
        <v>0</v>
      </c>
      <c r="AN49" s="428"/>
      <c r="AO49" s="428"/>
      <c r="AP49" s="428">
        <f t="shared" si="57"/>
        <v>0</v>
      </c>
      <c r="AQ49" s="428"/>
      <c r="AR49" s="453"/>
      <c r="AS49" s="425">
        <v>0</v>
      </c>
      <c r="AT49" s="428">
        <v>0</v>
      </c>
      <c r="AU49" s="428">
        <v>0</v>
      </c>
      <c r="AV49" s="428">
        <f t="shared" si="69"/>
        <v>0</v>
      </c>
      <c r="AW49" s="508">
        <v>0</v>
      </c>
      <c r="AX49" s="453">
        <v>0</v>
      </c>
      <c r="AY49" s="425">
        <v>1657601</v>
      </c>
      <c r="AZ49" s="428"/>
      <c r="BA49" s="428">
        <v>111460</v>
      </c>
      <c r="BB49" s="428">
        <f t="shared" si="58"/>
        <v>1546141</v>
      </c>
      <c r="BC49" s="428">
        <v>1404</v>
      </c>
      <c r="BD49" s="453"/>
      <c r="BE49" s="425">
        <v>0</v>
      </c>
      <c r="BF49" s="428"/>
      <c r="BG49" s="428"/>
      <c r="BH49" s="428">
        <f t="shared" si="59"/>
        <v>0</v>
      </c>
      <c r="BI49" s="83"/>
      <c r="BJ49" s="626"/>
      <c r="BK49" s="425">
        <v>63645.63</v>
      </c>
      <c r="BL49" s="428" t="e">
        <f>SUM(#REF!)</f>
        <v>#REF!</v>
      </c>
      <c r="BM49" s="428" t="e">
        <f>SUM(#REF!)</f>
        <v>#REF!</v>
      </c>
      <c r="BN49" s="428" t="e">
        <f t="shared" si="60"/>
        <v>#REF!</v>
      </c>
      <c r="BO49" s="428" t="e">
        <f>SUM(#REF!)</f>
        <v>#REF!</v>
      </c>
      <c r="BP49" s="428" t="e">
        <f>SUM(#REF!)</f>
        <v>#REF!</v>
      </c>
      <c r="BQ49" s="741">
        <f t="shared" si="61"/>
        <v>4032685.63</v>
      </c>
      <c r="BR49" s="741" t="e">
        <f t="shared" si="61"/>
        <v>#REF!</v>
      </c>
      <c r="BS49" s="741" t="e">
        <f t="shared" si="61"/>
        <v>#REF!</v>
      </c>
      <c r="BT49" s="741" t="e">
        <f t="shared" si="61"/>
        <v>#REF!</v>
      </c>
      <c r="BU49" s="562" t="e">
        <f t="shared" si="61"/>
        <v>#REF!</v>
      </c>
      <c r="BV49" s="676" t="e">
        <f t="shared" si="61"/>
        <v>#REF!</v>
      </c>
      <c r="BW49" s="425"/>
      <c r="BX49" s="428"/>
      <c r="BY49" s="428"/>
      <c r="BZ49" s="428"/>
      <c r="CA49" s="429">
        <f t="shared" si="62"/>
        <v>0</v>
      </c>
      <c r="CB49" s="430"/>
      <c r="CC49" s="425"/>
      <c r="CD49" s="428"/>
      <c r="CE49" s="428"/>
      <c r="CF49" s="428"/>
      <c r="CG49" s="428"/>
      <c r="CH49" s="453"/>
      <c r="CI49" s="436">
        <v>0</v>
      </c>
      <c r="CJ49" s="428"/>
      <c r="CK49" s="428"/>
      <c r="CL49" s="428">
        <f t="shared" si="70"/>
        <v>0</v>
      </c>
      <c r="CM49" s="454"/>
      <c r="CN49" s="460"/>
      <c r="CO49" s="425"/>
      <c r="CP49" s="428"/>
      <c r="CQ49" s="428"/>
      <c r="CR49" s="428">
        <f t="shared" si="64"/>
        <v>0</v>
      </c>
      <c r="CS49" s="428"/>
      <c r="CT49" s="453"/>
      <c r="CU49" s="425"/>
      <c r="CV49" s="428"/>
      <c r="CW49" s="428"/>
      <c r="CX49" s="428"/>
      <c r="CY49" s="428"/>
      <c r="CZ49" s="632"/>
      <c r="DA49" s="726">
        <v>0</v>
      </c>
      <c r="DB49" s="9"/>
      <c r="DC49" s="9"/>
      <c r="DD49" s="9">
        <f t="shared" si="65"/>
        <v>0</v>
      </c>
      <c r="DE49" s="9"/>
      <c r="DF49" s="727"/>
      <c r="DG49" s="472"/>
      <c r="DH49" s="472"/>
      <c r="DI49" s="472"/>
      <c r="DJ49" s="472"/>
      <c r="DK49" s="472"/>
      <c r="DL49" s="472"/>
      <c r="DM49" s="703"/>
      <c r="DN49" s="428"/>
      <c r="DO49" s="428"/>
      <c r="DP49" s="428"/>
      <c r="DQ49" s="428"/>
      <c r="DR49" s="704"/>
      <c r="DS49" s="617"/>
      <c r="DT49" s="617"/>
      <c r="DU49" s="617"/>
      <c r="DV49" s="617"/>
      <c r="DW49" s="617"/>
      <c r="DX49" s="617"/>
      <c r="DY49" s="668">
        <v>0</v>
      </c>
      <c r="DZ49" s="669"/>
      <c r="EA49" s="669"/>
      <c r="EB49" s="428">
        <f t="shared" si="66"/>
        <v>0</v>
      </c>
      <c r="EC49" s="428"/>
      <c r="ED49" s="453"/>
      <c r="EE49" s="587"/>
      <c r="EF49" s="437"/>
      <c r="EG49" s="437"/>
      <c r="EH49" s="437"/>
      <c r="EI49" s="437"/>
      <c r="EJ49" s="453"/>
      <c r="EK49" s="688">
        <f t="shared" si="67"/>
        <v>0</v>
      </c>
      <c r="EL49" s="688">
        <f t="shared" si="67"/>
        <v>0</v>
      </c>
      <c r="EM49" s="688">
        <f t="shared" si="67"/>
        <v>0</v>
      </c>
      <c r="EN49" s="688">
        <f t="shared" si="67"/>
        <v>0</v>
      </c>
      <c r="EO49" s="688">
        <f t="shared" si="67"/>
        <v>0</v>
      </c>
      <c r="EP49" s="687">
        <f t="shared" si="67"/>
        <v>0</v>
      </c>
      <c r="EQ49" s="739">
        <f t="shared" si="68"/>
        <v>4032685.63</v>
      </c>
      <c r="ER49" s="739" t="e">
        <f t="shared" si="68"/>
        <v>#REF!</v>
      </c>
      <c r="ES49" s="739" t="e">
        <f t="shared" si="68"/>
        <v>#REF!</v>
      </c>
      <c r="ET49" s="739" t="e">
        <f t="shared" si="68"/>
        <v>#REF!</v>
      </c>
      <c r="EU49" s="739" t="e">
        <f t="shared" si="68"/>
        <v>#REF!</v>
      </c>
      <c r="EV49" s="740" t="e">
        <f t="shared" si="68"/>
        <v>#REF!</v>
      </c>
      <c r="EW49" s="438" t="e">
        <f>SUM('общ.сводрайон без курсовой '!C49-#REF!-#REF!)</f>
        <v>#REF!</v>
      </c>
      <c r="EX49" s="438" t="e">
        <f>SUM('общ.сводрайон без курсовой '!D49-#REF!-#REF!)</f>
        <v>#REF!</v>
      </c>
      <c r="EY49" s="438" t="e">
        <f>SUM('общ.сводрайон без курсовой '!E49-#REF!-#REF!)</f>
        <v>#REF!</v>
      </c>
      <c r="EZ49" s="438" t="e">
        <f>SUM('общ.сводрайон без курсовой '!F49-#REF!-#REF!)</f>
        <v>#REF!</v>
      </c>
    </row>
    <row r="50" spans="1:183" s="439" customFormat="1" ht="18.95" customHeight="1">
      <c r="A50" s="440">
        <f>A49+1</f>
        <v>36</v>
      </c>
      <c r="B50" s="441" t="s">
        <v>96</v>
      </c>
      <c r="C50" s="425">
        <f>4987354+26799</f>
        <v>5014153</v>
      </c>
      <c r="D50" s="428">
        <v>770989</v>
      </c>
      <c r="E50" s="428">
        <v>619635</v>
      </c>
      <c r="F50" s="428">
        <f t="shared" si="51"/>
        <v>5165507</v>
      </c>
      <c r="G50" s="428">
        <v>3480</v>
      </c>
      <c r="H50" s="453"/>
      <c r="I50" s="425">
        <v>1845600</v>
      </c>
      <c r="J50" s="428">
        <v>38500</v>
      </c>
      <c r="K50" s="428">
        <v>85000</v>
      </c>
      <c r="L50" s="428">
        <f t="shared" si="52"/>
        <v>1799100</v>
      </c>
      <c r="M50" s="508">
        <v>0</v>
      </c>
      <c r="N50" s="453"/>
      <c r="O50" s="425">
        <v>2346405</v>
      </c>
      <c r="P50" s="428">
        <v>293400</v>
      </c>
      <c r="Q50" s="428">
        <v>156321</v>
      </c>
      <c r="R50" s="428">
        <f t="shared" si="53"/>
        <v>2483484</v>
      </c>
      <c r="S50" s="428"/>
      <c r="T50" s="453"/>
      <c r="U50" s="425">
        <f>8250843+56466</f>
        <v>8307309</v>
      </c>
      <c r="V50" s="529">
        <v>1143067.5</v>
      </c>
      <c r="W50" s="428">
        <v>675585.41</v>
      </c>
      <c r="X50" s="428">
        <f t="shared" si="54"/>
        <v>8774791.0899999999</v>
      </c>
      <c r="Y50" s="428">
        <v>3269</v>
      </c>
      <c r="Z50" s="453"/>
      <c r="AA50" s="425">
        <f>945916+150</f>
        <v>946066</v>
      </c>
      <c r="AB50" s="428">
        <v>158465.5</v>
      </c>
      <c r="AC50" s="428">
        <v>78445.234805</v>
      </c>
      <c r="AD50" s="428">
        <f t="shared" si="55"/>
        <v>1026086.265195</v>
      </c>
      <c r="AE50" s="428">
        <v>383</v>
      </c>
      <c r="AF50" s="453"/>
      <c r="AG50" s="425">
        <v>0</v>
      </c>
      <c r="AH50" s="428"/>
      <c r="AI50" s="428"/>
      <c r="AJ50" s="428">
        <f t="shared" si="56"/>
        <v>0</v>
      </c>
      <c r="AK50" s="428"/>
      <c r="AL50" s="453"/>
      <c r="AM50" s="425">
        <v>0</v>
      </c>
      <c r="AN50" s="428"/>
      <c r="AO50" s="428"/>
      <c r="AP50" s="428">
        <f t="shared" si="57"/>
        <v>0</v>
      </c>
      <c r="AQ50" s="428"/>
      <c r="AR50" s="453"/>
      <c r="AS50" s="425">
        <v>0</v>
      </c>
      <c r="AT50" s="428">
        <v>0</v>
      </c>
      <c r="AU50" s="428">
        <v>0</v>
      </c>
      <c r="AV50" s="428">
        <f t="shared" si="69"/>
        <v>0</v>
      </c>
      <c r="AW50" s="508">
        <v>0</v>
      </c>
      <c r="AX50" s="453">
        <v>0</v>
      </c>
      <c r="AY50" s="425">
        <f>2624558+580</f>
        <v>2625138</v>
      </c>
      <c r="AZ50" s="428">
        <v>13871</v>
      </c>
      <c r="BA50" s="428">
        <v>292130</v>
      </c>
      <c r="BB50" s="428">
        <f t="shared" si="58"/>
        <v>2346879</v>
      </c>
      <c r="BC50" s="428">
        <v>1673</v>
      </c>
      <c r="BD50" s="453"/>
      <c r="BE50" s="425">
        <f>448011-34558</f>
        <v>413453</v>
      </c>
      <c r="BF50" s="428">
        <v>10403</v>
      </c>
      <c r="BG50" s="428">
        <v>7975</v>
      </c>
      <c r="BH50" s="428">
        <f t="shared" si="59"/>
        <v>415881</v>
      </c>
      <c r="BI50" s="83">
        <v>7275</v>
      </c>
      <c r="BJ50" s="626">
        <v>-1200</v>
      </c>
      <c r="BK50" s="425">
        <v>5271468.47</v>
      </c>
      <c r="BL50" s="428" t="e">
        <f>SUM(#REF!)</f>
        <v>#REF!</v>
      </c>
      <c r="BM50" s="428" t="e">
        <f>SUM(#REF!)</f>
        <v>#REF!</v>
      </c>
      <c r="BN50" s="428" t="e">
        <f t="shared" si="60"/>
        <v>#REF!</v>
      </c>
      <c r="BO50" s="428" t="e">
        <f>SUM(#REF!)</f>
        <v>#REF!</v>
      </c>
      <c r="BP50" s="428" t="e">
        <f>SUM(#REF!)</f>
        <v>#REF!</v>
      </c>
      <c r="BQ50" s="741">
        <f t="shared" si="61"/>
        <v>26769592.469999999</v>
      </c>
      <c r="BR50" s="741" t="e">
        <f t="shared" si="61"/>
        <v>#REF!</v>
      </c>
      <c r="BS50" s="741" t="e">
        <f t="shared" si="61"/>
        <v>#REF!</v>
      </c>
      <c r="BT50" s="741" t="e">
        <f t="shared" si="61"/>
        <v>#REF!</v>
      </c>
      <c r="BU50" s="562" t="e">
        <f t="shared" si="61"/>
        <v>#REF!</v>
      </c>
      <c r="BV50" s="676" t="e">
        <f t="shared" si="61"/>
        <v>#REF!</v>
      </c>
      <c r="BW50" s="425"/>
      <c r="BX50" s="428"/>
      <c r="BY50" s="428"/>
      <c r="BZ50" s="428"/>
      <c r="CA50" s="429">
        <f t="shared" si="62"/>
        <v>0</v>
      </c>
      <c r="CB50" s="430"/>
      <c r="CC50" s="425"/>
      <c r="CD50" s="428"/>
      <c r="CE50" s="428"/>
      <c r="CF50" s="428"/>
      <c r="CG50" s="428"/>
      <c r="CH50" s="453"/>
      <c r="CI50" s="436">
        <v>0</v>
      </c>
      <c r="CJ50" s="428"/>
      <c r="CK50" s="428"/>
      <c r="CL50" s="428">
        <f t="shared" si="70"/>
        <v>0</v>
      </c>
      <c r="CM50" s="454"/>
      <c r="CN50" s="460"/>
      <c r="CO50" s="425"/>
      <c r="CP50" s="428"/>
      <c r="CQ50" s="428"/>
      <c r="CR50" s="428">
        <f t="shared" si="64"/>
        <v>0</v>
      </c>
      <c r="CS50" s="428"/>
      <c r="CT50" s="453"/>
      <c r="CU50" s="425">
        <v>1200</v>
      </c>
      <c r="CV50" s="428"/>
      <c r="CW50" s="428"/>
      <c r="CX50" s="428">
        <f>SUM(CU50+CV50-CW50)</f>
        <v>1200</v>
      </c>
      <c r="CY50" s="428"/>
      <c r="CZ50" s="632"/>
      <c r="DA50" s="726">
        <f>154548+157</f>
        <v>154705</v>
      </c>
      <c r="DB50" s="9"/>
      <c r="DC50" s="9">
        <v>100</v>
      </c>
      <c r="DD50" s="9">
        <f t="shared" si="65"/>
        <v>154605</v>
      </c>
      <c r="DE50" s="9">
        <v>21</v>
      </c>
      <c r="DF50" s="727"/>
      <c r="DG50" s="472"/>
      <c r="DH50" s="472"/>
      <c r="DI50" s="472"/>
      <c r="DJ50" s="472"/>
      <c r="DK50" s="472"/>
      <c r="DL50" s="472"/>
      <c r="DM50" s="703"/>
      <c r="DN50" s="428"/>
      <c r="DO50" s="428"/>
      <c r="DP50" s="428"/>
      <c r="DQ50" s="428"/>
      <c r="DR50" s="704"/>
      <c r="DS50" s="617"/>
      <c r="DT50" s="617"/>
      <c r="DU50" s="617"/>
      <c r="DV50" s="617"/>
      <c r="DW50" s="617"/>
      <c r="DX50" s="617"/>
      <c r="DY50" s="668">
        <v>37166643</v>
      </c>
      <c r="DZ50" s="669"/>
      <c r="EA50" s="669"/>
      <c r="EB50" s="428">
        <f t="shared" si="66"/>
        <v>37166643</v>
      </c>
      <c r="EC50" s="428">
        <v>23473</v>
      </c>
      <c r="ED50" s="453"/>
      <c r="EE50" s="587"/>
      <c r="EF50" s="437"/>
      <c r="EG50" s="437"/>
      <c r="EH50" s="437"/>
      <c r="EI50" s="437"/>
      <c r="EJ50" s="453"/>
      <c r="EK50" s="688">
        <f t="shared" si="67"/>
        <v>37322548</v>
      </c>
      <c r="EL50" s="688">
        <f t="shared" si="67"/>
        <v>0</v>
      </c>
      <c r="EM50" s="688">
        <f t="shared" si="67"/>
        <v>100</v>
      </c>
      <c r="EN50" s="688">
        <f t="shared" si="67"/>
        <v>37322448</v>
      </c>
      <c r="EO50" s="688">
        <f t="shared" si="67"/>
        <v>23494</v>
      </c>
      <c r="EP50" s="687">
        <f t="shared" si="67"/>
        <v>0</v>
      </c>
      <c r="EQ50" s="739">
        <f t="shared" si="68"/>
        <v>64092140.469999999</v>
      </c>
      <c r="ER50" s="739" t="e">
        <f t="shared" si="68"/>
        <v>#REF!</v>
      </c>
      <c r="ES50" s="739" t="e">
        <f t="shared" si="68"/>
        <v>#REF!</v>
      </c>
      <c r="ET50" s="739" t="e">
        <f t="shared" si="68"/>
        <v>#REF!</v>
      </c>
      <c r="EU50" s="739" t="e">
        <f t="shared" si="68"/>
        <v>#REF!</v>
      </c>
      <c r="EV50" s="740" t="e">
        <f t="shared" si="68"/>
        <v>#REF!</v>
      </c>
      <c r="EW50" s="438" t="e">
        <f>SUM('общ.сводрайон без курсовой '!C50-#REF!-#REF!)</f>
        <v>#REF!</v>
      </c>
      <c r="EX50" s="438" t="e">
        <f>SUM('общ.сводрайон без курсовой '!D50-#REF!-#REF!)</f>
        <v>#REF!</v>
      </c>
      <c r="EY50" s="438" t="e">
        <f>SUM('общ.сводрайон без курсовой '!E50-#REF!-#REF!)</f>
        <v>#REF!</v>
      </c>
      <c r="EZ50" s="438" t="e">
        <f>SUM('общ.сводрайон без курсовой '!F50-#REF!-#REF!)</f>
        <v>#REF!</v>
      </c>
    </row>
    <row r="51" spans="1:183" s="439" customFormat="1" ht="18.95" customHeight="1">
      <c r="A51" s="440">
        <f>A50+1</f>
        <v>37</v>
      </c>
      <c r="B51" s="441" t="s">
        <v>35</v>
      </c>
      <c r="C51" s="425">
        <f>1661293+5474</f>
        <v>1666767</v>
      </c>
      <c r="D51" s="428">
        <v>56524</v>
      </c>
      <c r="E51" s="428">
        <v>25867</v>
      </c>
      <c r="F51" s="428">
        <f t="shared" si="51"/>
        <v>1697424</v>
      </c>
      <c r="G51" s="428">
        <v>844</v>
      </c>
      <c r="H51" s="453"/>
      <c r="I51" s="425">
        <v>0</v>
      </c>
      <c r="J51" s="428"/>
      <c r="K51" s="428"/>
      <c r="L51" s="428">
        <f t="shared" si="52"/>
        <v>0</v>
      </c>
      <c r="M51" s="508"/>
      <c r="N51" s="453"/>
      <c r="O51" s="425">
        <v>564218</v>
      </c>
      <c r="P51" s="428">
        <v>11000</v>
      </c>
      <c r="Q51" s="428">
        <v>1148</v>
      </c>
      <c r="R51" s="428">
        <f t="shared" si="53"/>
        <v>574070</v>
      </c>
      <c r="S51" s="428"/>
      <c r="T51" s="453"/>
      <c r="U51" s="425">
        <v>0</v>
      </c>
      <c r="V51" s="428"/>
      <c r="W51" s="428"/>
      <c r="X51" s="428">
        <f t="shared" si="54"/>
        <v>0</v>
      </c>
      <c r="Y51" s="428"/>
      <c r="Z51" s="453"/>
      <c r="AA51" s="425">
        <v>0</v>
      </c>
      <c r="AB51" s="428"/>
      <c r="AC51" s="428"/>
      <c r="AD51" s="428">
        <f t="shared" si="55"/>
        <v>0</v>
      </c>
      <c r="AE51" s="428"/>
      <c r="AF51" s="453"/>
      <c r="AG51" s="425">
        <v>0</v>
      </c>
      <c r="AH51" s="428"/>
      <c r="AI51" s="428"/>
      <c r="AJ51" s="428">
        <f t="shared" si="56"/>
        <v>0</v>
      </c>
      <c r="AK51" s="428"/>
      <c r="AL51" s="453"/>
      <c r="AM51" s="425">
        <v>0</v>
      </c>
      <c r="AN51" s="428"/>
      <c r="AO51" s="428"/>
      <c r="AP51" s="428">
        <f t="shared" si="57"/>
        <v>0</v>
      </c>
      <c r="AQ51" s="428"/>
      <c r="AR51" s="453"/>
      <c r="AS51" s="425">
        <v>0</v>
      </c>
      <c r="AT51" s="428">
        <v>0</v>
      </c>
      <c r="AU51" s="428">
        <v>0</v>
      </c>
      <c r="AV51" s="428">
        <f t="shared" si="69"/>
        <v>0</v>
      </c>
      <c r="AW51" s="508">
        <v>0</v>
      </c>
      <c r="AX51" s="453">
        <v>0</v>
      </c>
      <c r="AY51" s="425">
        <v>1185599</v>
      </c>
      <c r="AZ51" s="428"/>
      <c r="BA51" s="428">
        <v>65092</v>
      </c>
      <c r="BB51" s="428">
        <f t="shared" si="58"/>
        <v>1120507</v>
      </c>
      <c r="BC51" s="428">
        <v>860</v>
      </c>
      <c r="BD51" s="453"/>
      <c r="BE51" s="425">
        <f>108165+42232</f>
        <v>150397</v>
      </c>
      <c r="BF51" s="428"/>
      <c r="BG51" s="428"/>
      <c r="BH51" s="428">
        <f t="shared" si="59"/>
        <v>150397</v>
      </c>
      <c r="BI51" s="83">
        <v>122</v>
      </c>
      <c r="BJ51" s="626">
        <v>-220</v>
      </c>
      <c r="BK51" s="425">
        <v>103684</v>
      </c>
      <c r="BL51" s="428" t="e">
        <f>SUM(#REF!)</f>
        <v>#REF!</v>
      </c>
      <c r="BM51" s="428" t="e">
        <f>SUM(#REF!)</f>
        <v>#REF!</v>
      </c>
      <c r="BN51" s="428" t="e">
        <f t="shared" si="60"/>
        <v>#REF!</v>
      </c>
      <c r="BO51" s="428" t="e">
        <f>SUM(#REF!)</f>
        <v>#REF!</v>
      </c>
      <c r="BP51" s="428" t="e">
        <f>SUM(#REF!)</f>
        <v>#REF!</v>
      </c>
      <c r="BQ51" s="741">
        <f t="shared" si="61"/>
        <v>3670665</v>
      </c>
      <c r="BR51" s="741" t="e">
        <f t="shared" si="61"/>
        <v>#REF!</v>
      </c>
      <c r="BS51" s="741" t="e">
        <f t="shared" si="61"/>
        <v>#REF!</v>
      </c>
      <c r="BT51" s="741" t="e">
        <f t="shared" si="61"/>
        <v>#REF!</v>
      </c>
      <c r="BU51" s="562" t="e">
        <f t="shared" si="61"/>
        <v>#REF!</v>
      </c>
      <c r="BV51" s="676" t="e">
        <f t="shared" si="61"/>
        <v>#REF!</v>
      </c>
      <c r="BW51" s="425"/>
      <c r="BX51" s="428"/>
      <c r="BY51" s="428"/>
      <c r="BZ51" s="428"/>
      <c r="CA51" s="429">
        <f t="shared" si="62"/>
        <v>0</v>
      </c>
      <c r="CB51" s="430"/>
      <c r="CC51" s="425"/>
      <c r="CD51" s="428"/>
      <c r="CE51" s="428"/>
      <c r="CF51" s="428"/>
      <c r="CG51" s="428"/>
      <c r="CH51" s="453"/>
      <c r="CI51" s="436">
        <v>0</v>
      </c>
      <c r="CJ51" s="428"/>
      <c r="CK51" s="428"/>
      <c r="CL51" s="428">
        <f t="shared" si="70"/>
        <v>0</v>
      </c>
      <c r="CM51" s="454"/>
      <c r="CN51" s="460"/>
      <c r="CO51" s="425"/>
      <c r="CP51" s="428"/>
      <c r="CQ51" s="428"/>
      <c r="CR51" s="428">
        <f t="shared" si="64"/>
        <v>0</v>
      </c>
      <c r="CS51" s="428"/>
      <c r="CT51" s="453"/>
      <c r="CU51" s="425"/>
      <c r="CV51" s="428"/>
      <c r="CW51" s="428"/>
      <c r="CX51" s="428"/>
      <c r="CY51" s="428"/>
      <c r="CZ51" s="632"/>
      <c r="DA51" s="726">
        <v>0</v>
      </c>
      <c r="DB51" s="9"/>
      <c r="DC51" s="9"/>
      <c r="DD51" s="9">
        <f t="shared" si="65"/>
        <v>0</v>
      </c>
      <c r="DE51" s="9"/>
      <c r="DF51" s="727"/>
      <c r="DG51" s="472"/>
      <c r="DH51" s="472"/>
      <c r="DI51" s="472"/>
      <c r="DJ51" s="472"/>
      <c r="DK51" s="472"/>
      <c r="DL51" s="472"/>
      <c r="DM51" s="703"/>
      <c r="DN51" s="428"/>
      <c r="DO51" s="428"/>
      <c r="DP51" s="428"/>
      <c r="DQ51" s="428"/>
      <c r="DR51" s="704"/>
      <c r="DS51" s="617"/>
      <c r="DT51" s="617"/>
      <c r="DU51" s="617"/>
      <c r="DV51" s="617"/>
      <c r="DW51" s="617"/>
      <c r="DX51" s="617"/>
      <c r="DY51" s="668">
        <v>0</v>
      </c>
      <c r="DZ51" s="669"/>
      <c r="EA51" s="669"/>
      <c r="EB51" s="428">
        <f t="shared" si="66"/>
        <v>0</v>
      </c>
      <c r="EC51" s="428"/>
      <c r="ED51" s="453"/>
      <c r="EE51" s="587"/>
      <c r="EF51" s="437"/>
      <c r="EG51" s="437"/>
      <c r="EH51" s="437"/>
      <c r="EI51" s="437"/>
      <c r="EJ51" s="453"/>
      <c r="EK51" s="688">
        <f t="shared" si="67"/>
        <v>0</v>
      </c>
      <c r="EL51" s="688">
        <f t="shared" si="67"/>
        <v>0</v>
      </c>
      <c r="EM51" s="688">
        <f t="shared" si="67"/>
        <v>0</v>
      </c>
      <c r="EN51" s="688">
        <f t="shared" si="67"/>
        <v>0</v>
      </c>
      <c r="EO51" s="688">
        <f t="shared" si="67"/>
        <v>0</v>
      </c>
      <c r="EP51" s="687">
        <f t="shared" si="67"/>
        <v>0</v>
      </c>
      <c r="EQ51" s="739">
        <f t="shared" si="68"/>
        <v>3670665</v>
      </c>
      <c r="ER51" s="739" t="e">
        <f t="shared" si="68"/>
        <v>#REF!</v>
      </c>
      <c r="ES51" s="739" t="e">
        <f t="shared" si="68"/>
        <v>#REF!</v>
      </c>
      <c r="ET51" s="739" t="e">
        <f t="shared" si="68"/>
        <v>#REF!</v>
      </c>
      <c r="EU51" s="739" t="e">
        <f t="shared" si="68"/>
        <v>#REF!</v>
      </c>
      <c r="EV51" s="740" t="e">
        <f t="shared" si="68"/>
        <v>#REF!</v>
      </c>
      <c r="EW51" s="438" t="e">
        <f>SUM('общ.сводрайон без курсовой '!C51-#REF!-#REF!)</f>
        <v>#REF!</v>
      </c>
      <c r="EX51" s="438" t="e">
        <f>SUM('общ.сводрайон без курсовой '!D51-#REF!-#REF!)</f>
        <v>#REF!</v>
      </c>
      <c r="EY51" s="438" t="e">
        <f>SUM('общ.сводрайон без курсовой '!E51-#REF!-#REF!)</f>
        <v>#REF!</v>
      </c>
      <c r="EZ51" s="438" t="e">
        <f>SUM('общ.сводрайон без курсовой '!F51-#REF!-#REF!)</f>
        <v>#REF!</v>
      </c>
    </row>
    <row r="52" spans="1:183" s="439" customFormat="1" ht="18.95" customHeight="1">
      <c r="A52" s="440">
        <v>38</v>
      </c>
      <c r="B52" s="441" t="s">
        <v>27</v>
      </c>
      <c r="C52" s="425">
        <f>1309268-32878</f>
        <v>1276390</v>
      </c>
      <c r="D52" s="428">
        <v>270411</v>
      </c>
      <c r="E52" s="428">
        <v>129904</v>
      </c>
      <c r="F52" s="428">
        <f t="shared" si="51"/>
        <v>1416897</v>
      </c>
      <c r="G52" s="428">
        <v>683</v>
      </c>
      <c r="H52" s="453"/>
      <c r="I52" s="425">
        <v>0</v>
      </c>
      <c r="J52" s="428"/>
      <c r="K52" s="428"/>
      <c r="L52" s="428">
        <f t="shared" si="52"/>
        <v>0</v>
      </c>
      <c r="M52" s="508"/>
      <c r="N52" s="453"/>
      <c r="O52" s="425">
        <v>988162</v>
      </c>
      <c r="P52" s="428">
        <v>140300</v>
      </c>
      <c r="Q52" s="428">
        <v>3350</v>
      </c>
      <c r="R52" s="428">
        <f t="shared" si="53"/>
        <v>1125112</v>
      </c>
      <c r="S52" s="428"/>
      <c r="T52" s="453"/>
      <c r="U52" s="425">
        <v>0</v>
      </c>
      <c r="V52" s="428"/>
      <c r="W52" s="428"/>
      <c r="X52" s="428">
        <f t="shared" si="54"/>
        <v>0</v>
      </c>
      <c r="Y52" s="428"/>
      <c r="Z52" s="453"/>
      <c r="AA52" s="654">
        <f>1078138.37</f>
        <v>1078138.3700000001</v>
      </c>
      <c r="AB52" s="428">
        <v>0</v>
      </c>
      <c r="AC52" s="428">
        <f>127956.89+62112.62</f>
        <v>190069.51</v>
      </c>
      <c r="AD52" s="428">
        <f t="shared" si="55"/>
        <v>888068.8600000001</v>
      </c>
      <c r="AE52" s="428"/>
      <c r="AF52" s="453"/>
      <c r="AG52" s="425">
        <v>0</v>
      </c>
      <c r="AH52" s="428"/>
      <c r="AI52" s="428"/>
      <c r="AJ52" s="428">
        <f t="shared" si="56"/>
        <v>0</v>
      </c>
      <c r="AK52" s="428"/>
      <c r="AL52" s="453"/>
      <c r="AM52" s="425">
        <v>0</v>
      </c>
      <c r="AN52" s="428"/>
      <c r="AO52" s="428"/>
      <c r="AP52" s="428">
        <f t="shared" si="57"/>
        <v>0</v>
      </c>
      <c r="AQ52" s="428"/>
      <c r="AR52" s="453"/>
      <c r="AS52" s="425">
        <v>0</v>
      </c>
      <c r="AT52" s="428">
        <v>0</v>
      </c>
      <c r="AU52" s="428">
        <v>0</v>
      </c>
      <c r="AV52" s="428">
        <f t="shared" si="69"/>
        <v>0</v>
      </c>
      <c r="AW52" s="508">
        <v>0</v>
      </c>
      <c r="AX52" s="453">
        <v>0</v>
      </c>
      <c r="AY52" s="425">
        <v>0</v>
      </c>
      <c r="AZ52" s="428"/>
      <c r="BA52" s="428"/>
      <c r="BB52" s="428">
        <f t="shared" si="58"/>
        <v>0</v>
      </c>
      <c r="BC52" s="428"/>
      <c r="BD52" s="453"/>
      <c r="BE52" s="425">
        <v>0</v>
      </c>
      <c r="BF52" s="428"/>
      <c r="BG52" s="428"/>
      <c r="BH52" s="428">
        <f t="shared" si="59"/>
        <v>0</v>
      </c>
      <c r="BI52" s="83"/>
      <c r="BJ52" s="626"/>
      <c r="BK52" s="425">
        <v>0</v>
      </c>
      <c r="BL52" s="428" t="e">
        <f>SUM(#REF!)</f>
        <v>#REF!</v>
      </c>
      <c r="BM52" s="428" t="e">
        <f>SUM(#REF!)</f>
        <v>#REF!</v>
      </c>
      <c r="BN52" s="428" t="e">
        <f t="shared" si="60"/>
        <v>#REF!</v>
      </c>
      <c r="BO52" s="428" t="e">
        <f>SUM(#REF!)</f>
        <v>#REF!</v>
      </c>
      <c r="BP52" s="428" t="e">
        <f>SUM(#REF!)</f>
        <v>#REF!</v>
      </c>
      <c r="BQ52" s="741">
        <f t="shared" si="61"/>
        <v>3342690.37</v>
      </c>
      <c r="BR52" s="741" t="e">
        <f t="shared" si="61"/>
        <v>#REF!</v>
      </c>
      <c r="BS52" s="741" t="e">
        <f t="shared" si="61"/>
        <v>#REF!</v>
      </c>
      <c r="BT52" s="741" t="e">
        <f t="shared" si="61"/>
        <v>#REF!</v>
      </c>
      <c r="BU52" s="562" t="e">
        <f t="shared" si="61"/>
        <v>#REF!</v>
      </c>
      <c r="BV52" s="676" t="e">
        <f t="shared" si="61"/>
        <v>#REF!</v>
      </c>
      <c r="BW52" s="425"/>
      <c r="BX52" s="428"/>
      <c r="BY52" s="428"/>
      <c r="BZ52" s="428"/>
      <c r="CA52" s="429">
        <f t="shared" si="62"/>
        <v>0</v>
      </c>
      <c r="CB52" s="430"/>
      <c r="CC52" s="425"/>
      <c r="CD52" s="428"/>
      <c r="CE52" s="428"/>
      <c r="CF52" s="428"/>
      <c r="CG52" s="428"/>
      <c r="CH52" s="453"/>
      <c r="CI52" s="436">
        <v>0</v>
      </c>
      <c r="CJ52" s="428"/>
      <c r="CK52" s="428"/>
      <c r="CL52" s="428">
        <f t="shared" si="70"/>
        <v>0</v>
      </c>
      <c r="CM52" s="454"/>
      <c r="CN52" s="460"/>
      <c r="CO52" s="425"/>
      <c r="CP52" s="428"/>
      <c r="CQ52" s="428"/>
      <c r="CR52" s="428">
        <f t="shared" si="64"/>
        <v>0</v>
      </c>
      <c r="CS52" s="428"/>
      <c r="CT52" s="453"/>
      <c r="CU52" s="425"/>
      <c r="CV52" s="428"/>
      <c r="CW52" s="428"/>
      <c r="CX52" s="428"/>
      <c r="CY52" s="428"/>
      <c r="CZ52" s="632"/>
      <c r="DA52" s="726">
        <v>0</v>
      </c>
      <c r="DB52" s="9"/>
      <c r="DC52" s="9"/>
      <c r="DD52" s="9">
        <f t="shared" si="65"/>
        <v>0</v>
      </c>
      <c r="DE52" s="9"/>
      <c r="DF52" s="727"/>
      <c r="DG52" s="472"/>
      <c r="DH52" s="472"/>
      <c r="DI52" s="472"/>
      <c r="DJ52" s="472"/>
      <c r="DK52" s="472"/>
      <c r="DL52" s="472"/>
      <c r="DM52" s="703"/>
      <c r="DN52" s="428"/>
      <c r="DO52" s="428"/>
      <c r="DP52" s="428"/>
      <c r="DQ52" s="428"/>
      <c r="DR52" s="704"/>
      <c r="DS52" s="617"/>
      <c r="DT52" s="617"/>
      <c r="DU52" s="617"/>
      <c r="DV52" s="617"/>
      <c r="DW52" s="617"/>
      <c r="DX52" s="617"/>
      <c r="DY52" s="668">
        <v>15665122</v>
      </c>
      <c r="DZ52" s="669">
        <v>1050533</v>
      </c>
      <c r="EA52" s="669">
        <v>259642</v>
      </c>
      <c r="EB52" s="428">
        <f t="shared" si="66"/>
        <v>16456013</v>
      </c>
      <c r="EC52" s="428">
        <v>4856</v>
      </c>
      <c r="ED52" s="453"/>
      <c r="EE52" s="587"/>
      <c r="EF52" s="437"/>
      <c r="EG52" s="437"/>
      <c r="EH52" s="437"/>
      <c r="EI52" s="437"/>
      <c r="EJ52" s="453"/>
      <c r="EK52" s="688">
        <f t="shared" si="67"/>
        <v>15665122</v>
      </c>
      <c r="EL52" s="688">
        <f t="shared" si="67"/>
        <v>1050533</v>
      </c>
      <c r="EM52" s="688">
        <f t="shared" si="67"/>
        <v>259642</v>
      </c>
      <c r="EN52" s="688">
        <f t="shared" si="67"/>
        <v>16456013</v>
      </c>
      <c r="EO52" s="688">
        <f t="shared" si="67"/>
        <v>4856</v>
      </c>
      <c r="EP52" s="687">
        <f t="shared" si="67"/>
        <v>0</v>
      </c>
      <c r="EQ52" s="739">
        <f t="shared" si="68"/>
        <v>19007812.370000001</v>
      </c>
      <c r="ER52" s="739" t="e">
        <f t="shared" si="68"/>
        <v>#REF!</v>
      </c>
      <c r="ES52" s="739" t="e">
        <f t="shared" si="68"/>
        <v>#REF!</v>
      </c>
      <c r="ET52" s="739" t="e">
        <f t="shared" si="68"/>
        <v>#REF!</v>
      </c>
      <c r="EU52" s="739" t="e">
        <f t="shared" si="68"/>
        <v>#REF!</v>
      </c>
      <c r="EV52" s="740" t="e">
        <f t="shared" si="68"/>
        <v>#REF!</v>
      </c>
      <c r="EW52" s="438" t="e">
        <f>SUM('общ.сводрайон без курсовой '!C52-#REF!-#REF!)</f>
        <v>#REF!</v>
      </c>
      <c r="EX52" s="438" t="e">
        <f>SUM('общ.сводрайон без курсовой '!D52-#REF!-#REF!)</f>
        <v>#REF!</v>
      </c>
      <c r="EY52" s="438" t="e">
        <f>SUM('общ.сводрайон без курсовой '!E52-#REF!-#REF!)</f>
        <v>#REF!</v>
      </c>
      <c r="EZ52" s="438" t="e">
        <f>SUM('общ.сводрайон без курсовой '!F52-#REF!-#REF!)</f>
        <v>#REF!</v>
      </c>
    </row>
    <row r="53" spans="1:183" s="439" customFormat="1" ht="18.95" customHeight="1">
      <c r="A53" s="440">
        <v>39</v>
      </c>
      <c r="B53" s="441" t="s">
        <v>38</v>
      </c>
      <c r="C53" s="425">
        <v>0</v>
      </c>
      <c r="D53" s="428">
        <v>0</v>
      </c>
      <c r="E53" s="428">
        <v>0</v>
      </c>
      <c r="F53" s="428">
        <f t="shared" si="51"/>
        <v>0</v>
      </c>
      <c r="G53" s="428">
        <v>0</v>
      </c>
      <c r="H53" s="453"/>
      <c r="I53" s="425">
        <v>0</v>
      </c>
      <c r="J53" s="428"/>
      <c r="K53" s="428"/>
      <c r="L53" s="428">
        <f t="shared" si="52"/>
        <v>0</v>
      </c>
      <c r="M53" s="508"/>
      <c r="N53" s="453"/>
      <c r="O53" s="425">
        <v>483320</v>
      </c>
      <c r="P53" s="428">
        <v>0</v>
      </c>
      <c r="Q53" s="428">
        <v>1390</v>
      </c>
      <c r="R53" s="428">
        <f t="shared" si="53"/>
        <v>481930</v>
      </c>
      <c r="S53" s="428"/>
      <c r="T53" s="453"/>
      <c r="U53" s="425">
        <v>0</v>
      </c>
      <c r="V53" s="428"/>
      <c r="W53" s="428"/>
      <c r="X53" s="428">
        <f t="shared" si="54"/>
        <v>0</v>
      </c>
      <c r="Y53" s="428"/>
      <c r="Z53" s="453"/>
      <c r="AA53" s="425">
        <v>0</v>
      </c>
      <c r="AB53" s="428"/>
      <c r="AC53" s="428"/>
      <c r="AD53" s="428">
        <f t="shared" si="55"/>
        <v>0</v>
      </c>
      <c r="AE53" s="428"/>
      <c r="AF53" s="453"/>
      <c r="AG53" s="425">
        <v>0</v>
      </c>
      <c r="AH53" s="428"/>
      <c r="AI53" s="428"/>
      <c r="AJ53" s="428">
        <f t="shared" si="56"/>
        <v>0</v>
      </c>
      <c r="AK53" s="428"/>
      <c r="AL53" s="453"/>
      <c r="AM53" s="425">
        <v>0</v>
      </c>
      <c r="AN53" s="428"/>
      <c r="AO53" s="428"/>
      <c r="AP53" s="428">
        <f t="shared" si="57"/>
        <v>0</v>
      </c>
      <c r="AQ53" s="428"/>
      <c r="AR53" s="453"/>
      <c r="AS53" s="425">
        <v>0</v>
      </c>
      <c r="AT53" s="428">
        <v>0</v>
      </c>
      <c r="AU53" s="428">
        <v>0</v>
      </c>
      <c r="AV53" s="428">
        <f t="shared" si="69"/>
        <v>0</v>
      </c>
      <c r="AW53" s="508">
        <v>0</v>
      </c>
      <c r="AX53" s="453">
        <v>0</v>
      </c>
      <c r="AY53" s="425">
        <v>0</v>
      </c>
      <c r="AZ53" s="428"/>
      <c r="BA53" s="428"/>
      <c r="BB53" s="428">
        <f t="shared" si="58"/>
        <v>0</v>
      </c>
      <c r="BC53" s="428"/>
      <c r="BD53" s="453"/>
      <c r="BE53" s="425">
        <f>1800+1700</f>
        <v>3500</v>
      </c>
      <c r="BF53" s="428"/>
      <c r="BG53" s="428"/>
      <c r="BH53" s="428">
        <f t="shared" si="59"/>
        <v>3500</v>
      </c>
      <c r="BI53" s="83">
        <v>60</v>
      </c>
      <c r="BJ53" s="626"/>
      <c r="BK53" s="425">
        <v>0</v>
      </c>
      <c r="BL53" s="428" t="e">
        <f>SUM(#REF!)</f>
        <v>#REF!</v>
      </c>
      <c r="BM53" s="428" t="e">
        <f>SUM(#REF!)</f>
        <v>#REF!</v>
      </c>
      <c r="BN53" s="428" t="e">
        <f t="shared" si="60"/>
        <v>#REF!</v>
      </c>
      <c r="BO53" s="428" t="e">
        <f>SUM(#REF!)</f>
        <v>#REF!</v>
      </c>
      <c r="BP53" s="428" t="e">
        <f>SUM(#REF!)</f>
        <v>#REF!</v>
      </c>
      <c r="BQ53" s="741">
        <f t="shared" si="61"/>
        <v>486820</v>
      </c>
      <c r="BR53" s="741" t="e">
        <f t="shared" si="61"/>
        <v>#REF!</v>
      </c>
      <c r="BS53" s="741" t="e">
        <f t="shared" si="61"/>
        <v>#REF!</v>
      </c>
      <c r="BT53" s="741" t="e">
        <f t="shared" si="61"/>
        <v>#REF!</v>
      </c>
      <c r="BU53" s="562" t="e">
        <f t="shared" si="61"/>
        <v>#REF!</v>
      </c>
      <c r="BV53" s="676" t="e">
        <f t="shared" si="61"/>
        <v>#REF!</v>
      </c>
      <c r="BW53" s="425"/>
      <c r="BX53" s="428"/>
      <c r="BY53" s="428"/>
      <c r="BZ53" s="428"/>
      <c r="CA53" s="429">
        <f t="shared" si="62"/>
        <v>0</v>
      </c>
      <c r="CB53" s="430"/>
      <c r="CC53" s="425"/>
      <c r="CD53" s="428"/>
      <c r="CE53" s="428"/>
      <c r="CF53" s="428"/>
      <c r="CG53" s="428"/>
      <c r="CH53" s="453"/>
      <c r="CI53" s="455">
        <v>0</v>
      </c>
      <c r="CJ53" s="456"/>
      <c r="CK53" s="456"/>
      <c r="CL53" s="428">
        <f t="shared" si="70"/>
        <v>0</v>
      </c>
      <c r="CM53" s="457"/>
      <c r="CN53" s="460"/>
      <c r="CO53" s="425"/>
      <c r="CP53" s="428"/>
      <c r="CQ53" s="428"/>
      <c r="CR53" s="428">
        <f t="shared" si="64"/>
        <v>0</v>
      </c>
      <c r="CS53" s="428"/>
      <c r="CT53" s="453"/>
      <c r="CU53" s="425"/>
      <c r="CV53" s="428"/>
      <c r="CW53" s="428"/>
      <c r="CX53" s="428"/>
      <c r="CY53" s="428"/>
      <c r="CZ53" s="632"/>
      <c r="DA53" s="726">
        <v>0</v>
      </c>
      <c r="DB53" s="9"/>
      <c r="DC53" s="9"/>
      <c r="DD53" s="9">
        <f t="shared" si="65"/>
        <v>0</v>
      </c>
      <c r="DE53" s="9"/>
      <c r="DF53" s="727"/>
      <c r="DG53" s="472"/>
      <c r="DH53" s="472"/>
      <c r="DI53" s="472"/>
      <c r="DJ53" s="472"/>
      <c r="DK53" s="472"/>
      <c r="DL53" s="472"/>
      <c r="DM53" s="703"/>
      <c r="DN53" s="428"/>
      <c r="DO53" s="428"/>
      <c r="DP53" s="428"/>
      <c r="DQ53" s="428"/>
      <c r="DR53" s="704"/>
      <c r="DS53" s="617"/>
      <c r="DT53" s="617"/>
      <c r="DU53" s="617"/>
      <c r="DV53" s="617"/>
      <c r="DW53" s="617"/>
      <c r="DX53" s="617"/>
      <c r="DY53" s="668">
        <v>0</v>
      </c>
      <c r="DZ53" s="669"/>
      <c r="EA53" s="669"/>
      <c r="EB53" s="428">
        <f t="shared" si="66"/>
        <v>0</v>
      </c>
      <c r="EC53" s="428"/>
      <c r="ED53" s="453"/>
      <c r="EE53" s="587"/>
      <c r="EF53" s="437"/>
      <c r="EG53" s="437"/>
      <c r="EH53" s="437"/>
      <c r="EI53" s="437"/>
      <c r="EJ53" s="453"/>
      <c r="EK53" s="688">
        <f t="shared" si="67"/>
        <v>0</v>
      </c>
      <c r="EL53" s="688">
        <f t="shared" si="67"/>
        <v>0</v>
      </c>
      <c r="EM53" s="688">
        <f t="shared" si="67"/>
        <v>0</v>
      </c>
      <c r="EN53" s="688">
        <f t="shared" si="67"/>
        <v>0</v>
      </c>
      <c r="EO53" s="688">
        <f t="shared" si="67"/>
        <v>0</v>
      </c>
      <c r="EP53" s="687">
        <f t="shared" si="67"/>
        <v>0</v>
      </c>
      <c r="EQ53" s="739">
        <f t="shared" si="68"/>
        <v>486820</v>
      </c>
      <c r="ER53" s="739" t="e">
        <f t="shared" si="68"/>
        <v>#REF!</v>
      </c>
      <c r="ES53" s="739" t="e">
        <f t="shared" si="68"/>
        <v>#REF!</v>
      </c>
      <c r="ET53" s="739" t="e">
        <f t="shared" si="68"/>
        <v>#REF!</v>
      </c>
      <c r="EU53" s="739" t="e">
        <f t="shared" si="68"/>
        <v>#REF!</v>
      </c>
      <c r="EV53" s="740" t="e">
        <f t="shared" si="68"/>
        <v>#REF!</v>
      </c>
      <c r="EW53" s="438" t="e">
        <f>SUM('общ.сводрайон без курсовой '!C53-#REF!-#REF!)</f>
        <v>#REF!</v>
      </c>
      <c r="EX53" s="438" t="e">
        <f>SUM('общ.сводрайон без курсовой '!D53-#REF!-#REF!)</f>
        <v>#REF!</v>
      </c>
      <c r="EY53" s="438" t="e">
        <f>SUM('общ.сводрайон без курсовой '!E53-#REF!-#REF!)</f>
        <v>#REF!</v>
      </c>
      <c r="EZ53" s="438" t="e">
        <f>SUM('общ.сводрайон без курсовой '!F53-#REF!-#REF!)</f>
        <v>#REF!</v>
      </c>
    </row>
    <row r="54" spans="1:183" s="439" customFormat="1" ht="18.95" customHeight="1">
      <c r="A54" s="440">
        <f>A53+1</f>
        <v>40</v>
      </c>
      <c r="B54" s="441" t="s">
        <v>39</v>
      </c>
      <c r="C54" s="425">
        <f>1051836+4775</f>
        <v>1056611</v>
      </c>
      <c r="D54" s="428">
        <v>195925</v>
      </c>
      <c r="E54" s="428">
        <v>90327</v>
      </c>
      <c r="F54" s="428">
        <f t="shared" si="51"/>
        <v>1162209</v>
      </c>
      <c r="G54" s="428">
        <v>761</v>
      </c>
      <c r="H54" s="453"/>
      <c r="I54" s="425">
        <v>0</v>
      </c>
      <c r="J54" s="428"/>
      <c r="K54" s="428"/>
      <c r="L54" s="428">
        <f t="shared" si="52"/>
        <v>0</v>
      </c>
      <c r="M54" s="508"/>
      <c r="N54" s="453"/>
      <c r="O54" s="425">
        <v>653644</v>
      </c>
      <c r="P54" s="428">
        <v>15000</v>
      </c>
      <c r="Q54" s="428">
        <v>481</v>
      </c>
      <c r="R54" s="428">
        <f t="shared" si="53"/>
        <v>668163</v>
      </c>
      <c r="S54" s="428"/>
      <c r="T54" s="453"/>
      <c r="U54" s="425">
        <v>0</v>
      </c>
      <c r="V54" s="428"/>
      <c r="W54" s="428"/>
      <c r="X54" s="428">
        <f t="shared" si="54"/>
        <v>0</v>
      </c>
      <c r="Y54" s="428"/>
      <c r="Z54" s="453"/>
      <c r="AA54" s="425">
        <v>0</v>
      </c>
      <c r="AB54" s="428"/>
      <c r="AC54" s="428"/>
      <c r="AD54" s="428">
        <f t="shared" si="55"/>
        <v>0</v>
      </c>
      <c r="AE54" s="428"/>
      <c r="AF54" s="453"/>
      <c r="AG54" s="425">
        <v>0</v>
      </c>
      <c r="AH54" s="428"/>
      <c r="AI54" s="428"/>
      <c r="AJ54" s="428">
        <f t="shared" si="56"/>
        <v>0</v>
      </c>
      <c r="AK54" s="428"/>
      <c r="AL54" s="453"/>
      <c r="AM54" s="425">
        <v>0</v>
      </c>
      <c r="AN54" s="428"/>
      <c r="AO54" s="428"/>
      <c r="AP54" s="428">
        <f t="shared" si="57"/>
        <v>0</v>
      </c>
      <c r="AQ54" s="428"/>
      <c r="AR54" s="453"/>
      <c r="AS54" s="425">
        <v>0</v>
      </c>
      <c r="AT54" s="428">
        <v>0</v>
      </c>
      <c r="AU54" s="428">
        <v>0</v>
      </c>
      <c r="AV54" s="428">
        <f t="shared" si="69"/>
        <v>0</v>
      </c>
      <c r="AW54" s="508">
        <v>0</v>
      </c>
      <c r="AX54" s="453">
        <v>0</v>
      </c>
      <c r="AY54" s="425">
        <v>0</v>
      </c>
      <c r="AZ54" s="428"/>
      <c r="BA54" s="428"/>
      <c r="BB54" s="428">
        <f t="shared" si="58"/>
        <v>0</v>
      </c>
      <c r="BC54" s="428"/>
      <c r="BD54" s="453"/>
      <c r="BE54" s="425">
        <v>73258</v>
      </c>
      <c r="BF54" s="428"/>
      <c r="BG54" s="428"/>
      <c r="BH54" s="428">
        <f t="shared" si="59"/>
        <v>73258</v>
      </c>
      <c r="BI54" s="83"/>
      <c r="BJ54" s="626">
        <v>-254</v>
      </c>
      <c r="BK54" s="425">
        <v>0</v>
      </c>
      <c r="BL54" s="428" t="e">
        <f>SUM(#REF!)</f>
        <v>#REF!</v>
      </c>
      <c r="BM54" s="428" t="e">
        <f>SUM(#REF!)</f>
        <v>#REF!</v>
      </c>
      <c r="BN54" s="428" t="e">
        <f t="shared" si="60"/>
        <v>#REF!</v>
      </c>
      <c r="BO54" s="428" t="e">
        <f>SUM(#REF!)</f>
        <v>#REF!</v>
      </c>
      <c r="BP54" s="428" t="e">
        <f>SUM(#REF!)</f>
        <v>#REF!</v>
      </c>
      <c r="BQ54" s="741">
        <f t="shared" si="61"/>
        <v>1783513</v>
      </c>
      <c r="BR54" s="741" t="e">
        <f t="shared" si="61"/>
        <v>#REF!</v>
      </c>
      <c r="BS54" s="741" t="e">
        <f t="shared" si="61"/>
        <v>#REF!</v>
      </c>
      <c r="BT54" s="741" t="e">
        <f t="shared" si="61"/>
        <v>#REF!</v>
      </c>
      <c r="BU54" s="562" t="e">
        <f t="shared" si="61"/>
        <v>#REF!</v>
      </c>
      <c r="BV54" s="676" t="e">
        <f t="shared" si="61"/>
        <v>#REF!</v>
      </c>
      <c r="BW54" s="425"/>
      <c r="BX54" s="428"/>
      <c r="BY54" s="428"/>
      <c r="BZ54" s="428"/>
      <c r="CA54" s="429">
        <f t="shared" si="62"/>
        <v>0</v>
      </c>
      <c r="CB54" s="430"/>
      <c r="CC54" s="425"/>
      <c r="CD54" s="428"/>
      <c r="CE54" s="428"/>
      <c r="CF54" s="428"/>
      <c r="CG54" s="428"/>
      <c r="CH54" s="453"/>
      <c r="CI54" s="432">
        <v>0</v>
      </c>
      <c r="CJ54" s="432"/>
      <c r="CK54" s="432"/>
      <c r="CL54" s="428">
        <f t="shared" si="70"/>
        <v>0</v>
      </c>
      <c r="CM54" s="432"/>
      <c r="CN54" s="460"/>
      <c r="CO54" s="425"/>
      <c r="CP54" s="428"/>
      <c r="CQ54" s="428"/>
      <c r="CR54" s="428">
        <f t="shared" si="64"/>
        <v>0</v>
      </c>
      <c r="CS54" s="428"/>
      <c r="CT54" s="453"/>
      <c r="CU54" s="425"/>
      <c r="CV54" s="428"/>
      <c r="CW54" s="428"/>
      <c r="CX54" s="428"/>
      <c r="CY54" s="428"/>
      <c r="CZ54" s="632"/>
      <c r="DA54" s="728">
        <v>0</v>
      </c>
      <c r="DB54" s="420"/>
      <c r="DC54" s="420"/>
      <c r="DD54" s="9">
        <f t="shared" si="65"/>
        <v>0</v>
      </c>
      <c r="DE54" s="420"/>
      <c r="DF54" s="729"/>
      <c r="DG54" s="472"/>
      <c r="DH54" s="472"/>
      <c r="DI54" s="472"/>
      <c r="DJ54" s="472"/>
      <c r="DK54" s="472"/>
      <c r="DL54" s="472"/>
      <c r="DM54" s="703"/>
      <c r="DN54" s="428"/>
      <c r="DO54" s="428"/>
      <c r="DP54" s="428"/>
      <c r="DQ54" s="428"/>
      <c r="DR54" s="704"/>
      <c r="DS54" s="617"/>
      <c r="DT54" s="617"/>
      <c r="DU54" s="617"/>
      <c r="DV54" s="617"/>
      <c r="DW54" s="617"/>
      <c r="DX54" s="617"/>
      <c r="DY54" s="668">
        <v>0</v>
      </c>
      <c r="DZ54" s="669"/>
      <c r="EA54" s="669"/>
      <c r="EB54" s="428">
        <f t="shared" si="66"/>
        <v>0</v>
      </c>
      <c r="EC54" s="428"/>
      <c r="ED54" s="453"/>
      <c r="EE54" s="587"/>
      <c r="EF54" s="437"/>
      <c r="EG54" s="437"/>
      <c r="EH54" s="437"/>
      <c r="EI54" s="437"/>
      <c r="EJ54" s="453"/>
      <c r="EK54" s="688">
        <f t="shared" si="67"/>
        <v>0</v>
      </c>
      <c r="EL54" s="688">
        <f t="shared" si="67"/>
        <v>0</v>
      </c>
      <c r="EM54" s="688">
        <f t="shared" si="67"/>
        <v>0</v>
      </c>
      <c r="EN54" s="688">
        <f t="shared" si="67"/>
        <v>0</v>
      </c>
      <c r="EO54" s="688">
        <f t="shared" si="67"/>
        <v>0</v>
      </c>
      <c r="EP54" s="687">
        <f t="shared" si="67"/>
        <v>0</v>
      </c>
      <c r="EQ54" s="739">
        <f t="shared" si="68"/>
        <v>1783513</v>
      </c>
      <c r="ER54" s="739" t="e">
        <f t="shared" si="68"/>
        <v>#REF!</v>
      </c>
      <c r="ES54" s="739" t="e">
        <f t="shared" si="68"/>
        <v>#REF!</v>
      </c>
      <c r="ET54" s="739" t="e">
        <f t="shared" si="68"/>
        <v>#REF!</v>
      </c>
      <c r="EU54" s="739" t="e">
        <f t="shared" si="68"/>
        <v>#REF!</v>
      </c>
      <c r="EV54" s="740" t="e">
        <f t="shared" si="68"/>
        <v>#REF!</v>
      </c>
      <c r="EW54" s="438" t="e">
        <f>SUM('общ.сводрайон без курсовой '!C54-#REF!-#REF!)</f>
        <v>#REF!</v>
      </c>
      <c r="EX54" s="438" t="e">
        <f>SUM('общ.сводрайон без курсовой '!D54-#REF!-#REF!)</f>
        <v>#REF!</v>
      </c>
      <c r="EY54" s="438" t="e">
        <f>SUM('общ.сводрайон без курсовой '!E54-#REF!-#REF!)</f>
        <v>#REF!</v>
      </c>
      <c r="EZ54" s="438" t="e">
        <f>SUM('общ.сводрайон без курсовой '!F54-#REF!-#REF!)</f>
        <v>#REF!</v>
      </c>
      <c r="FA54" s="472"/>
      <c r="FB54" s="472"/>
      <c r="FC54" s="472"/>
      <c r="FD54" s="472"/>
      <c r="FE54" s="472"/>
      <c r="FF54" s="472"/>
      <c r="FG54" s="472"/>
      <c r="FH54" s="472"/>
      <c r="FI54" s="472"/>
      <c r="FJ54" s="472"/>
      <c r="FK54" s="472"/>
      <c r="FL54" s="472"/>
      <c r="FM54" s="472"/>
      <c r="FN54" s="472"/>
      <c r="FO54" s="472"/>
      <c r="FP54" s="472"/>
      <c r="FQ54" s="472"/>
      <c r="FR54" s="472"/>
      <c r="FS54" s="472"/>
      <c r="FT54" s="472"/>
      <c r="FU54" s="472"/>
      <c r="FV54" s="472"/>
      <c r="FW54" s="472"/>
      <c r="FX54" s="472"/>
      <c r="FY54" s="472"/>
      <c r="FZ54" s="472"/>
      <c r="GA54" s="472"/>
    </row>
    <row r="55" spans="1:183" s="439" customFormat="1" ht="18.95" customHeight="1">
      <c r="A55" s="440">
        <f t="shared" ref="A55:A60" si="71">A54+1</f>
        <v>41</v>
      </c>
      <c r="B55" s="441" t="s">
        <v>40</v>
      </c>
      <c r="C55" s="425">
        <v>0</v>
      </c>
      <c r="D55" s="428">
        <v>0</v>
      </c>
      <c r="E55" s="428">
        <v>0</v>
      </c>
      <c r="F55" s="428">
        <f t="shared" si="51"/>
        <v>0</v>
      </c>
      <c r="G55" s="428">
        <v>0</v>
      </c>
      <c r="H55" s="453"/>
      <c r="I55" s="425">
        <v>1372168</v>
      </c>
      <c r="J55" s="428">
        <v>136000</v>
      </c>
      <c r="K55" s="428">
        <v>19600</v>
      </c>
      <c r="L55" s="428">
        <f t="shared" si="52"/>
        <v>1488568</v>
      </c>
      <c r="M55" s="508">
        <v>0</v>
      </c>
      <c r="N55" s="453"/>
      <c r="O55" s="425">
        <v>707763</v>
      </c>
      <c r="P55" s="428">
        <v>2000</v>
      </c>
      <c r="Q55" s="428">
        <v>300</v>
      </c>
      <c r="R55" s="428">
        <f t="shared" si="53"/>
        <v>709463</v>
      </c>
      <c r="S55" s="428"/>
      <c r="T55" s="453"/>
      <c r="U55" s="425">
        <f>172945+1004</f>
        <v>173949</v>
      </c>
      <c r="V55" s="428"/>
      <c r="W55" s="428"/>
      <c r="X55" s="428">
        <f t="shared" si="54"/>
        <v>173949</v>
      </c>
      <c r="Y55" s="428"/>
      <c r="Z55" s="453"/>
      <c r="AA55" s="425">
        <v>7983000</v>
      </c>
      <c r="AB55" s="428">
        <v>100000</v>
      </c>
      <c r="AC55" s="428"/>
      <c r="AD55" s="428">
        <f t="shared" si="55"/>
        <v>8083000</v>
      </c>
      <c r="AE55" s="428">
        <v>180</v>
      </c>
      <c r="AF55" s="453"/>
      <c r="AG55" s="425">
        <v>0</v>
      </c>
      <c r="AH55" s="428"/>
      <c r="AI55" s="428"/>
      <c r="AJ55" s="428">
        <f t="shared" si="56"/>
        <v>0</v>
      </c>
      <c r="AK55" s="428"/>
      <c r="AL55" s="453"/>
      <c r="AM55" s="425">
        <v>0</v>
      </c>
      <c r="AN55" s="428"/>
      <c r="AO55" s="428"/>
      <c r="AP55" s="428">
        <f t="shared" si="57"/>
        <v>0</v>
      </c>
      <c r="AQ55" s="428"/>
      <c r="AR55" s="453"/>
      <c r="AS55" s="425">
        <v>0</v>
      </c>
      <c r="AT55" s="428">
        <v>0</v>
      </c>
      <c r="AU55" s="428">
        <v>0</v>
      </c>
      <c r="AV55" s="428">
        <f t="shared" si="69"/>
        <v>0</v>
      </c>
      <c r="AW55" s="508">
        <v>0</v>
      </c>
      <c r="AX55" s="453">
        <v>0</v>
      </c>
      <c r="AY55" s="425">
        <v>0</v>
      </c>
      <c r="AZ55" s="428"/>
      <c r="BA55" s="428"/>
      <c r="BB55" s="428">
        <f t="shared" si="58"/>
        <v>0</v>
      </c>
      <c r="BC55" s="428"/>
      <c r="BD55" s="453"/>
      <c r="BE55" s="425">
        <v>1028</v>
      </c>
      <c r="BF55" s="428"/>
      <c r="BG55" s="428"/>
      <c r="BH55" s="428">
        <f t="shared" si="59"/>
        <v>1028</v>
      </c>
      <c r="BI55" s="83"/>
      <c r="BJ55" s="626"/>
      <c r="BK55" s="425">
        <v>0</v>
      </c>
      <c r="BL55" s="428" t="e">
        <f>SUM(#REF!)</f>
        <v>#REF!</v>
      </c>
      <c r="BM55" s="428" t="e">
        <f>SUM(#REF!)</f>
        <v>#REF!</v>
      </c>
      <c r="BN55" s="428" t="e">
        <f t="shared" si="60"/>
        <v>#REF!</v>
      </c>
      <c r="BO55" s="428" t="e">
        <f>SUM(#REF!)</f>
        <v>#REF!</v>
      </c>
      <c r="BP55" s="428" t="e">
        <f>SUM(#REF!)</f>
        <v>#REF!</v>
      </c>
      <c r="BQ55" s="741">
        <f t="shared" si="61"/>
        <v>10237908</v>
      </c>
      <c r="BR55" s="741" t="e">
        <f t="shared" si="61"/>
        <v>#REF!</v>
      </c>
      <c r="BS55" s="741" t="e">
        <f t="shared" si="61"/>
        <v>#REF!</v>
      </c>
      <c r="BT55" s="741" t="e">
        <f t="shared" si="61"/>
        <v>#REF!</v>
      </c>
      <c r="BU55" s="562" t="e">
        <f t="shared" si="61"/>
        <v>#REF!</v>
      </c>
      <c r="BV55" s="676" t="e">
        <f t="shared" si="61"/>
        <v>#REF!</v>
      </c>
      <c r="BW55" s="425"/>
      <c r="BX55" s="428"/>
      <c r="BY55" s="428"/>
      <c r="BZ55" s="428"/>
      <c r="CA55" s="429">
        <f t="shared" si="62"/>
        <v>0</v>
      </c>
      <c r="CB55" s="430"/>
      <c r="CC55" s="425"/>
      <c r="CD55" s="428"/>
      <c r="CE55" s="428"/>
      <c r="CF55" s="428"/>
      <c r="CG55" s="428"/>
      <c r="CH55" s="453"/>
      <c r="CI55" s="464">
        <v>0</v>
      </c>
      <c r="CJ55" s="465"/>
      <c r="CK55" s="465"/>
      <c r="CL55" s="428">
        <f t="shared" si="70"/>
        <v>0</v>
      </c>
      <c r="CM55" s="466"/>
      <c r="CN55" s="460"/>
      <c r="CO55" s="425"/>
      <c r="CP55" s="428"/>
      <c r="CQ55" s="428"/>
      <c r="CR55" s="428">
        <f t="shared" si="64"/>
        <v>0</v>
      </c>
      <c r="CS55" s="428"/>
      <c r="CT55" s="453"/>
      <c r="CU55" s="425"/>
      <c r="CV55" s="428"/>
      <c r="CW55" s="428"/>
      <c r="CX55" s="428"/>
      <c r="CY55" s="428"/>
      <c r="CZ55" s="632"/>
      <c r="DA55" s="726">
        <v>0</v>
      </c>
      <c r="DB55" s="9"/>
      <c r="DC55" s="9"/>
      <c r="DD55" s="9">
        <f t="shared" si="65"/>
        <v>0</v>
      </c>
      <c r="DE55" s="9"/>
      <c r="DF55" s="727"/>
      <c r="DG55" s="472"/>
      <c r="DH55" s="472"/>
      <c r="DI55" s="472"/>
      <c r="DJ55" s="472"/>
      <c r="DK55" s="472"/>
      <c r="DL55" s="472"/>
      <c r="DM55" s="703"/>
      <c r="DN55" s="428"/>
      <c r="DO55" s="428"/>
      <c r="DP55" s="428"/>
      <c r="DQ55" s="428"/>
      <c r="DR55" s="704"/>
      <c r="DS55" s="617"/>
      <c r="DT55" s="617"/>
      <c r="DU55" s="617"/>
      <c r="DV55" s="617"/>
      <c r="DW55" s="617"/>
      <c r="DX55" s="617"/>
      <c r="DY55" s="668">
        <v>0</v>
      </c>
      <c r="DZ55" s="669"/>
      <c r="EA55" s="669"/>
      <c r="EB55" s="428">
        <f t="shared" si="66"/>
        <v>0</v>
      </c>
      <c r="EC55" s="428"/>
      <c r="ED55" s="453"/>
      <c r="EE55" s="587"/>
      <c r="EF55" s="437"/>
      <c r="EG55" s="437"/>
      <c r="EH55" s="437"/>
      <c r="EI55" s="437"/>
      <c r="EJ55" s="453"/>
      <c r="EK55" s="688">
        <f t="shared" si="67"/>
        <v>0</v>
      </c>
      <c r="EL55" s="688">
        <f t="shared" si="67"/>
        <v>0</v>
      </c>
      <c r="EM55" s="688">
        <f t="shared" si="67"/>
        <v>0</v>
      </c>
      <c r="EN55" s="688">
        <f t="shared" si="67"/>
        <v>0</v>
      </c>
      <c r="EO55" s="688">
        <f t="shared" si="67"/>
        <v>0</v>
      </c>
      <c r="EP55" s="687">
        <f t="shared" si="67"/>
        <v>0</v>
      </c>
      <c r="EQ55" s="739">
        <f t="shared" si="68"/>
        <v>10237908</v>
      </c>
      <c r="ER55" s="739" t="e">
        <f t="shared" si="68"/>
        <v>#REF!</v>
      </c>
      <c r="ES55" s="739" t="e">
        <f t="shared" si="68"/>
        <v>#REF!</v>
      </c>
      <c r="ET55" s="739" t="e">
        <f t="shared" si="68"/>
        <v>#REF!</v>
      </c>
      <c r="EU55" s="739" t="e">
        <f t="shared" si="68"/>
        <v>#REF!</v>
      </c>
      <c r="EV55" s="740" t="e">
        <f t="shared" si="68"/>
        <v>#REF!</v>
      </c>
      <c r="EW55" s="438" t="e">
        <f>SUM('общ.сводрайон без курсовой '!C55-#REF!-#REF!)</f>
        <v>#REF!</v>
      </c>
      <c r="EX55" s="438" t="e">
        <f>SUM('общ.сводрайон без курсовой '!D55-#REF!-#REF!)</f>
        <v>#REF!</v>
      </c>
      <c r="EY55" s="438" t="e">
        <f>SUM('общ.сводрайон без курсовой '!E55-#REF!-#REF!)</f>
        <v>#REF!</v>
      </c>
      <c r="EZ55" s="438" t="e">
        <f>SUM('общ.сводрайон без курсовой '!F55-#REF!-#REF!)</f>
        <v>#REF!</v>
      </c>
    </row>
    <row r="56" spans="1:183" s="439" customFormat="1" ht="18.95" customHeight="1">
      <c r="A56" s="440">
        <v>42</v>
      </c>
      <c r="B56" s="441" t="s">
        <v>42</v>
      </c>
      <c r="C56" s="425">
        <f>810302-49097</f>
        <v>761205</v>
      </c>
      <c r="D56" s="428">
        <v>393812</v>
      </c>
      <c r="E56" s="428">
        <v>173063</v>
      </c>
      <c r="F56" s="428">
        <f t="shared" si="51"/>
        <v>981954</v>
      </c>
      <c r="G56" s="428">
        <v>348</v>
      </c>
      <c r="H56" s="453"/>
      <c r="I56" s="425">
        <v>0</v>
      </c>
      <c r="J56" s="428"/>
      <c r="K56" s="428"/>
      <c r="L56" s="428">
        <f t="shared" si="52"/>
        <v>0</v>
      </c>
      <c r="M56" s="508"/>
      <c r="N56" s="453"/>
      <c r="O56" s="425">
        <v>991891</v>
      </c>
      <c r="P56" s="428">
        <v>219400</v>
      </c>
      <c r="Q56" s="428">
        <v>66995</v>
      </c>
      <c r="R56" s="428">
        <f t="shared" si="53"/>
        <v>1144296</v>
      </c>
      <c r="S56" s="428"/>
      <c r="T56" s="453"/>
      <c r="U56" s="425">
        <f>3894597+26449</f>
        <v>3921046</v>
      </c>
      <c r="V56" s="529">
        <v>3192445.55</v>
      </c>
      <c r="W56" s="428">
        <v>3191386.34</v>
      </c>
      <c r="X56" s="428">
        <f t="shared" si="54"/>
        <v>3922105.21</v>
      </c>
      <c r="Y56" s="428">
        <v>263</v>
      </c>
      <c r="Z56" s="453"/>
      <c r="AA56" s="425">
        <v>0</v>
      </c>
      <c r="AB56" s="428"/>
      <c r="AC56" s="428"/>
      <c r="AD56" s="428">
        <f t="shared" si="55"/>
        <v>0</v>
      </c>
      <c r="AE56" s="428"/>
      <c r="AF56" s="453"/>
      <c r="AG56" s="425">
        <v>0</v>
      </c>
      <c r="AH56" s="428"/>
      <c r="AI56" s="428"/>
      <c r="AJ56" s="428">
        <f t="shared" si="56"/>
        <v>0</v>
      </c>
      <c r="AK56" s="428"/>
      <c r="AL56" s="453"/>
      <c r="AM56" s="425">
        <v>0</v>
      </c>
      <c r="AN56" s="428"/>
      <c r="AO56" s="428"/>
      <c r="AP56" s="428">
        <f t="shared" si="57"/>
        <v>0</v>
      </c>
      <c r="AQ56" s="428"/>
      <c r="AR56" s="453"/>
      <c r="AS56" s="425">
        <v>0</v>
      </c>
      <c r="AT56" s="428">
        <v>0</v>
      </c>
      <c r="AU56" s="428">
        <v>0</v>
      </c>
      <c r="AV56" s="428">
        <f t="shared" si="69"/>
        <v>0</v>
      </c>
      <c r="AW56" s="508">
        <v>0</v>
      </c>
      <c r="AX56" s="453">
        <v>0</v>
      </c>
      <c r="AY56" s="425">
        <v>0</v>
      </c>
      <c r="AZ56" s="428"/>
      <c r="BA56" s="428"/>
      <c r="BB56" s="428">
        <f t="shared" si="58"/>
        <v>0</v>
      </c>
      <c r="BC56" s="428"/>
      <c r="BD56" s="453"/>
      <c r="BE56" s="425">
        <f>6069-2604</f>
        <v>3465</v>
      </c>
      <c r="BF56" s="428"/>
      <c r="BG56" s="428"/>
      <c r="BH56" s="428">
        <f t="shared" si="59"/>
        <v>3465</v>
      </c>
      <c r="BI56" s="83">
        <v>3</v>
      </c>
      <c r="BJ56" s="626">
        <v>-12</v>
      </c>
      <c r="BK56" s="425">
        <v>1135593.21</v>
      </c>
      <c r="BL56" s="428" t="e">
        <f>SUM(#REF!)</f>
        <v>#REF!</v>
      </c>
      <c r="BM56" s="428" t="e">
        <f>SUM(#REF!)</f>
        <v>#REF!</v>
      </c>
      <c r="BN56" s="428" t="e">
        <f t="shared" si="60"/>
        <v>#REF!</v>
      </c>
      <c r="BO56" s="428" t="e">
        <f>SUM(#REF!)</f>
        <v>#REF!</v>
      </c>
      <c r="BP56" s="428" t="e">
        <f>SUM(#REF!)</f>
        <v>#REF!</v>
      </c>
      <c r="BQ56" s="741">
        <f t="shared" si="61"/>
        <v>6813200.21</v>
      </c>
      <c r="BR56" s="741" t="e">
        <f t="shared" si="61"/>
        <v>#REF!</v>
      </c>
      <c r="BS56" s="741" t="e">
        <f t="shared" si="61"/>
        <v>#REF!</v>
      </c>
      <c r="BT56" s="741" t="e">
        <f t="shared" si="61"/>
        <v>#REF!</v>
      </c>
      <c r="BU56" s="562" t="e">
        <f t="shared" si="61"/>
        <v>#REF!</v>
      </c>
      <c r="BV56" s="676" t="e">
        <f t="shared" si="61"/>
        <v>#REF!</v>
      </c>
      <c r="BW56" s="425"/>
      <c r="BX56" s="428"/>
      <c r="BY56" s="428"/>
      <c r="BZ56" s="428"/>
      <c r="CA56" s="429">
        <f t="shared" si="62"/>
        <v>0</v>
      </c>
      <c r="CB56" s="430"/>
      <c r="CC56" s="425"/>
      <c r="CD56" s="428"/>
      <c r="CE56" s="428"/>
      <c r="CF56" s="428"/>
      <c r="CG56" s="428"/>
      <c r="CH56" s="453"/>
      <c r="CI56" s="436">
        <f>22746+112</f>
        <v>22858</v>
      </c>
      <c r="CJ56" s="428"/>
      <c r="CK56" s="428"/>
      <c r="CL56" s="428">
        <f>SUM(CI56+CJ56-CK56)</f>
        <v>22858</v>
      </c>
      <c r="CM56" s="454">
        <v>12</v>
      </c>
      <c r="CN56" s="460"/>
      <c r="CO56" s="425"/>
      <c r="CP56" s="428"/>
      <c r="CQ56" s="428"/>
      <c r="CR56" s="428">
        <f t="shared" si="64"/>
        <v>0</v>
      </c>
      <c r="CS56" s="428"/>
      <c r="CT56" s="453"/>
      <c r="CU56" s="425"/>
      <c r="CV56" s="428"/>
      <c r="CW56" s="428"/>
      <c r="CX56" s="428"/>
      <c r="CY56" s="428"/>
      <c r="CZ56" s="632"/>
      <c r="DA56" s="726">
        <f>1927348+568</f>
        <v>1927916</v>
      </c>
      <c r="DB56" s="9">
        <v>4000</v>
      </c>
      <c r="DC56" s="9"/>
      <c r="DD56" s="9">
        <f t="shared" si="65"/>
        <v>1931916</v>
      </c>
      <c r="DE56" s="9">
        <v>75</v>
      </c>
      <c r="DF56" s="727"/>
      <c r="DG56" s="472"/>
      <c r="DH56" s="472"/>
      <c r="DI56" s="472"/>
      <c r="DJ56" s="472"/>
      <c r="DK56" s="472"/>
      <c r="DL56" s="472"/>
      <c r="DM56" s="703"/>
      <c r="DN56" s="428"/>
      <c r="DO56" s="428"/>
      <c r="DP56" s="428"/>
      <c r="DQ56" s="428"/>
      <c r="DR56" s="704"/>
      <c r="DS56" s="617"/>
      <c r="DT56" s="617"/>
      <c r="DU56" s="617"/>
      <c r="DV56" s="617"/>
      <c r="DW56" s="617"/>
      <c r="DX56" s="617"/>
      <c r="DY56" s="668">
        <v>3125122</v>
      </c>
      <c r="DZ56" s="669"/>
      <c r="EA56" s="669">
        <v>297670</v>
      </c>
      <c r="EB56" s="428">
        <f t="shared" si="66"/>
        <v>2827452</v>
      </c>
      <c r="EC56" s="428">
        <v>2489</v>
      </c>
      <c r="ED56" s="453"/>
      <c r="EE56" s="587"/>
      <c r="EF56" s="437"/>
      <c r="EG56" s="437"/>
      <c r="EH56" s="437"/>
      <c r="EI56" s="437"/>
      <c r="EJ56" s="453"/>
      <c r="EK56" s="688">
        <f t="shared" si="67"/>
        <v>5075896</v>
      </c>
      <c r="EL56" s="688">
        <f t="shared" si="67"/>
        <v>4000</v>
      </c>
      <c r="EM56" s="688">
        <f t="shared" si="67"/>
        <v>297670</v>
      </c>
      <c r="EN56" s="688">
        <f t="shared" si="67"/>
        <v>4782226</v>
      </c>
      <c r="EO56" s="688">
        <f t="shared" si="67"/>
        <v>2576</v>
      </c>
      <c r="EP56" s="687">
        <f t="shared" si="67"/>
        <v>0</v>
      </c>
      <c r="EQ56" s="739">
        <f t="shared" si="68"/>
        <v>11889096.210000001</v>
      </c>
      <c r="ER56" s="739" t="e">
        <f t="shared" si="68"/>
        <v>#REF!</v>
      </c>
      <c r="ES56" s="739" t="e">
        <f t="shared" si="68"/>
        <v>#REF!</v>
      </c>
      <c r="ET56" s="739" t="e">
        <f t="shared" si="68"/>
        <v>#REF!</v>
      </c>
      <c r="EU56" s="739" t="e">
        <f t="shared" si="68"/>
        <v>#REF!</v>
      </c>
      <c r="EV56" s="740" t="e">
        <f t="shared" si="68"/>
        <v>#REF!</v>
      </c>
      <c r="EW56" s="438" t="e">
        <f>SUM('общ.сводрайон без курсовой '!C56-#REF!-#REF!)</f>
        <v>#REF!</v>
      </c>
      <c r="EX56" s="438" t="e">
        <f>SUM('общ.сводрайон без курсовой '!D56-#REF!-#REF!)</f>
        <v>#REF!</v>
      </c>
      <c r="EY56" s="438" t="e">
        <f>SUM('общ.сводрайон без курсовой '!E56-#REF!-#REF!)</f>
        <v>#REF!</v>
      </c>
      <c r="EZ56" s="438" t="e">
        <f>SUM('общ.сводрайон без курсовой '!F56-#REF!-#REF!)</f>
        <v>#REF!</v>
      </c>
    </row>
    <row r="57" spans="1:183" s="439" customFormat="1" ht="18.95" customHeight="1">
      <c r="A57" s="440">
        <f t="shared" si="71"/>
        <v>43</v>
      </c>
      <c r="B57" s="441" t="s">
        <v>43</v>
      </c>
      <c r="C57" s="425">
        <f>1631281+7275</f>
        <v>1638556</v>
      </c>
      <c r="D57" s="428">
        <v>174763</v>
      </c>
      <c r="E57" s="428">
        <v>80018</v>
      </c>
      <c r="F57" s="428">
        <f t="shared" si="51"/>
        <v>1733301</v>
      </c>
      <c r="G57" s="428">
        <v>1123</v>
      </c>
      <c r="H57" s="453"/>
      <c r="I57" s="425">
        <f>597647+1736</f>
        <v>599383</v>
      </c>
      <c r="J57" s="428">
        <v>0</v>
      </c>
      <c r="K57" s="428">
        <v>19310</v>
      </c>
      <c r="L57" s="428">
        <f t="shared" si="52"/>
        <v>580073</v>
      </c>
      <c r="M57" s="508">
        <v>117</v>
      </c>
      <c r="N57" s="453"/>
      <c r="O57" s="425">
        <v>541509</v>
      </c>
      <c r="P57" s="428">
        <v>13900</v>
      </c>
      <c r="Q57" s="428">
        <v>19207</v>
      </c>
      <c r="R57" s="428">
        <f t="shared" si="53"/>
        <v>536202</v>
      </c>
      <c r="S57" s="428"/>
      <c r="T57" s="453"/>
      <c r="U57" s="425">
        <v>0</v>
      </c>
      <c r="V57" s="529"/>
      <c r="W57" s="428"/>
      <c r="X57" s="428">
        <f t="shared" si="54"/>
        <v>0</v>
      </c>
      <c r="Y57" s="428"/>
      <c r="Z57" s="453"/>
      <c r="AA57" s="425">
        <v>905692.98</v>
      </c>
      <c r="AB57" s="428">
        <v>283896.19</v>
      </c>
      <c r="AC57" s="428"/>
      <c r="AD57" s="428">
        <f t="shared" si="55"/>
        <v>1189589.17</v>
      </c>
      <c r="AE57" s="428">
        <v>538</v>
      </c>
      <c r="AF57" s="453"/>
      <c r="AG57" s="425">
        <v>0</v>
      </c>
      <c r="AH57" s="428"/>
      <c r="AI57" s="428"/>
      <c r="AJ57" s="428">
        <f t="shared" si="56"/>
        <v>0</v>
      </c>
      <c r="AK57" s="428"/>
      <c r="AL57" s="453"/>
      <c r="AM57" s="425">
        <v>0</v>
      </c>
      <c r="AN57" s="428"/>
      <c r="AO57" s="428"/>
      <c r="AP57" s="428">
        <f t="shared" si="57"/>
        <v>0</v>
      </c>
      <c r="AQ57" s="428"/>
      <c r="AR57" s="453"/>
      <c r="AS57" s="425">
        <v>0</v>
      </c>
      <c r="AT57" s="428">
        <v>0</v>
      </c>
      <c r="AU57" s="428">
        <v>0</v>
      </c>
      <c r="AV57" s="428">
        <f t="shared" si="69"/>
        <v>0</v>
      </c>
      <c r="AW57" s="508">
        <v>0</v>
      </c>
      <c r="AX57" s="453">
        <v>0</v>
      </c>
      <c r="AY57" s="425">
        <v>0</v>
      </c>
      <c r="AZ57" s="428"/>
      <c r="BA57" s="428"/>
      <c r="BB57" s="428">
        <f t="shared" si="58"/>
        <v>0</v>
      </c>
      <c r="BC57" s="428"/>
      <c r="BD57" s="453"/>
      <c r="BE57" s="425">
        <v>0</v>
      </c>
      <c r="BF57" s="428"/>
      <c r="BG57" s="428"/>
      <c r="BH57" s="428">
        <f t="shared" si="59"/>
        <v>0</v>
      </c>
      <c r="BI57" s="83"/>
      <c r="BJ57" s="626"/>
      <c r="BK57" s="425">
        <v>270091</v>
      </c>
      <c r="BL57" s="428" t="e">
        <f>SUM(#REF!)</f>
        <v>#REF!</v>
      </c>
      <c r="BM57" s="428" t="e">
        <f>SUM(#REF!)</f>
        <v>#REF!</v>
      </c>
      <c r="BN57" s="428" t="e">
        <f t="shared" si="60"/>
        <v>#REF!</v>
      </c>
      <c r="BO57" s="428" t="e">
        <f>SUM(#REF!)</f>
        <v>#REF!</v>
      </c>
      <c r="BP57" s="428" t="e">
        <f>SUM(#REF!)</f>
        <v>#REF!</v>
      </c>
      <c r="BQ57" s="741">
        <f t="shared" si="61"/>
        <v>3955231.98</v>
      </c>
      <c r="BR57" s="741" t="e">
        <f t="shared" si="61"/>
        <v>#REF!</v>
      </c>
      <c r="BS57" s="741" t="e">
        <f t="shared" si="61"/>
        <v>#REF!</v>
      </c>
      <c r="BT57" s="741" t="e">
        <f t="shared" si="61"/>
        <v>#REF!</v>
      </c>
      <c r="BU57" s="562" t="e">
        <f t="shared" si="61"/>
        <v>#REF!</v>
      </c>
      <c r="BV57" s="676" t="e">
        <f t="shared" si="61"/>
        <v>#REF!</v>
      </c>
      <c r="BW57" s="425"/>
      <c r="BX57" s="428"/>
      <c r="BY57" s="428"/>
      <c r="BZ57" s="428"/>
      <c r="CA57" s="429">
        <f t="shared" si="62"/>
        <v>0</v>
      </c>
      <c r="CB57" s="430"/>
      <c r="CC57" s="425"/>
      <c r="CD57" s="428"/>
      <c r="CE57" s="428"/>
      <c r="CF57" s="428"/>
      <c r="CG57" s="428"/>
      <c r="CH57" s="453"/>
      <c r="CI57" s="436">
        <v>0</v>
      </c>
      <c r="CJ57" s="428"/>
      <c r="CK57" s="428"/>
      <c r="CL57" s="428">
        <f t="shared" si="70"/>
        <v>0</v>
      </c>
      <c r="CM57" s="454"/>
      <c r="CN57" s="460"/>
      <c r="CO57" s="425"/>
      <c r="CP57" s="428"/>
      <c r="CQ57" s="428"/>
      <c r="CR57" s="428">
        <f t="shared" si="64"/>
        <v>0</v>
      </c>
      <c r="CS57" s="428"/>
      <c r="CT57" s="453"/>
      <c r="CU57" s="425"/>
      <c r="CV57" s="428"/>
      <c r="CW57" s="428"/>
      <c r="CX57" s="428"/>
      <c r="CY57" s="428"/>
      <c r="CZ57" s="632"/>
      <c r="DA57" s="726">
        <v>30000</v>
      </c>
      <c r="DB57" s="9"/>
      <c r="DC57" s="9"/>
      <c r="DD57" s="9">
        <f t="shared" si="65"/>
        <v>30000</v>
      </c>
      <c r="DE57" s="9"/>
      <c r="DF57" s="727"/>
      <c r="DG57" s="472"/>
      <c r="DH57" s="472"/>
      <c r="DI57" s="472"/>
      <c r="DJ57" s="472"/>
      <c r="DK57" s="472"/>
      <c r="DL57" s="472"/>
      <c r="DM57" s="703"/>
      <c r="DN57" s="428"/>
      <c r="DO57" s="428"/>
      <c r="DP57" s="428"/>
      <c r="DQ57" s="428"/>
      <c r="DR57" s="704"/>
      <c r="DS57" s="617"/>
      <c r="DT57" s="617"/>
      <c r="DU57" s="617"/>
      <c r="DV57" s="617"/>
      <c r="DW57" s="617"/>
      <c r="DX57" s="617"/>
      <c r="DY57" s="668">
        <v>0</v>
      </c>
      <c r="DZ57" s="669"/>
      <c r="EA57" s="669"/>
      <c r="EB57" s="428">
        <f t="shared" si="66"/>
        <v>0</v>
      </c>
      <c r="EC57" s="428"/>
      <c r="ED57" s="453"/>
      <c r="EE57" s="587"/>
      <c r="EF57" s="437"/>
      <c r="EG57" s="437"/>
      <c r="EH57" s="437"/>
      <c r="EI57" s="437"/>
      <c r="EJ57" s="453"/>
      <c r="EK57" s="688">
        <f t="shared" si="67"/>
        <v>30000</v>
      </c>
      <c r="EL57" s="688">
        <f t="shared" si="67"/>
        <v>0</v>
      </c>
      <c r="EM57" s="688">
        <f t="shared" si="67"/>
        <v>0</v>
      </c>
      <c r="EN57" s="688">
        <f t="shared" si="67"/>
        <v>30000</v>
      </c>
      <c r="EO57" s="688">
        <f t="shared" si="67"/>
        <v>0</v>
      </c>
      <c r="EP57" s="687">
        <f t="shared" si="67"/>
        <v>0</v>
      </c>
      <c r="EQ57" s="739">
        <f t="shared" si="68"/>
        <v>3985231.98</v>
      </c>
      <c r="ER57" s="739" t="e">
        <f t="shared" si="68"/>
        <v>#REF!</v>
      </c>
      <c r="ES57" s="739" t="e">
        <f t="shared" si="68"/>
        <v>#REF!</v>
      </c>
      <c r="ET57" s="739" t="e">
        <f t="shared" si="68"/>
        <v>#REF!</v>
      </c>
      <c r="EU57" s="739" t="e">
        <f t="shared" si="68"/>
        <v>#REF!</v>
      </c>
      <c r="EV57" s="740" t="e">
        <f t="shared" si="68"/>
        <v>#REF!</v>
      </c>
      <c r="EW57" s="438" t="e">
        <f>SUM('общ.сводрайон без курсовой '!C57-#REF!-#REF!)</f>
        <v>#REF!</v>
      </c>
      <c r="EX57" s="438" t="e">
        <f>SUM('общ.сводрайон без курсовой '!D57-#REF!-#REF!)</f>
        <v>#REF!</v>
      </c>
      <c r="EY57" s="438" t="e">
        <f>SUM('общ.сводрайон без курсовой '!E57-#REF!-#REF!)</f>
        <v>#REF!</v>
      </c>
      <c r="EZ57" s="438" t="e">
        <f>SUM('общ.сводрайон без курсовой '!F57-#REF!-#REF!)</f>
        <v>#REF!</v>
      </c>
    </row>
    <row r="58" spans="1:183" s="439" customFormat="1" ht="18.95" customHeight="1">
      <c r="A58" s="440">
        <v>44</v>
      </c>
      <c r="B58" s="441" t="s">
        <v>45</v>
      </c>
      <c r="C58" s="425">
        <f>1171005+94975</f>
        <v>1265980</v>
      </c>
      <c r="D58" s="428">
        <v>425096</v>
      </c>
      <c r="E58" s="428">
        <v>107412</v>
      </c>
      <c r="F58" s="428">
        <f t="shared" si="51"/>
        <v>1583664</v>
      </c>
      <c r="G58" s="428">
        <v>627</v>
      </c>
      <c r="H58" s="453"/>
      <c r="I58" s="425">
        <v>0</v>
      </c>
      <c r="J58" s="428"/>
      <c r="K58" s="428"/>
      <c r="L58" s="428">
        <f t="shared" si="52"/>
        <v>0</v>
      </c>
      <c r="M58" s="508"/>
      <c r="N58" s="453"/>
      <c r="O58" s="425">
        <f>472146-184</f>
        <v>471962</v>
      </c>
      <c r="P58" s="428">
        <v>25800</v>
      </c>
      <c r="Q58" s="428">
        <v>13052</v>
      </c>
      <c r="R58" s="428">
        <f t="shared" si="53"/>
        <v>484710</v>
      </c>
      <c r="S58" s="428">
        <v>6</v>
      </c>
      <c r="T58" s="453"/>
      <c r="U58" s="425">
        <f>415818+2027</f>
        <v>417845</v>
      </c>
      <c r="V58" s="529"/>
      <c r="W58" s="428"/>
      <c r="X58" s="428">
        <f t="shared" si="54"/>
        <v>417845</v>
      </c>
      <c r="Y58" s="428"/>
      <c r="Z58" s="453"/>
      <c r="AA58" s="425">
        <v>0</v>
      </c>
      <c r="AB58" s="428"/>
      <c r="AC58" s="428"/>
      <c r="AD58" s="428">
        <f t="shared" si="55"/>
        <v>0</v>
      </c>
      <c r="AE58" s="428"/>
      <c r="AF58" s="453"/>
      <c r="AG58" s="425">
        <v>0</v>
      </c>
      <c r="AH58" s="428"/>
      <c r="AI58" s="428"/>
      <c r="AJ58" s="428">
        <f t="shared" si="56"/>
        <v>0</v>
      </c>
      <c r="AK58" s="428"/>
      <c r="AL58" s="453"/>
      <c r="AM58" s="425">
        <v>0</v>
      </c>
      <c r="AN58" s="428"/>
      <c r="AO58" s="428"/>
      <c r="AP58" s="428">
        <f t="shared" si="57"/>
        <v>0</v>
      </c>
      <c r="AQ58" s="428"/>
      <c r="AR58" s="453"/>
      <c r="AS58" s="425">
        <v>0</v>
      </c>
      <c r="AT58" s="428">
        <v>0</v>
      </c>
      <c r="AU58" s="428">
        <v>0</v>
      </c>
      <c r="AV58" s="428">
        <f t="shared" si="69"/>
        <v>0</v>
      </c>
      <c r="AW58" s="508">
        <v>0</v>
      </c>
      <c r="AX58" s="453">
        <v>0</v>
      </c>
      <c r="AY58" s="425">
        <v>0</v>
      </c>
      <c r="AZ58" s="428"/>
      <c r="BA58" s="428"/>
      <c r="BB58" s="428">
        <f t="shared" si="58"/>
        <v>0</v>
      </c>
      <c r="BC58" s="428"/>
      <c r="BD58" s="453"/>
      <c r="BE58" s="425">
        <v>0</v>
      </c>
      <c r="BF58" s="428"/>
      <c r="BG58" s="428"/>
      <c r="BH58" s="428">
        <f t="shared" si="59"/>
        <v>0</v>
      </c>
      <c r="BI58" s="83"/>
      <c r="BJ58" s="626"/>
      <c r="BK58" s="425">
        <v>352925.2</v>
      </c>
      <c r="BL58" s="428" t="e">
        <f>SUM(#REF!)</f>
        <v>#REF!</v>
      </c>
      <c r="BM58" s="428" t="e">
        <f>SUM(#REF!)</f>
        <v>#REF!</v>
      </c>
      <c r="BN58" s="428" t="e">
        <f t="shared" si="60"/>
        <v>#REF!</v>
      </c>
      <c r="BO58" s="428" t="e">
        <f>SUM(#REF!)</f>
        <v>#REF!</v>
      </c>
      <c r="BP58" s="428" t="e">
        <f>SUM(#REF!)</f>
        <v>#REF!</v>
      </c>
      <c r="BQ58" s="741">
        <f t="shared" si="61"/>
        <v>2508712.2000000002</v>
      </c>
      <c r="BR58" s="741" t="e">
        <f t="shared" si="61"/>
        <v>#REF!</v>
      </c>
      <c r="BS58" s="741" t="e">
        <f t="shared" si="61"/>
        <v>#REF!</v>
      </c>
      <c r="BT58" s="741" t="e">
        <f t="shared" si="61"/>
        <v>#REF!</v>
      </c>
      <c r="BU58" s="562" t="e">
        <f t="shared" si="61"/>
        <v>#REF!</v>
      </c>
      <c r="BV58" s="676" t="e">
        <f t="shared" si="61"/>
        <v>#REF!</v>
      </c>
      <c r="BW58" s="425"/>
      <c r="BX58" s="428"/>
      <c r="BY58" s="428"/>
      <c r="BZ58" s="428"/>
      <c r="CA58" s="429">
        <f t="shared" si="62"/>
        <v>0</v>
      </c>
      <c r="CB58" s="430"/>
      <c r="CC58" s="425"/>
      <c r="CD58" s="428"/>
      <c r="CE58" s="428"/>
      <c r="CF58" s="428"/>
      <c r="CG58" s="428"/>
      <c r="CH58" s="453"/>
      <c r="CI58" s="436">
        <v>0</v>
      </c>
      <c r="CJ58" s="428"/>
      <c r="CK58" s="428"/>
      <c r="CL58" s="428">
        <f t="shared" si="70"/>
        <v>0</v>
      </c>
      <c r="CM58" s="454"/>
      <c r="CN58" s="460"/>
      <c r="CO58" s="425"/>
      <c r="CP58" s="428"/>
      <c r="CQ58" s="428"/>
      <c r="CR58" s="428">
        <f t="shared" si="64"/>
        <v>0</v>
      </c>
      <c r="CS58" s="428"/>
      <c r="CT58" s="453"/>
      <c r="CU58" s="425"/>
      <c r="CV58" s="428"/>
      <c r="CW58" s="428"/>
      <c r="CX58" s="428"/>
      <c r="CY58" s="428"/>
      <c r="CZ58" s="632"/>
      <c r="DA58" s="726">
        <v>0</v>
      </c>
      <c r="DB58" s="9"/>
      <c r="DC58" s="9"/>
      <c r="DD58" s="9">
        <f t="shared" si="65"/>
        <v>0</v>
      </c>
      <c r="DE58" s="9"/>
      <c r="DF58" s="727"/>
      <c r="DG58" s="472"/>
      <c r="DH58" s="472"/>
      <c r="DI58" s="472"/>
      <c r="DJ58" s="472"/>
      <c r="DK58" s="472"/>
      <c r="DL58" s="472"/>
      <c r="DM58" s="703"/>
      <c r="DN58" s="428"/>
      <c r="DO58" s="428"/>
      <c r="DP58" s="428"/>
      <c r="DQ58" s="428"/>
      <c r="DR58" s="704"/>
      <c r="DS58" s="617"/>
      <c r="DT58" s="617"/>
      <c r="DU58" s="617"/>
      <c r="DV58" s="617"/>
      <c r="DW58" s="617"/>
      <c r="DX58" s="617"/>
      <c r="DY58" s="668">
        <v>22750</v>
      </c>
      <c r="DZ58" s="669"/>
      <c r="EA58" s="669"/>
      <c r="EB58" s="428">
        <f t="shared" si="66"/>
        <v>22750</v>
      </c>
      <c r="EC58" s="428"/>
      <c r="ED58" s="453"/>
      <c r="EE58" s="587"/>
      <c r="EF58" s="437"/>
      <c r="EG58" s="437"/>
      <c r="EH58" s="437"/>
      <c r="EI58" s="437"/>
      <c r="EJ58" s="453"/>
      <c r="EK58" s="688">
        <f t="shared" si="67"/>
        <v>22750</v>
      </c>
      <c r="EL58" s="688">
        <f t="shared" si="67"/>
        <v>0</v>
      </c>
      <c r="EM58" s="688">
        <f t="shared" si="67"/>
        <v>0</v>
      </c>
      <c r="EN58" s="688">
        <f t="shared" si="67"/>
        <v>22750</v>
      </c>
      <c r="EO58" s="688">
        <f t="shared" si="67"/>
        <v>0</v>
      </c>
      <c r="EP58" s="687">
        <f t="shared" si="67"/>
        <v>0</v>
      </c>
      <c r="EQ58" s="739">
        <f t="shared" si="68"/>
        <v>2531462.2000000002</v>
      </c>
      <c r="ER58" s="739" t="e">
        <f t="shared" si="68"/>
        <v>#REF!</v>
      </c>
      <c r="ES58" s="739" t="e">
        <f t="shared" si="68"/>
        <v>#REF!</v>
      </c>
      <c r="ET58" s="739" t="e">
        <f t="shared" si="68"/>
        <v>#REF!</v>
      </c>
      <c r="EU58" s="739" t="e">
        <f t="shared" si="68"/>
        <v>#REF!</v>
      </c>
      <c r="EV58" s="740" t="e">
        <f t="shared" si="68"/>
        <v>#REF!</v>
      </c>
      <c r="EW58" s="438" t="e">
        <f>SUM('общ.сводрайон без курсовой '!C58-#REF!-#REF!)</f>
        <v>#REF!</v>
      </c>
      <c r="EX58" s="438" t="e">
        <f>SUM('общ.сводрайон без курсовой '!D58-#REF!-#REF!)</f>
        <v>#REF!</v>
      </c>
      <c r="EY58" s="438" t="e">
        <f>SUM('общ.сводрайон без курсовой '!E58-#REF!-#REF!)</f>
        <v>#REF!</v>
      </c>
      <c r="EZ58" s="438" t="e">
        <f>SUM('общ.сводрайон без курсовой '!F58-#REF!-#REF!)</f>
        <v>#REF!</v>
      </c>
    </row>
    <row r="59" spans="1:183" s="439" customFormat="1" ht="18.95" customHeight="1">
      <c r="A59" s="440">
        <f t="shared" si="71"/>
        <v>45</v>
      </c>
      <c r="B59" s="441" t="s">
        <v>46</v>
      </c>
      <c r="C59" s="425">
        <f>1228113+1894</f>
        <v>1230007</v>
      </c>
      <c r="D59" s="428">
        <v>209390</v>
      </c>
      <c r="E59" s="428">
        <v>69389</v>
      </c>
      <c r="F59" s="428">
        <f t="shared" si="51"/>
        <v>1370008</v>
      </c>
      <c r="G59" s="428">
        <v>606</v>
      </c>
      <c r="H59" s="453"/>
      <c r="I59" s="425">
        <v>0</v>
      </c>
      <c r="J59" s="428"/>
      <c r="K59" s="428"/>
      <c r="L59" s="428">
        <f t="shared" si="52"/>
        <v>0</v>
      </c>
      <c r="M59" s="508"/>
      <c r="N59" s="453"/>
      <c r="O59" s="425">
        <v>924711</v>
      </c>
      <c r="P59" s="428">
        <v>10000</v>
      </c>
      <c r="Q59" s="428">
        <v>0</v>
      </c>
      <c r="R59" s="428">
        <f t="shared" si="53"/>
        <v>934711</v>
      </c>
      <c r="S59" s="428"/>
      <c r="T59" s="453"/>
      <c r="U59" s="425">
        <f>152594+1400</f>
        <v>153994</v>
      </c>
      <c r="V59" s="428"/>
      <c r="W59" s="428"/>
      <c r="X59" s="428">
        <f t="shared" si="54"/>
        <v>153994</v>
      </c>
      <c r="Y59" s="428"/>
      <c r="Z59" s="453"/>
      <c r="AA59" s="425">
        <v>0</v>
      </c>
      <c r="AB59" s="428"/>
      <c r="AC59" s="428"/>
      <c r="AD59" s="428">
        <f t="shared" si="55"/>
        <v>0</v>
      </c>
      <c r="AE59" s="428"/>
      <c r="AF59" s="453"/>
      <c r="AG59" s="425">
        <v>0</v>
      </c>
      <c r="AH59" s="428"/>
      <c r="AI59" s="428"/>
      <c r="AJ59" s="428">
        <f t="shared" si="56"/>
        <v>0</v>
      </c>
      <c r="AK59" s="428"/>
      <c r="AL59" s="453"/>
      <c r="AM59" s="425">
        <v>0</v>
      </c>
      <c r="AN59" s="428"/>
      <c r="AO59" s="428"/>
      <c r="AP59" s="428">
        <f t="shared" si="57"/>
        <v>0</v>
      </c>
      <c r="AQ59" s="428"/>
      <c r="AR59" s="453"/>
      <c r="AS59" s="425">
        <v>0</v>
      </c>
      <c r="AT59" s="428">
        <v>0</v>
      </c>
      <c r="AU59" s="428">
        <v>0</v>
      </c>
      <c r="AV59" s="428">
        <f t="shared" si="69"/>
        <v>0</v>
      </c>
      <c r="AW59" s="508">
        <v>0</v>
      </c>
      <c r="AX59" s="453">
        <v>0</v>
      </c>
      <c r="AY59" s="425">
        <f>1681604+154</f>
        <v>1681758</v>
      </c>
      <c r="AZ59" s="428"/>
      <c r="BA59" s="428">
        <v>75203</v>
      </c>
      <c r="BB59" s="428">
        <f t="shared" si="58"/>
        <v>1606555</v>
      </c>
      <c r="BC59" s="428">
        <v>639</v>
      </c>
      <c r="BD59" s="453"/>
      <c r="BE59" s="425">
        <v>0</v>
      </c>
      <c r="BF59" s="428"/>
      <c r="BG59" s="428"/>
      <c r="BH59" s="428">
        <f t="shared" si="59"/>
        <v>0</v>
      </c>
      <c r="BI59" s="83"/>
      <c r="BJ59" s="626"/>
      <c r="BK59" s="425">
        <v>342650</v>
      </c>
      <c r="BL59" s="428" t="e">
        <f>SUM(#REF!)</f>
        <v>#REF!</v>
      </c>
      <c r="BM59" s="428" t="e">
        <f>SUM(#REF!)</f>
        <v>#REF!</v>
      </c>
      <c r="BN59" s="428" t="e">
        <f t="shared" si="60"/>
        <v>#REF!</v>
      </c>
      <c r="BO59" s="428" t="e">
        <f>SUM(#REF!)</f>
        <v>#REF!</v>
      </c>
      <c r="BP59" s="428" t="e">
        <f>SUM(#REF!)</f>
        <v>#REF!</v>
      </c>
      <c r="BQ59" s="741">
        <f t="shared" si="61"/>
        <v>4333120</v>
      </c>
      <c r="BR59" s="741" t="e">
        <f t="shared" si="61"/>
        <v>#REF!</v>
      </c>
      <c r="BS59" s="741" t="e">
        <f t="shared" si="61"/>
        <v>#REF!</v>
      </c>
      <c r="BT59" s="741" t="e">
        <f t="shared" si="61"/>
        <v>#REF!</v>
      </c>
      <c r="BU59" s="562" t="e">
        <f t="shared" si="61"/>
        <v>#REF!</v>
      </c>
      <c r="BV59" s="676" t="e">
        <f t="shared" si="61"/>
        <v>#REF!</v>
      </c>
      <c r="BW59" s="425"/>
      <c r="BX59" s="428"/>
      <c r="BY59" s="428"/>
      <c r="BZ59" s="428"/>
      <c r="CA59" s="429">
        <f t="shared" si="62"/>
        <v>0</v>
      </c>
      <c r="CB59" s="430"/>
      <c r="CC59" s="425"/>
      <c r="CD59" s="428"/>
      <c r="CE59" s="428"/>
      <c r="CF59" s="428"/>
      <c r="CG59" s="428"/>
      <c r="CH59" s="453"/>
      <c r="CI59" s="436">
        <v>0</v>
      </c>
      <c r="CJ59" s="428"/>
      <c r="CK59" s="428"/>
      <c r="CL59" s="428">
        <f t="shared" si="70"/>
        <v>0</v>
      </c>
      <c r="CM59" s="454"/>
      <c r="CN59" s="460"/>
      <c r="CO59" s="425"/>
      <c r="CP59" s="428"/>
      <c r="CQ59" s="428"/>
      <c r="CR59" s="428">
        <f t="shared" si="64"/>
        <v>0</v>
      </c>
      <c r="CS59" s="428"/>
      <c r="CT59" s="453"/>
      <c r="CU59" s="425"/>
      <c r="CV59" s="428"/>
      <c r="CW59" s="428"/>
      <c r="CX59" s="428"/>
      <c r="CY59" s="428"/>
      <c r="CZ59" s="632"/>
      <c r="DA59" s="726">
        <v>1800</v>
      </c>
      <c r="DB59" s="9"/>
      <c r="DC59" s="9"/>
      <c r="DD59" s="9">
        <f t="shared" si="65"/>
        <v>1800</v>
      </c>
      <c r="DE59" s="9"/>
      <c r="DF59" s="727"/>
      <c r="DG59" s="472"/>
      <c r="DH59" s="472"/>
      <c r="DI59" s="472"/>
      <c r="DJ59" s="472"/>
      <c r="DK59" s="472"/>
      <c r="DL59" s="472"/>
      <c r="DM59" s="703"/>
      <c r="DN59" s="428"/>
      <c r="DO59" s="428"/>
      <c r="DP59" s="428"/>
      <c r="DQ59" s="428"/>
      <c r="DR59" s="704"/>
      <c r="DS59" s="617"/>
      <c r="DT59" s="617"/>
      <c r="DU59" s="617"/>
      <c r="DV59" s="617"/>
      <c r="DW59" s="617"/>
      <c r="DX59" s="617"/>
      <c r="DY59" s="668">
        <v>0</v>
      </c>
      <c r="DZ59" s="669"/>
      <c r="EA59" s="669"/>
      <c r="EB59" s="428">
        <f t="shared" si="66"/>
        <v>0</v>
      </c>
      <c r="EC59" s="428"/>
      <c r="ED59" s="453"/>
      <c r="EE59" s="587"/>
      <c r="EF59" s="437"/>
      <c r="EG59" s="437"/>
      <c r="EH59" s="437"/>
      <c r="EI59" s="437"/>
      <c r="EJ59" s="453"/>
      <c r="EK59" s="688">
        <f t="shared" si="67"/>
        <v>1800</v>
      </c>
      <c r="EL59" s="688">
        <f t="shared" si="67"/>
        <v>0</v>
      </c>
      <c r="EM59" s="688">
        <f t="shared" si="67"/>
        <v>0</v>
      </c>
      <c r="EN59" s="688">
        <f t="shared" si="67"/>
        <v>1800</v>
      </c>
      <c r="EO59" s="688">
        <f t="shared" si="67"/>
        <v>0</v>
      </c>
      <c r="EP59" s="687">
        <f t="shared" si="67"/>
        <v>0</v>
      </c>
      <c r="EQ59" s="739">
        <f t="shared" si="68"/>
        <v>4334920</v>
      </c>
      <c r="ER59" s="739" t="e">
        <f t="shared" si="68"/>
        <v>#REF!</v>
      </c>
      <c r="ES59" s="739" t="e">
        <f t="shared" si="68"/>
        <v>#REF!</v>
      </c>
      <c r="ET59" s="739" t="e">
        <f t="shared" si="68"/>
        <v>#REF!</v>
      </c>
      <c r="EU59" s="739" t="e">
        <f t="shared" si="68"/>
        <v>#REF!</v>
      </c>
      <c r="EV59" s="740" t="e">
        <f t="shared" si="68"/>
        <v>#REF!</v>
      </c>
      <c r="EW59" s="438" t="e">
        <f>SUM('общ.сводрайон без курсовой '!C59-#REF!-#REF!)</f>
        <v>#REF!</v>
      </c>
      <c r="EX59" s="438" t="e">
        <f>SUM('общ.сводрайон без курсовой '!D59-#REF!-#REF!)</f>
        <v>#REF!</v>
      </c>
      <c r="EY59" s="438" t="e">
        <f>SUM('общ.сводрайон без курсовой '!E59-#REF!-#REF!)</f>
        <v>#REF!</v>
      </c>
      <c r="EZ59" s="438" t="e">
        <f>SUM('общ.сводрайон без курсовой '!F59-#REF!-#REF!)</f>
        <v>#REF!</v>
      </c>
    </row>
    <row r="60" spans="1:183" s="439" customFormat="1" ht="18.95" customHeight="1">
      <c r="A60" s="440">
        <f t="shared" si="71"/>
        <v>46</v>
      </c>
      <c r="B60" s="441" t="s">
        <v>47</v>
      </c>
      <c r="C60" s="425">
        <f>4933767+14788</f>
        <v>4948555</v>
      </c>
      <c r="D60" s="428">
        <v>477864</v>
      </c>
      <c r="E60" s="428">
        <v>411796</v>
      </c>
      <c r="F60" s="428">
        <f t="shared" si="51"/>
        <v>5014623</v>
      </c>
      <c r="G60" s="428">
        <v>2983</v>
      </c>
      <c r="H60" s="453"/>
      <c r="I60" s="425">
        <v>0</v>
      </c>
      <c r="J60" s="428"/>
      <c r="K60" s="428"/>
      <c r="L60" s="428">
        <f t="shared" si="52"/>
        <v>0</v>
      </c>
      <c r="M60" s="508"/>
      <c r="N60" s="453"/>
      <c r="O60" s="425">
        <v>460250.41</v>
      </c>
      <c r="P60" s="428">
        <v>0</v>
      </c>
      <c r="Q60" s="428">
        <v>6200.41</v>
      </c>
      <c r="R60" s="428">
        <f t="shared" si="53"/>
        <v>454050</v>
      </c>
      <c r="S60" s="428"/>
      <c r="T60" s="453"/>
      <c r="U60" s="425">
        <v>0</v>
      </c>
      <c r="V60" s="428"/>
      <c r="W60" s="428"/>
      <c r="X60" s="428">
        <f t="shared" si="54"/>
        <v>0</v>
      </c>
      <c r="Y60" s="428"/>
      <c r="Z60" s="453"/>
      <c r="AA60" s="425">
        <v>61604</v>
      </c>
      <c r="AB60" s="428"/>
      <c r="AC60" s="428">
        <v>1231</v>
      </c>
      <c r="AD60" s="428">
        <f t="shared" si="55"/>
        <v>60373</v>
      </c>
      <c r="AE60" s="428"/>
      <c r="AF60" s="453"/>
      <c r="AG60" s="425">
        <v>0</v>
      </c>
      <c r="AH60" s="428"/>
      <c r="AI60" s="428"/>
      <c r="AJ60" s="428">
        <f t="shared" si="56"/>
        <v>0</v>
      </c>
      <c r="AK60" s="428"/>
      <c r="AL60" s="453"/>
      <c r="AM60" s="425">
        <v>0</v>
      </c>
      <c r="AN60" s="428"/>
      <c r="AO60" s="428"/>
      <c r="AP60" s="428">
        <f t="shared" si="57"/>
        <v>0</v>
      </c>
      <c r="AQ60" s="428"/>
      <c r="AR60" s="453"/>
      <c r="AS60" s="425">
        <v>0</v>
      </c>
      <c r="AT60" s="428">
        <v>0</v>
      </c>
      <c r="AU60" s="428">
        <v>0</v>
      </c>
      <c r="AV60" s="428">
        <f t="shared" si="69"/>
        <v>0</v>
      </c>
      <c r="AW60" s="508">
        <v>0</v>
      </c>
      <c r="AX60" s="453">
        <v>0</v>
      </c>
      <c r="AY60" s="425">
        <v>310996</v>
      </c>
      <c r="AZ60" s="428"/>
      <c r="BA60" s="428">
        <v>8325</v>
      </c>
      <c r="BB60" s="428">
        <f t="shared" si="58"/>
        <v>302671</v>
      </c>
      <c r="BC60" s="428">
        <v>289</v>
      </c>
      <c r="BD60" s="453"/>
      <c r="BE60" s="425">
        <v>0</v>
      </c>
      <c r="BF60" s="428"/>
      <c r="BG60" s="428"/>
      <c r="BH60" s="428">
        <f t="shared" si="59"/>
        <v>0</v>
      </c>
      <c r="BI60" s="83"/>
      <c r="BJ60" s="626"/>
      <c r="BK60" s="425">
        <v>388217</v>
      </c>
      <c r="BL60" s="428" t="e">
        <f>SUM(#REF!)</f>
        <v>#REF!</v>
      </c>
      <c r="BM60" s="428" t="e">
        <f>SUM(#REF!)</f>
        <v>#REF!</v>
      </c>
      <c r="BN60" s="428" t="e">
        <f t="shared" si="60"/>
        <v>#REF!</v>
      </c>
      <c r="BO60" s="428" t="e">
        <f>SUM(#REF!)</f>
        <v>#REF!</v>
      </c>
      <c r="BP60" s="428" t="e">
        <f>SUM(#REF!)</f>
        <v>#REF!</v>
      </c>
      <c r="BQ60" s="741">
        <f t="shared" si="61"/>
        <v>6169622.4100000001</v>
      </c>
      <c r="BR60" s="741" t="e">
        <f t="shared" si="61"/>
        <v>#REF!</v>
      </c>
      <c r="BS60" s="741" t="e">
        <f t="shared" si="61"/>
        <v>#REF!</v>
      </c>
      <c r="BT60" s="741" t="e">
        <f t="shared" si="61"/>
        <v>#REF!</v>
      </c>
      <c r="BU60" s="562" t="e">
        <f t="shared" si="61"/>
        <v>#REF!</v>
      </c>
      <c r="BV60" s="676" t="e">
        <f t="shared" si="61"/>
        <v>#REF!</v>
      </c>
      <c r="BW60" s="425"/>
      <c r="BX60" s="428"/>
      <c r="BY60" s="428"/>
      <c r="BZ60" s="428"/>
      <c r="CA60" s="429">
        <f t="shared" si="62"/>
        <v>0</v>
      </c>
      <c r="CB60" s="430"/>
      <c r="CC60" s="425"/>
      <c r="CD60" s="428"/>
      <c r="CE60" s="428"/>
      <c r="CF60" s="428"/>
      <c r="CG60" s="428"/>
      <c r="CH60" s="453"/>
      <c r="CI60" s="436">
        <v>0</v>
      </c>
      <c r="CJ60" s="428"/>
      <c r="CK60" s="428"/>
      <c r="CL60" s="428">
        <f t="shared" si="70"/>
        <v>0</v>
      </c>
      <c r="CM60" s="454"/>
      <c r="CN60" s="460"/>
      <c r="CO60" s="425"/>
      <c r="CP60" s="428"/>
      <c r="CQ60" s="428"/>
      <c r="CR60" s="428">
        <f t="shared" si="64"/>
        <v>0</v>
      </c>
      <c r="CS60" s="428"/>
      <c r="CT60" s="453"/>
      <c r="CU60" s="425"/>
      <c r="CV60" s="428"/>
      <c r="CW60" s="428"/>
      <c r="CX60" s="428"/>
      <c r="CY60" s="428"/>
      <c r="CZ60" s="632"/>
      <c r="DA60" s="726">
        <v>0</v>
      </c>
      <c r="DB60" s="9"/>
      <c r="DC60" s="9"/>
      <c r="DD60" s="9">
        <f t="shared" si="65"/>
        <v>0</v>
      </c>
      <c r="DE60" s="9"/>
      <c r="DF60" s="727"/>
      <c r="DG60" s="472"/>
      <c r="DH60" s="472"/>
      <c r="DI60" s="472"/>
      <c r="DJ60" s="472"/>
      <c r="DK60" s="472"/>
      <c r="DL60" s="472"/>
      <c r="DM60" s="703"/>
      <c r="DN60" s="428"/>
      <c r="DO60" s="428"/>
      <c r="DP60" s="428"/>
      <c r="DQ60" s="428"/>
      <c r="DR60" s="704"/>
      <c r="DS60" s="617"/>
      <c r="DT60" s="617"/>
      <c r="DU60" s="617"/>
      <c r="DV60" s="617"/>
      <c r="DW60" s="617"/>
      <c r="DX60" s="617"/>
      <c r="DY60" s="668">
        <v>0</v>
      </c>
      <c r="DZ60" s="669"/>
      <c r="EA60" s="669"/>
      <c r="EB60" s="428">
        <f t="shared" si="66"/>
        <v>0</v>
      </c>
      <c r="EC60" s="428"/>
      <c r="ED60" s="453"/>
      <c r="EE60" s="587"/>
      <c r="EF60" s="437"/>
      <c r="EG60" s="437"/>
      <c r="EH60" s="437"/>
      <c r="EI60" s="437"/>
      <c r="EJ60" s="453"/>
      <c r="EK60" s="688">
        <f t="shared" si="67"/>
        <v>0</v>
      </c>
      <c r="EL60" s="688">
        <f t="shared" si="67"/>
        <v>0</v>
      </c>
      <c r="EM60" s="688">
        <f t="shared" si="67"/>
        <v>0</v>
      </c>
      <c r="EN60" s="688">
        <f t="shared" si="67"/>
        <v>0</v>
      </c>
      <c r="EO60" s="688">
        <f t="shared" si="67"/>
        <v>0</v>
      </c>
      <c r="EP60" s="687">
        <f t="shared" si="67"/>
        <v>0</v>
      </c>
      <c r="EQ60" s="739">
        <f t="shared" si="68"/>
        <v>6169622.4100000001</v>
      </c>
      <c r="ER60" s="739" t="e">
        <f t="shared" si="68"/>
        <v>#REF!</v>
      </c>
      <c r="ES60" s="739" t="e">
        <f t="shared" si="68"/>
        <v>#REF!</v>
      </c>
      <c r="ET60" s="739" t="e">
        <f t="shared" si="68"/>
        <v>#REF!</v>
      </c>
      <c r="EU60" s="739" t="e">
        <f t="shared" si="68"/>
        <v>#REF!</v>
      </c>
      <c r="EV60" s="740" t="e">
        <f t="shared" si="68"/>
        <v>#REF!</v>
      </c>
      <c r="EW60" s="438" t="e">
        <f>SUM('общ.сводрайон без курсовой '!C60-#REF!-#REF!)</f>
        <v>#REF!</v>
      </c>
      <c r="EX60" s="438" t="e">
        <f>SUM('общ.сводрайон без курсовой '!D60-#REF!-#REF!)</f>
        <v>#REF!</v>
      </c>
      <c r="EY60" s="438" t="e">
        <f>SUM('общ.сводрайон без курсовой '!E60-#REF!-#REF!)</f>
        <v>#REF!</v>
      </c>
      <c r="EZ60" s="438" t="e">
        <f>SUM('общ.сводрайон без курсовой '!F60-#REF!-#REF!)</f>
        <v>#REF!</v>
      </c>
    </row>
    <row r="61" spans="1:183" s="439" customFormat="1" ht="18.95" customHeight="1">
      <c r="A61" s="473"/>
      <c r="B61" s="474" t="s">
        <v>50</v>
      </c>
      <c r="C61" s="475">
        <f>SUM(C36:C60)</f>
        <v>42574835</v>
      </c>
      <c r="D61" s="476">
        <f>SUM(D36:D60)</f>
        <v>8538613</v>
      </c>
      <c r="E61" s="476">
        <f>SUM(E36:E60)</f>
        <v>3499730</v>
      </c>
      <c r="F61" s="476">
        <f t="shared" ref="F61:BQ61" si="72">SUM(F36:F60)</f>
        <v>47613718</v>
      </c>
      <c r="G61" s="476">
        <f>SUM(G36:G60)</f>
        <v>27242</v>
      </c>
      <c r="H61" s="477">
        <f>SUM(H36:H60)</f>
        <v>0</v>
      </c>
      <c r="I61" s="475">
        <f t="shared" si="72"/>
        <v>69625597</v>
      </c>
      <c r="J61" s="476">
        <f t="shared" si="72"/>
        <v>2030790</v>
      </c>
      <c r="K61" s="476">
        <f t="shared" si="72"/>
        <v>7356782</v>
      </c>
      <c r="L61" s="476">
        <f t="shared" si="72"/>
        <v>64299605</v>
      </c>
      <c r="M61" s="528">
        <f t="shared" si="72"/>
        <v>33982</v>
      </c>
      <c r="N61" s="477">
        <f t="shared" si="72"/>
        <v>0</v>
      </c>
      <c r="O61" s="475">
        <f t="shared" si="72"/>
        <v>32257969.810000002</v>
      </c>
      <c r="P61" s="476">
        <f t="shared" si="72"/>
        <v>1537150</v>
      </c>
      <c r="Q61" s="476">
        <f t="shared" si="72"/>
        <v>679496.80999999994</v>
      </c>
      <c r="R61" s="476">
        <f t="shared" si="72"/>
        <v>33115623</v>
      </c>
      <c r="S61" s="476">
        <f t="shared" si="72"/>
        <v>318</v>
      </c>
      <c r="T61" s="477">
        <f t="shared" si="72"/>
        <v>0</v>
      </c>
      <c r="U61" s="475">
        <f t="shared" si="72"/>
        <v>33670611</v>
      </c>
      <c r="V61" s="476">
        <f>SUM(V36:V60)</f>
        <v>7188160.7599999998</v>
      </c>
      <c r="W61" s="476">
        <f>SUM(W36:W60)</f>
        <v>5506873.9699999997</v>
      </c>
      <c r="X61" s="476">
        <f t="shared" si="72"/>
        <v>35351897.789999999</v>
      </c>
      <c r="Y61" s="476">
        <f>SUM(Y36:Y60)</f>
        <v>8157</v>
      </c>
      <c r="Z61" s="477">
        <f>SUM(Z36:Z60)</f>
        <v>0</v>
      </c>
      <c r="AA61" s="475">
        <f>SUM(AA36:AA60)</f>
        <v>29369702.520000003</v>
      </c>
      <c r="AB61" s="476">
        <f t="shared" si="72"/>
        <v>924939.57000000007</v>
      </c>
      <c r="AC61" s="476">
        <f t="shared" si="72"/>
        <v>577238.40480500006</v>
      </c>
      <c r="AD61" s="476">
        <f t="shared" si="72"/>
        <v>29717403.685194999</v>
      </c>
      <c r="AE61" s="476">
        <f t="shared" si="72"/>
        <v>2055</v>
      </c>
      <c r="AF61" s="477">
        <f t="shared" si="72"/>
        <v>0</v>
      </c>
      <c r="AG61" s="475">
        <f t="shared" si="72"/>
        <v>6824952</v>
      </c>
      <c r="AH61" s="476">
        <f t="shared" si="72"/>
        <v>661382</v>
      </c>
      <c r="AI61" s="476">
        <f t="shared" si="72"/>
        <v>677291</v>
      </c>
      <c r="AJ61" s="476">
        <f t="shared" si="72"/>
        <v>6809043</v>
      </c>
      <c r="AK61" s="476">
        <f t="shared" si="72"/>
        <v>0</v>
      </c>
      <c r="AL61" s="477">
        <f t="shared" si="72"/>
        <v>0</v>
      </c>
      <c r="AM61" s="475">
        <f t="shared" si="72"/>
        <v>1470.78</v>
      </c>
      <c r="AN61" s="476">
        <f t="shared" si="72"/>
        <v>0</v>
      </c>
      <c r="AO61" s="476">
        <f t="shared" si="72"/>
        <v>280.69</v>
      </c>
      <c r="AP61" s="476">
        <f t="shared" si="72"/>
        <v>1190.0899999999999</v>
      </c>
      <c r="AQ61" s="476">
        <f t="shared" si="72"/>
        <v>0</v>
      </c>
      <c r="AR61" s="477">
        <f t="shared" si="72"/>
        <v>0</v>
      </c>
      <c r="AS61" s="475">
        <f t="shared" si="72"/>
        <v>40666</v>
      </c>
      <c r="AT61" s="476">
        <f t="shared" si="72"/>
        <v>0</v>
      </c>
      <c r="AU61" s="476">
        <f t="shared" si="72"/>
        <v>17866</v>
      </c>
      <c r="AV61" s="476">
        <f t="shared" si="72"/>
        <v>22800</v>
      </c>
      <c r="AW61" s="528">
        <f t="shared" si="72"/>
        <v>0</v>
      </c>
      <c r="AX61" s="477">
        <f t="shared" si="72"/>
        <v>0</v>
      </c>
      <c r="AY61" s="475">
        <f t="shared" si="72"/>
        <v>14392067</v>
      </c>
      <c r="AZ61" s="476">
        <f t="shared" si="72"/>
        <v>176741</v>
      </c>
      <c r="BA61" s="476">
        <f t="shared" si="72"/>
        <v>1131347</v>
      </c>
      <c r="BB61" s="476">
        <f t="shared" si="72"/>
        <v>13437461</v>
      </c>
      <c r="BC61" s="476">
        <f t="shared" si="72"/>
        <v>7935</v>
      </c>
      <c r="BD61" s="477">
        <f t="shared" si="72"/>
        <v>0</v>
      </c>
      <c r="BE61" s="475">
        <f t="shared" si="72"/>
        <v>2702950</v>
      </c>
      <c r="BF61" s="476">
        <f t="shared" si="72"/>
        <v>99615</v>
      </c>
      <c r="BG61" s="476">
        <f t="shared" si="72"/>
        <v>149008</v>
      </c>
      <c r="BH61" s="476">
        <f t="shared" si="72"/>
        <v>2653557</v>
      </c>
      <c r="BI61" s="743">
        <f t="shared" si="72"/>
        <v>10676</v>
      </c>
      <c r="BJ61" s="743">
        <f t="shared" si="72"/>
        <v>-5427</v>
      </c>
      <c r="BK61" s="475">
        <f t="shared" si="72"/>
        <v>27481612.220000003</v>
      </c>
      <c r="BL61" s="476" t="e">
        <f t="shared" si="72"/>
        <v>#REF!</v>
      </c>
      <c r="BM61" s="476" t="e">
        <f t="shared" si="72"/>
        <v>#REF!</v>
      </c>
      <c r="BN61" s="476" t="e">
        <f t="shared" si="72"/>
        <v>#REF!</v>
      </c>
      <c r="BO61" s="476" t="e">
        <f t="shared" si="72"/>
        <v>#REF!</v>
      </c>
      <c r="BP61" s="477" t="e">
        <f t="shared" si="72"/>
        <v>#REF!</v>
      </c>
      <c r="BQ61" s="552">
        <f t="shared" si="72"/>
        <v>258942433.32999995</v>
      </c>
      <c r="BR61" s="553" t="e">
        <f t="shared" ref="BR61:DR61" si="73">SUM(BR36:BR60)</f>
        <v>#REF!</v>
      </c>
      <c r="BS61" s="553" t="e">
        <f t="shared" si="73"/>
        <v>#REF!</v>
      </c>
      <c r="BT61" s="553" t="e">
        <f t="shared" si="73"/>
        <v>#REF!</v>
      </c>
      <c r="BU61" s="553" t="e">
        <f t="shared" si="73"/>
        <v>#REF!</v>
      </c>
      <c r="BV61" s="576" t="e">
        <f t="shared" si="73"/>
        <v>#REF!</v>
      </c>
      <c r="BW61" s="475">
        <f t="shared" si="73"/>
        <v>82000</v>
      </c>
      <c r="BX61" s="476">
        <f t="shared" si="73"/>
        <v>0</v>
      </c>
      <c r="BY61" s="476">
        <f t="shared" si="73"/>
        <v>0</v>
      </c>
      <c r="BZ61" s="476">
        <f t="shared" si="73"/>
        <v>82000</v>
      </c>
      <c r="CA61" s="476">
        <f t="shared" si="73"/>
        <v>0</v>
      </c>
      <c r="CB61" s="477">
        <f t="shared" si="73"/>
        <v>0</v>
      </c>
      <c r="CC61" s="475">
        <f t="shared" si="73"/>
        <v>0</v>
      </c>
      <c r="CD61" s="476">
        <f t="shared" si="73"/>
        <v>0</v>
      </c>
      <c r="CE61" s="476">
        <f t="shared" si="73"/>
        <v>0</v>
      </c>
      <c r="CF61" s="476">
        <f t="shared" si="73"/>
        <v>0</v>
      </c>
      <c r="CG61" s="476">
        <f t="shared" si="73"/>
        <v>0</v>
      </c>
      <c r="CH61" s="477">
        <f t="shared" si="73"/>
        <v>0</v>
      </c>
      <c r="CI61" s="478">
        <f t="shared" si="73"/>
        <v>144244</v>
      </c>
      <c r="CJ61" s="479">
        <f t="shared" si="73"/>
        <v>70000</v>
      </c>
      <c r="CK61" s="479">
        <f t="shared" si="73"/>
        <v>0</v>
      </c>
      <c r="CL61" s="479">
        <f t="shared" si="73"/>
        <v>214244</v>
      </c>
      <c r="CM61" s="480">
        <f t="shared" si="73"/>
        <v>14</v>
      </c>
      <c r="CN61" s="481">
        <f t="shared" si="73"/>
        <v>0</v>
      </c>
      <c r="CO61" s="475">
        <f t="shared" si="73"/>
        <v>0</v>
      </c>
      <c r="CP61" s="476">
        <f t="shared" si="73"/>
        <v>0</v>
      </c>
      <c r="CQ61" s="476">
        <f t="shared" si="73"/>
        <v>0</v>
      </c>
      <c r="CR61" s="476">
        <f t="shared" si="73"/>
        <v>0</v>
      </c>
      <c r="CS61" s="476">
        <f t="shared" si="73"/>
        <v>0</v>
      </c>
      <c r="CT61" s="477">
        <f t="shared" si="73"/>
        <v>0</v>
      </c>
      <c r="CU61" s="475">
        <f t="shared" si="73"/>
        <v>1200</v>
      </c>
      <c r="CV61" s="476">
        <f t="shared" si="73"/>
        <v>0</v>
      </c>
      <c r="CW61" s="476">
        <f t="shared" si="73"/>
        <v>0</v>
      </c>
      <c r="CX61" s="476">
        <f t="shared" si="73"/>
        <v>1200</v>
      </c>
      <c r="CY61" s="476">
        <f t="shared" si="73"/>
        <v>0</v>
      </c>
      <c r="CZ61" s="716">
        <f t="shared" si="73"/>
        <v>0</v>
      </c>
      <c r="DA61" s="730">
        <f t="shared" si="73"/>
        <v>2114723</v>
      </c>
      <c r="DB61" s="421">
        <f t="shared" si="73"/>
        <v>4000</v>
      </c>
      <c r="DC61" s="421">
        <f t="shared" si="73"/>
        <v>100</v>
      </c>
      <c r="DD61" s="421">
        <f t="shared" si="73"/>
        <v>2118623</v>
      </c>
      <c r="DE61" s="421">
        <f t="shared" si="73"/>
        <v>96</v>
      </c>
      <c r="DF61" s="731">
        <f t="shared" si="73"/>
        <v>0</v>
      </c>
      <c r="DG61" s="684"/>
      <c r="DH61" s="686"/>
      <c r="DI61" s="686"/>
      <c r="DJ61" s="686"/>
      <c r="DK61" s="686"/>
      <c r="DL61" s="683"/>
      <c r="DM61" s="705">
        <f t="shared" si="73"/>
        <v>0</v>
      </c>
      <c r="DN61" s="476">
        <f t="shared" si="73"/>
        <v>715000</v>
      </c>
      <c r="DO61" s="476">
        <f t="shared" si="73"/>
        <v>0</v>
      </c>
      <c r="DP61" s="476">
        <f t="shared" si="73"/>
        <v>715000</v>
      </c>
      <c r="DQ61" s="476">
        <f t="shared" si="73"/>
        <v>0</v>
      </c>
      <c r="DR61" s="706">
        <f t="shared" si="73"/>
        <v>0</v>
      </c>
      <c r="DS61" s="618"/>
      <c r="DT61" s="618"/>
      <c r="DU61" s="618"/>
      <c r="DV61" s="618"/>
      <c r="DW61" s="618"/>
      <c r="DX61" s="618"/>
      <c r="DY61" s="475">
        <f t="shared" ref="DY61:EJ61" si="74">SUM(DY36:DY60)</f>
        <v>789842003</v>
      </c>
      <c r="DZ61" s="476">
        <f t="shared" si="74"/>
        <v>2063272</v>
      </c>
      <c r="EA61" s="476">
        <f t="shared" si="74"/>
        <v>642996</v>
      </c>
      <c r="EB61" s="476">
        <f t="shared" si="74"/>
        <v>791262279</v>
      </c>
      <c r="EC61" s="476">
        <f t="shared" si="74"/>
        <v>346634</v>
      </c>
      <c r="ED61" s="477">
        <f t="shared" si="74"/>
        <v>0</v>
      </c>
      <c r="EE61" s="475">
        <f t="shared" si="74"/>
        <v>1187980</v>
      </c>
      <c r="EF61" s="476">
        <f t="shared" si="74"/>
        <v>0</v>
      </c>
      <c r="EG61" s="476">
        <f t="shared" si="74"/>
        <v>0</v>
      </c>
      <c r="EH61" s="476">
        <f t="shared" si="74"/>
        <v>1187980</v>
      </c>
      <c r="EI61" s="476">
        <f t="shared" si="74"/>
        <v>0</v>
      </c>
      <c r="EJ61" s="477">
        <f t="shared" si="74"/>
        <v>0</v>
      </c>
      <c r="EK61" s="691">
        <f t="shared" ref="EK61:EP61" si="75">SUM(EK36:EK60)</f>
        <v>793372150</v>
      </c>
      <c r="EL61" s="691">
        <f t="shared" si="75"/>
        <v>2852272</v>
      </c>
      <c r="EM61" s="691">
        <f t="shared" si="75"/>
        <v>643096</v>
      </c>
      <c r="EN61" s="691">
        <f t="shared" si="75"/>
        <v>795581326</v>
      </c>
      <c r="EO61" s="691">
        <f t="shared" si="75"/>
        <v>346744</v>
      </c>
      <c r="EP61" s="618">
        <f t="shared" si="75"/>
        <v>0</v>
      </c>
      <c r="EQ61" s="600">
        <f t="shared" ref="EQ61:EV61" si="76">SUM(EQ36:EQ60)</f>
        <v>1052314583.33</v>
      </c>
      <c r="ER61" s="601" t="e">
        <f t="shared" si="76"/>
        <v>#REF!</v>
      </c>
      <c r="ES61" s="601" t="e">
        <f t="shared" si="76"/>
        <v>#REF!</v>
      </c>
      <c r="ET61" s="601" t="e">
        <f t="shared" si="76"/>
        <v>#REF!</v>
      </c>
      <c r="EU61" s="601" t="e">
        <f t="shared" si="76"/>
        <v>#REF!</v>
      </c>
      <c r="EV61" s="602" t="e">
        <f t="shared" si="76"/>
        <v>#REF!</v>
      </c>
      <c r="EW61" s="438" t="e">
        <f>SUM('общ.сводрайон без курсовой '!C61-#REF!-#REF!)</f>
        <v>#REF!</v>
      </c>
      <c r="EX61" s="438" t="e">
        <f>SUM('общ.сводрайон без курсовой '!D61-#REF!-#REF!)</f>
        <v>#REF!</v>
      </c>
      <c r="EY61" s="438" t="e">
        <f>SUM('общ.сводрайон без курсовой '!E61-#REF!-#REF!)</f>
        <v>#REF!</v>
      </c>
      <c r="EZ61" s="438" t="e">
        <f>SUM('общ.сводрайон без курсовой '!F61-#REF!-#REF!)</f>
        <v>#REF!</v>
      </c>
    </row>
    <row r="62" spans="1:183" s="439" customFormat="1" ht="18.95" customHeight="1" thickBot="1">
      <c r="A62" s="440"/>
      <c r="B62" s="482" t="s">
        <v>74</v>
      </c>
      <c r="C62" s="425"/>
      <c r="D62" s="429"/>
      <c r="E62" s="429"/>
      <c r="F62" s="634">
        <f>SUM(F61+G61-H61)</f>
        <v>47640960</v>
      </c>
      <c r="G62" s="429"/>
      <c r="H62" s="430"/>
      <c r="I62" s="425"/>
      <c r="J62" s="429"/>
      <c r="K62" s="429"/>
      <c r="L62" s="428">
        <f>SUM(L61+M61)</f>
        <v>64333587</v>
      </c>
      <c r="M62" s="541"/>
      <c r="N62" s="430"/>
      <c r="O62" s="425"/>
      <c r="P62" s="429"/>
      <c r="Q62" s="429"/>
      <c r="R62" s="428">
        <f>SUM(R61+S61-T61)</f>
        <v>33115941</v>
      </c>
      <c r="S62" s="429"/>
      <c r="T62" s="430"/>
      <c r="U62" s="425"/>
      <c r="V62" s="429"/>
      <c r="W62" s="429"/>
      <c r="X62" s="428"/>
      <c r="Y62" s="429"/>
      <c r="Z62" s="430"/>
      <c r="AA62" s="425"/>
      <c r="AB62" s="429"/>
      <c r="AC62" s="429"/>
      <c r="AD62" s="428"/>
      <c r="AE62" s="429"/>
      <c r="AF62" s="430"/>
      <c r="AG62" s="425"/>
      <c r="AH62" s="429"/>
      <c r="AI62" s="429"/>
      <c r="AJ62" s="428"/>
      <c r="AK62" s="429"/>
      <c r="AL62" s="430"/>
      <c r="AM62" s="425"/>
      <c r="AN62" s="429"/>
      <c r="AO62" s="429"/>
      <c r="AP62" s="428"/>
      <c r="AQ62" s="429"/>
      <c r="AR62" s="430"/>
      <c r="AS62" s="425"/>
      <c r="AT62" s="429"/>
      <c r="AU62" s="429"/>
      <c r="AV62" s="428"/>
      <c r="AW62" s="541"/>
      <c r="AX62" s="430"/>
      <c r="AY62" s="425"/>
      <c r="AZ62" s="429"/>
      <c r="BA62" s="429"/>
      <c r="BB62" s="545">
        <f>SUM(BB61+BC61)</f>
        <v>13445396</v>
      </c>
      <c r="BC62" s="429"/>
      <c r="BD62" s="430"/>
      <c r="BE62" s="425"/>
      <c r="BF62" s="429"/>
      <c r="BG62" s="429"/>
      <c r="BH62" s="545">
        <f>SUM(BH61+BI61)</f>
        <v>2664233</v>
      </c>
      <c r="BI62" s="627"/>
      <c r="BJ62" s="628"/>
      <c r="BK62" s="425"/>
      <c r="BL62" s="428"/>
      <c r="BM62" s="428"/>
      <c r="BN62" s="428"/>
      <c r="BO62" s="428"/>
      <c r="BP62" s="453"/>
      <c r="BQ62" s="566"/>
      <c r="BR62" s="566"/>
      <c r="BS62" s="566"/>
      <c r="BT62" s="566"/>
      <c r="BU62" s="566"/>
      <c r="BV62" s="565"/>
      <c r="BW62" s="425"/>
      <c r="BX62" s="428"/>
      <c r="BY62" s="428"/>
      <c r="BZ62" s="545">
        <f>SUM(BZ61+CA61)</f>
        <v>82000</v>
      </c>
      <c r="CA62" s="428"/>
      <c r="CB62" s="453"/>
      <c r="CC62" s="425"/>
      <c r="CD62" s="428"/>
      <c r="CE62" s="428"/>
      <c r="CF62" s="428"/>
      <c r="CG62" s="428"/>
      <c r="CH62" s="453"/>
      <c r="CI62" s="432"/>
      <c r="CJ62" s="432"/>
      <c r="CK62" s="432"/>
      <c r="CL62" s="432"/>
      <c r="CM62" s="432"/>
      <c r="CN62" s="460"/>
      <c r="CO62" s="425"/>
      <c r="CP62" s="428"/>
      <c r="CQ62" s="428"/>
      <c r="CR62" s="428"/>
      <c r="CS62" s="428"/>
      <c r="CT62" s="453"/>
      <c r="CU62" s="425"/>
      <c r="CV62" s="428"/>
      <c r="CW62" s="428"/>
      <c r="CX62" s="428"/>
      <c r="CY62" s="428"/>
      <c r="CZ62" s="632"/>
      <c r="DA62" s="726"/>
      <c r="DB62" s="9"/>
      <c r="DC62" s="9"/>
      <c r="DD62" s="355">
        <f>SUM(DD61+DE61)</f>
        <v>2118719</v>
      </c>
      <c r="DE62" s="9"/>
      <c r="DF62" s="727"/>
      <c r="DG62" s="472"/>
      <c r="DH62" s="472"/>
      <c r="DI62" s="472"/>
      <c r="DJ62" s="472"/>
      <c r="DK62" s="472"/>
      <c r="DL62" s="472"/>
      <c r="DM62" s="703"/>
      <c r="DN62" s="428"/>
      <c r="DO62" s="428"/>
      <c r="DP62" s="428"/>
      <c r="DQ62" s="428"/>
      <c r="DR62" s="704"/>
      <c r="DS62" s="617"/>
      <c r="DT62" s="617"/>
      <c r="DU62" s="617"/>
      <c r="DV62" s="617"/>
      <c r="DW62" s="617"/>
      <c r="DX62" s="617"/>
      <c r="DY62" s="425"/>
      <c r="DZ62" s="428"/>
      <c r="EA62" s="428"/>
      <c r="EB62" s="634">
        <f>SUM(DY61+DZ61-EA61+EC61-ED61)</f>
        <v>791608913</v>
      </c>
      <c r="EC62" s="428"/>
      <c r="ED62" s="453"/>
      <c r="EE62" s="587"/>
      <c r="EF62" s="437"/>
      <c r="EG62" s="437"/>
      <c r="EH62" s="437"/>
      <c r="EI62" s="437"/>
      <c r="EJ62" s="453"/>
      <c r="EK62" s="687"/>
      <c r="EL62" s="617"/>
      <c r="EM62" s="617"/>
      <c r="EN62" s="617"/>
      <c r="EO62" s="617"/>
      <c r="EP62" s="617"/>
      <c r="EQ62" s="1221"/>
      <c r="ER62" s="1222"/>
      <c r="ES62" s="1222"/>
      <c r="ET62" s="1222"/>
      <c r="EU62" s="1222"/>
      <c r="EV62" s="599"/>
      <c r="EW62" s="438" t="e">
        <f>SUM('общ.сводрайон без курсовой '!C62-#REF!-#REF!)</f>
        <v>#REF!</v>
      </c>
      <c r="EX62" s="438" t="e">
        <f>SUM('общ.сводрайон без курсовой '!D62-#REF!-#REF!)</f>
        <v>#REF!</v>
      </c>
      <c r="EY62" s="438" t="e">
        <f>SUM('общ.сводрайон без курсовой '!E62-#REF!-#REF!)</f>
        <v>#REF!</v>
      </c>
      <c r="EZ62" s="438" t="e">
        <f>SUM('общ.сводрайон без курсовой '!F62-#REF!-#REF!)</f>
        <v>#REF!</v>
      </c>
    </row>
    <row r="63" spans="1:183" s="439" customFormat="1" ht="18.95" customHeight="1">
      <c r="A63" s="467">
        <v>47</v>
      </c>
      <c r="B63" s="468" t="s">
        <v>5</v>
      </c>
      <c r="C63" s="425">
        <f>60599854+990576</f>
        <v>61590430</v>
      </c>
      <c r="D63" s="428">
        <v>5166111</v>
      </c>
      <c r="E63" s="428">
        <v>6028100</v>
      </c>
      <c r="F63" s="428">
        <f>SUM(C63+D63-E63)</f>
        <v>60728441</v>
      </c>
      <c r="G63" s="428">
        <v>55848</v>
      </c>
      <c r="H63" s="453"/>
      <c r="I63" s="425">
        <f>22276386+77220</f>
        <v>22353606</v>
      </c>
      <c r="J63" s="428">
        <v>3051576</v>
      </c>
      <c r="K63" s="428">
        <v>2053988</v>
      </c>
      <c r="L63" s="428">
        <f>SUM(I63+J63-K63)</f>
        <v>23351194</v>
      </c>
      <c r="M63" s="508">
        <v>17741</v>
      </c>
      <c r="N63" s="453"/>
      <c r="O63" s="425">
        <f>10298379+1276</f>
        <v>10299655</v>
      </c>
      <c r="P63" s="428">
        <v>21800</v>
      </c>
      <c r="Q63" s="428">
        <v>130977</v>
      </c>
      <c r="R63" s="428">
        <f>SUM(O63+P63-Q63)</f>
        <v>10190478</v>
      </c>
      <c r="S63" s="428">
        <v>170</v>
      </c>
      <c r="T63" s="453"/>
      <c r="U63" s="425">
        <f>13435625+99599</f>
        <v>13535224</v>
      </c>
      <c r="V63" s="428">
        <v>1667598.28</v>
      </c>
      <c r="W63" s="428">
        <v>1222440.52</v>
      </c>
      <c r="X63" s="428">
        <f>SUM(U63+V63-W63)</f>
        <v>13980381.76</v>
      </c>
      <c r="Y63" s="428">
        <v>9256.7800000000007</v>
      </c>
      <c r="Z63" s="453"/>
      <c r="AA63" s="425">
        <f>5483661.69+5257.77</f>
        <v>5488919.46</v>
      </c>
      <c r="AB63" s="428">
        <v>800139.36</v>
      </c>
      <c r="AC63" s="428">
        <v>451099.8</v>
      </c>
      <c r="AD63" s="428">
        <f>SUM(AA63+AB63-AC63)</f>
        <v>5837959.0200000005</v>
      </c>
      <c r="AE63" s="428">
        <v>1331</v>
      </c>
      <c r="AF63" s="453"/>
      <c r="AG63" s="425">
        <v>29872945</v>
      </c>
      <c r="AH63" s="428">
        <v>5389257</v>
      </c>
      <c r="AI63" s="428">
        <v>4421980</v>
      </c>
      <c r="AJ63" s="428">
        <f>SUM(AG63+AH63-AI63)</f>
        <v>30840222</v>
      </c>
      <c r="AK63" s="428"/>
      <c r="AL63" s="453"/>
      <c r="AM63" s="538">
        <v>0</v>
      </c>
      <c r="AN63" s="539"/>
      <c r="AO63" s="539"/>
      <c r="AP63" s="428">
        <f>SUM(AM63+AN63-AO63)</f>
        <v>0</v>
      </c>
      <c r="AQ63" s="428"/>
      <c r="AR63" s="453"/>
      <c r="AS63" s="425">
        <f>26840837+1592949</f>
        <v>28433786</v>
      </c>
      <c r="AT63" s="428">
        <v>6497183</v>
      </c>
      <c r="AU63" s="508">
        <v>3780725</v>
      </c>
      <c r="AV63" s="508">
        <f>SUM(AS63+AT63-AU63)</f>
        <v>31150244</v>
      </c>
      <c r="AW63" s="508">
        <v>202504</v>
      </c>
      <c r="AX63" s="453">
        <v>0</v>
      </c>
      <c r="AY63" s="425">
        <f>5309787+64734</f>
        <v>5374521</v>
      </c>
      <c r="AZ63" s="428">
        <v>465741</v>
      </c>
      <c r="BA63" s="428">
        <v>859935</v>
      </c>
      <c r="BB63" s="428">
        <f>SUM(AY63+AZ63-BA63)</f>
        <v>4980327</v>
      </c>
      <c r="BC63" s="428">
        <v>4177</v>
      </c>
      <c r="BD63" s="453"/>
      <c r="BE63" s="425">
        <v>0</v>
      </c>
      <c r="BF63" s="428"/>
      <c r="BG63" s="428"/>
      <c r="BH63" s="581">
        <f>SUM(BE63+BF63-BG63)</f>
        <v>0</v>
      </c>
      <c r="BI63" s="81"/>
      <c r="BJ63" s="629"/>
      <c r="BK63" s="425">
        <f>2447429.28+2550.37</f>
        <v>2449979.65</v>
      </c>
      <c r="BL63" s="428" t="e">
        <f>SUM(#REF!)</f>
        <v>#REF!</v>
      </c>
      <c r="BM63" s="428" t="e">
        <f>SUM(#REF!)</f>
        <v>#REF!</v>
      </c>
      <c r="BN63" s="428" t="e">
        <f t="shared" ref="BN63:BN80" si="77">SUM(BK63+BL63-BM63)</f>
        <v>#REF!</v>
      </c>
      <c r="BO63" s="428"/>
      <c r="BP63" s="428" t="e">
        <f>SUM(#REF!)</f>
        <v>#REF!</v>
      </c>
      <c r="BQ63" s="741">
        <f t="shared" ref="BQ63:BV80" si="78">SUM(C63+I63+O63+AA63+AG63+AM63+AS63+U63+AY63+BK63+BE63)</f>
        <v>179399066.10999998</v>
      </c>
      <c r="BR63" s="741" t="e">
        <f t="shared" si="78"/>
        <v>#REF!</v>
      </c>
      <c r="BS63" s="741" t="e">
        <f t="shared" si="78"/>
        <v>#REF!</v>
      </c>
      <c r="BT63" s="741" t="e">
        <f t="shared" si="78"/>
        <v>#REF!</v>
      </c>
      <c r="BU63" s="562">
        <f t="shared" si="78"/>
        <v>291027.78000000003</v>
      </c>
      <c r="BV63" s="676" t="e">
        <f t="shared" si="78"/>
        <v>#REF!</v>
      </c>
      <c r="BW63" s="425"/>
      <c r="BX63" s="428"/>
      <c r="BY63" s="428"/>
      <c r="BZ63" s="428"/>
      <c r="CA63" s="429">
        <f t="shared" ref="CA63:CA80" si="79">SUM(BW63+BX63-BY63-BZ63)</f>
        <v>0</v>
      </c>
      <c r="CB63" s="430"/>
      <c r="CC63" s="425"/>
      <c r="CD63" s="428"/>
      <c r="CE63" s="428"/>
      <c r="CF63" s="428"/>
      <c r="CG63" s="428"/>
      <c r="CH63" s="453"/>
      <c r="CI63" s="483">
        <f>25037+127</f>
        <v>25164</v>
      </c>
      <c r="CJ63" s="484">
        <v>12353</v>
      </c>
      <c r="CK63" s="484"/>
      <c r="CL63" s="428">
        <f>SUM(CI63+CJ63-CK63)</f>
        <v>37517</v>
      </c>
      <c r="CM63" s="485">
        <v>18</v>
      </c>
      <c r="CN63" s="460"/>
      <c r="CO63" s="425">
        <v>947289</v>
      </c>
      <c r="CP63" s="428">
        <v>93500</v>
      </c>
      <c r="CQ63" s="428">
        <v>159410</v>
      </c>
      <c r="CR63" s="428">
        <f>SUM(CO63+CP63-CQ63)</f>
        <v>881379</v>
      </c>
      <c r="CS63" s="428"/>
      <c r="CT63" s="453"/>
      <c r="CU63" s="425">
        <f>276165-203</f>
        <v>275962</v>
      </c>
      <c r="CV63" s="655">
        <v>35000</v>
      </c>
      <c r="CW63" s="655">
        <v>518</v>
      </c>
      <c r="CX63" s="428">
        <f>SUM(CU63+CV63-CW63)</f>
        <v>310444</v>
      </c>
      <c r="CY63" s="655">
        <v>12</v>
      </c>
      <c r="CZ63" s="632"/>
      <c r="DA63" s="726">
        <v>147</v>
      </c>
      <c r="DB63" s="9"/>
      <c r="DC63" s="9"/>
      <c r="DD63" s="9">
        <f>SUM(DA63+DB63-DC63)</f>
        <v>147</v>
      </c>
      <c r="DE63" s="9"/>
      <c r="DF63" s="727"/>
      <c r="DG63" s="472"/>
      <c r="DH63" s="472"/>
      <c r="DI63" s="472"/>
      <c r="DJ63" s="472"/>
      <c r="DK63" s="472"/>
      <c r="DL63" s="472"/>
      <c r="DM63" s="703"/>
      <c r="DN63" s="428"/>
      <c r="DO63" s="428"/>
      <c r="DP63" s="428"/>
      <c r="DQ63" s="428"/>
      <c r="DR63" s="704"/>
      <c r="DS63" s="617"/>
      <c r="DT63" s="617"/>
      <c r="DU63" s="617"/>
      <c r="DV63" s="617"/>
      <c r="DW63" s="617"/>
      <c r="DX63" s="617"/>
      <c r="DY63" s="668"/>
      <c r="DZ63" s="670"/>
      <c r="EA63" s="670"/>
      <c r="EB63" s="428">
        <f>SUM(DY63+DZ63-EA63)</f>
        <v>0</v>
      </c>
      <c r="EC63" s="428"/>
      <c r="ED63" s="453"/>
      <c r="EE63" s="587"/>
      <c r="EF63" s="437"/>
      <c r="EG63" s="437"/>
      <c r="EH63" s="437"/>
      <c r="EI63" s="437"/>
      <c r="EJ63" s="453"/>
      <c r="EK63" s="688">
        <f t="shared" ref="EK63:EP80" si="80">SUM(BW63+CC63+CI63+CO63+CU63+DA63+DG63+DM63+DS63+DY63+EE63)</f>
        <v>1248562</v>
      </c>
      <c r="EL63" s="688">
        <f t="shared" si="80"/>
        <v>140853</v>
      </c>
      <c r="EM63" s="688">
        <f t="shared" si="80"/>
        <v>159928</v>
      </c>
      <c r="EN63" s="688">
        <f t="shared" si="80"/>
        <v>1229487</v>
      </c>
      <c r="EO63" s="688">
        <f t="shared" si="80"/>
        <v>30</v>
      </c>
      <c r="EP63" s="687">
        <f t="shared" si="80"/>
        <v>0</v>
      </c>
      <c r="EQ63" s="739">
        <f t="shared" ref="EQ63:EV80" si="81">SUM(EK63+BQ63)</f>
        <v>180647628.10999998</v>
      </c>
      <c r="ER63" s="739" t="e">
        <f t="shared" si="81"/>
        <v>#REF!</v>
      </c>
      <c r="ES63" s="739" t="e">
        <f t="shared" si="81"/>
        <v>#REF!</v>
      </c>
      <c r="ET63" s="739" t="e">
        <f t="shared" si="81"/>
        <v>#REF!</v>
      </c>
      <c r="EU63" s="739">
        <f t="shared" si="81"/>
        <v>291057.78000000003</v>
      </c>
      <c r="EV63" s="740" t="e">
        <f t="shared" si="81"/>
        <v>#REF!</v>
      </c>
      <c r="EW63" s="438" t="e">
        <f>SUM('общ.сводрайон без курсовой '!C63-#REF!-#REF!)</f>
        <v>#REF!</v>
      </c>
      <c r="EX63" s="438" t="e">
        <f>SUM('общ.сводрайон без курсовой '!D63-#REF!-#REF!)</f>
        <v>#REF!</v>
      </c>
      <c r="EY63" s="438" t="e">
        <f>SUM('общ.сводрайон без курсовой '!E63-#REF!-#REF!)</f>
        <v>#REF!</v>
      </c>
      <c r="EZ63" s="438" t="e">
        <f>SUM('общ.сводрайон без курсовой '!F63-#REF!-#REF!)</f>
        <v>#REF!</v>
      </c>
    </row>
    <row r="64" spans="1:183" s="439" customFormat="1" ht="18.95" customHeight="1">
      <c r="A64" s="440">
        <v>48</v>
      </c>
      <c r="B64" s="441" t="s">
        <v>16</v>
      </c>
      <c r="C64" s="425">
        <f>402845+849</f>
        <v>403694</v>
      </c>
      <c r="D64" s="428">
        <v>2400</v>
      </c>
      <c r="E64" s="428">
        <v>105418</v>
      </c>
      <c r="F64" s="428">
        <f>SUM(C64+D64-E64)</f>
        <v>300676</v>
      </c>
      <c r="G64" s="428">
        <v>168</v>
      </c>
      <c r="H64" s="453"/>
      <c r="I64" s="425">
        <v>0</v>
      </c>
      <c r="J64" s="428"/>
      <c r="K64" s="428"/>
      <c r="L64" s="428">
        <f>SUM(I64+J64-K64)</f>
        <v>0</v>
      </c>
      <c r="M64" s="508"/>
      <c r="N64" s="453"/>
      <c r="O64" s="425">
        <v>893279</v>
      </c>
      <c r="P64" s="428">
        <v>70000</v>
      </c>
      <c r="Q64" s="428">
        <v>89510</v>
      </c>
      <c r="R64" s="428">
        <f>SUM(O64+P64-Q64)</f>
        <v>873769</v>
      </c>
      <c r="S64" s="428"/>
      <c r="T64" s="453"/>
      <c r="U64" s="425">
        <v>0</v>
      </c>
      <c r="V64" s="428"/>
      <c r="W64" s="428"/>
      <c r="X64" s="428">
        <f>SUM(U64+V64-W64)</f>
        <v>0</v>
      </c>
      <c r="Y64" s="428"/>
      <c r="Z64" s="453"/>
      <c r="AA64" s="425">
        <v>22256</v>
      </c>
      <c r="AB64" s="428">
        <v>2081</v>
      </c>
      <c r="AC64" s="428">
        <v>1212</v>
      </c>
      <c r="AD64" s="428">
        <f>SUM(AA64+AB64-AC64)</f>
        <v>23125</v>
      </c>
      <c r="AE64" s="428">
        <v>152</v>
      </c>
      <c r="AF64" s="453"/>
      <c r="AG64" s="425">
        <v>0</v>
      </c>
      <c r="AH64" s="428"/>
      <c r="AI64" s="428">
        <v>0</v>
      </c>
      <c r="AJ64" s="428">
        <f>SUM(AG64+AH64-AI64)</f>
        <v>0</v>
      </c>
      <c r="AK64" s="428"/>
      <c r="AL64" s="453"/>
      <c r="AM64" s="425">
        <v>0</v>
      </c>
      <c r="AN64" s="428"/>
      <c r="AO64" s="428"/>
      <c r="AP64" s="428">
        <f>SUM(AM64+AN64-AO64)</f>
        <v>0</v>
      </c>
      <c r="AQ64" s="428"/>
      <c r="AR64" s="453"/>
      <c r="AS64" s="425">
        <v>0</v>
      </c>
      <c r="AT64" s="428">
        <v>0</v>
      </c>
      <c r="AU64" s="428">
        <v>0</v>
      </c>
      <c r="AV64" s="428">
        <f>SUM(AS64+AT64-AU64)</f>
        <v>0</v>
      </c>
      <c r="AW64" s="508">
        <v>0</v>
      </c>
      <c r="AX64" s="453">
        <v>0</v>
      </c>
      <c r="AY64" s="425">
        <f>34564+85</f>
        <v>34649</v>
      </c>
      <c r="AZ64" s="428"/>
      <c r="BA64" s="428"/>
      <c r="BB64" s="428">
        <f>SUM(AY64+AZ64-BA64)</f>
        <v>34649</v>
      </c>
      <c r="BC64" s="428">
        <v>28</v>
      </c>
      <c r="BD64" s="453"/>
      <c r="BE64" s="425">
        <v>0</v>
      </c>
      <c r="BF64" s="428"/>
      <c r="BG64" s="428"/>
      <c r="BH64" s="428">
        <f>SUM(BE64+BF64-BG64)</f>
        <v>0</v>
      </c>
      <c r="BI64" s="83"/>
      <c r="BJ64" s="626"/>
      <c r="BK64" s="425">
        <v>0</v>
      </c>
      <c r="BL64" s="428" t="e">
        <f>SUM(#REF!)</f>
        <v>#REF!</v>
      </c>
      <c r="BM64" s="428" t="e">
        <f>SUM(#REF!)</f>
        <v>#REF!</v>
      </c>
      <c r="BN64" s="428" t="e">
        <f t="shared" si="77"/>
        <v>#REF!</v>
      </c>
      <c r="BO64" s="428" t="e">
        <f>SUM(#REF!)</f>
        <v>#REF!</v>
      </c>
      <c r="BP64" s="428" t="e">
        <f>SUM(#REF!)</f>
        <v>#REF!</v>
      </c>
      <c r="BQ64" s="741">
        <f t="shared" si="78"/>
        <v>1353878</v>
      </c>
      <c r="BR64" s="741" t="e">
        <f t="shared" si="78"/>
        <v>#REF!</v>
      </c>
      <c r="BS64" s="741" t="e">
        <f t="shared" si="78"/>
        <v>#REF!</v>
      </c>
      <c r="BT64" s="741" t="e">
        <f t="shared" si="78"/>
        <v>#REF!</v>
      </c>
      <c r="BU64" s="562" t="e">
        <f t="shared" si="78"/>
        <v>#REF!</v>
      </c>
      <c r="BV64" s="676" t="e">
        <f t="shared" si="78"/>
        <v>#REF!</v>
      </c>
      <c r="BW64" s="425"/>
      <c r="BX64" s="428"/>
      <c r="BY64" s="428"/>
      <c r="BZ64" s="428"/>
      <c r="CA64" s="429">
        <f t="shared" si="79"/>
        <v>0</v>
      </c>
      <c r="CB64" s="430"/>
      <c r="CC64" s="425"/>
      <c r="CD64" s="428"/>
      <c r="CE64" s="428"/>
      <c r="CF64" s="428"/>
      <c r="CG64" s="428"/>
      <c r="CH64" s="453"/>
      <c r="CI64" s="433"/>
      <c r="CJ64" s="431"/>
      <c r="CK64" s="431"/>
      <c r="CL64" s="431"/>
      <c r="CM64" s="434"/>
      <c r="CN64" s="460"/>
      <c r="CO64" s="425">
        <v>0</v>
      </c>
      <c r="CP64" s="428"/>
      <c r="CQ64" s="428"/>
      <c r="CR64" s="428">
        <f>SUM(CO64+CP64-CQ64)</f>
        <v>0</v>
      </c>
      <c r="CS64" s="428"/>
      <c r="CT64" s="453"/>
      <c r="CU64" s="425">
        <v>0</v>
      </c>
      <c r="CV64" s="655"/>
      <c r="CW64" s="655"/>
      <c r="CX64" s="428">
        <f>SUM(CU64+CV64-CW64)</f>
        <v>0</v>
      </c>
      <c r="CY64" s="655"/>
      <c r="CZ64" s="632"/>
      <c r="DA64" s="726">
        <v>0</v>
      </c>
      <c r="DB64" s="9"/>
      <c r="DC64" s="9"/>
      <c r="DD64" s="9">
        <f>SUM(DA64+DB64-DC64)</f>
        <v>0</v>
      </c>
      <c r="DE64" s="9"/>
      <c r="DF64" s="727"/>
      <c r="DG64" s="472"/>
      <c r="DH64" s="472"/>
      <c r="DI64" s="472"/>
      <c r="DJ64" s="472"/>
      <c r="DK64" s="472"/>
      <c r="DL64" s="472"/>
      <c r="DM64" s="703"/>
      <c r="DN64" s="428"/>
      <c r="DO64" s="428"/>
      <c r="DP64" s="428"/>
      <c r="DQ64" s="428"/>
      <c r="DR64" s="704"/>
      <c r="DS64" s="617"/>
      <c r="DT64" s="617"/>
      <c r="DU64" s="617"/>
      <c r="DV64" s="617"/>
      <c r="DW64" s="617"/>
      <c r="DX64" s="617"/>
      <c r="DY64" s="668"/>
      <c r="DZ64" s="671"/>
      <c r="EA64" s="671"/>
      <c r="EB64" s="428">
        <f>SUM(DY64+DZ64-EA64)</f>
        <v>0</v>
      </c>
      <c r="EC64" s="428"/>
      <c r="ED64" s="453"/>
      <c r="EE64" s="587"/>
      <c r="EF64" s="437"/>
      <c r="EG64" s="437"/>
      <c r="EH64" s="437"/>
      <c r="EI64" s="437"/>
      <c r="EJ64" s="453"/>
      <c r="EK64" s="688">
        <f t="shared" si="80"/>
        <v>0</v>
      </c>
      <c r="EL64" s="688">
        <f t="shared" si="80"/>
        <v>0</v>
      </c>
      <c r="EM64" s="688">
        <f t="shared" si="80"/>
        <v>0</v>
      </c>
      <c r="EN64" s="688">
        <f t="shared" si="80"/>
        <v>0</v>
      </c>
      <c r="EO64" s="688">
        <f t="shared" si="80"/>
        <v>0</v>
      </c>
      <c r="EP64" s="687">
        <f t="shared" si="80"/>
        <v>0</v>
      </c>
      <c r="EQ64" s="739">
        <f t="shared" si="81"/>
        <v>1353878</v>
      </c>
      <c r="ER64" s="739" t="e">
        <f t="shared" si="81"/>
        <v>#REF!</v>
      </c>
      <c r="ES64" s="739" t="e">
        <f t="shared" si="81"/>
        <v>#REF!</v>
      </c>
      <c r="ET64" s="739" t="e">
        <f t="shared" si="81"/>
        <v>#REF!</v>
      </c>
      <c r="EU64" s="739" t="e">
        <f t="shared" si="81"/>
        <v>#REF!</v>
      </c>
      <c r="EV64" s="740" t="e">
        <f t="shared" si="81"/>
        <v>#REF!</v>
      </c>
      <c r="EW64" s="438" t="e">
        <f>SUM('общ.сводрайон без курсовой '!C64-#REF!-#REF!)</f>
        <v>#REF!</v>
      </c>
      <c r="EX64" s="438" t="e">
        <f>SUM('общ.сводрайон без курсовой '!D64-#REF!-#REF!)</f>
        <v>#REF!</v>
      </c>
      <c r="EY64" s="438" t="e">
        <f>SUM('общ.сводрайон без курсовой '!E64-#REF!-#REF!)</f>
        <v>#REF!</v>
      </c>
      <c r="EZ64" s="438" t="e">
        <f>SUM('общ.сводрайон без курсовой '!F64-#REF!-#REF!)</f>
        <v>#REF!</v>
      </c>
    </row>
    <row r="65" spans="1:156" s="439" customFormat="1" ht="18.95" customHeight="1">
      <c r="A65" s="440">
        <v>49</v>
      </c>
      <c r="B65" s="441" t="s">
        <v>6</v>
      </c>
      <c r="C65" s="425">
        <v>192840</v>
      </c>
      <c r="D65" s="428">
        <v>1000</v>
      </c>
      <c r="E65" s="428">
        <v>840</v>
      </c>
      <c r="F65" s="428">
        <f>SUM(C65+D65-E65)</f>
        <v>193000</v>
      </c>
      <c r="G65" s="428">
        <v>0</v>
      </c>
      <c r="H65" s="453"/>
      <c r="I65" s="425">
        <v>99000</v>
      </c>
      <c r="J65" s="428">
        <v>0</v>
      </c>
      <c r="K65" s="428">
        <v>10000</v>
      </c>
      <c r="L65" s="428">
        <f>SUM(I65+J65-K65)</f>
        <v>89000</v>
      </c>
      <c r="M65" s="508"/>
      <c r="N65" s="453"/>
      <c r="O65" s="425">
        <v>941252</v>
      </c>
      <c r="P65" s="428">
        <v>19500</v>
      </c>
      <c r="Q65" s="428">
        <v>48390</v>
      </c>
      <c r="R65" s="428">
        <f>SUM(O65+P65-Q65)</f>
        <v>912362</v>
      </c>
      <c r="S65" s="428"/>
      <c r="T65" s="453"/>
      <c r="U65" s="425">
        <v>0</v>
      </c>
      <c r="V65" s="428"/>
      <c r="W65" s="428"/>
      <c r="X65" s="428">
        <f>SUM(U65+V65-W65)</f>
        <v>0</v>
      </c>
      <c r="Y65" s="428"/>
      <c r="Z65" s="453"/>
      <c r="AA65" s="425">
        <v>148172</v>
      </c>
      <c r="AB65" s="428">
        <v>27998.080000000002</v>
      </c>
      <c r="AC65" s="428">
        <v>3970</v>
      </c>
      <c r="AD65" s="428">
        <f>SUM(AA65+AB65-AC65)</f>
        <v>172200.08000000002</v>
      </c>
      <c r="AE65" s="428">
        <v>153</v>
      </c>
      <c r="AF65" s="453"/>
      <c r="AG65" s="425">
        <v>93000</v>
      </c>
      <c r="AH65" s="428">
        <v>0</v>
      </c>
      <c r="AI65" s="428">
        <v>0</v>
      </c>
      <c r="AJ65" s="428">
        <f>SUM(AG65+AH65-AI65)</f>
        <v>93000</v>
      </c>
      <c r="AK65" s="428"/>
      <c r="AL65" s="453"/>
      <c r="AM65" s="425">
        <v>0</v>
      </c>
      <c r="AN65" s="539"/>
      <c r="AO65" s="539"/>
      <c r="AP65" s="428">
        <f>SUM(AM65+AN65-AO65)</f>
        <v>0</v>
      </c>
      <c r="AQ65" s="428"/>
      <c r="AR65" s="453"/>
      <c r="AS65" s="425">
        <v>0</v>
      </c>
      <c r="AT65" s="428">
        <v>0</v>
      </c>
      <c r="AU65" s="428">
        <v>0</v>
      </c>
      <c r="AV65" s="428">
        <f>SUM(AS65+AT65-AU65)</f>
        <v>0</v>
      </c>
      <c r="AW65" s="508">
        <v>0</v>
      </c>
      <c r="AX65" s="453">
        <v>0</v>
      </c>
      <c r="AY65" s="425">
        <v>0</v>
      </c>
      <c r="AZ65" s="428"/>
      <c r="BA65" s="428"/>
      <c r="BB65" s="428">
        <f>SUM(AY65+AZ65-BA65)</f>
        <v>0</v>
      </c>
      <c r="BC65" s="428"/>
      <c r="BD65" s="453"/>
      <c r="BE65" s="425">
        <v>0</v>
      </c>
      <c r="BF65" s="428"/>
      <c r="BG65" s="428"/>
      <c r="BH65" s="428">
        <f>SUM(BE65+BF65-BG65)</f>
        <v>0</v>
      </c>
      <c r="BI65" s="83"/>
      <c r="BJ65" s="626"/>
      <c r="BK65" s="425">
        <v>144542.12</v>
      </c>
      <c r="BL65" s="428" t="e">
        <f>SUM(#REF!)</f>
        <v>#REF!</v>
      </c>
      <c r="BM65" s="428" t="e">
        <f>SUM(#REF!)</f>
        <v>#REF!</v>
      </c>
      <c r="BN65" s="428" t="e">
        <f t="shared" si="77"/>
        <v>#REF!</v>
      </c>
      <c r="BO65" s="428" t="e">
        <f>SUM(#REF!)</f>
        <v>#REF!</v>
      </c>
      <c r="BP65" s="428" t="e">
        <f>SUM(#REF!)</f>
        <v>#REF!</v>
      </c>
      <c r="BQ65" s="741">
        <f t="shared" si="78"/>
        <v>1618806.12</v>
      </c>
      <c r="BR65" s="741" t="e">
        <f t="shared" si="78"/>
        <v>#REF!</v>
      </c>
      <c r="BS65" s="741" t="e">
        <f t="shared" si="78"/>
        <v>#REF!</v>
      </c>
      <c r="BT65" s="741" t="e">
        <f t="shared" si="78"/>
        <v>#REF!</v>
      </c>
      <c r="BU65" s="562" t="e">
        <f t="shared" si="78"/>
        <v>#REF!</v>
      </c>
      <c r="BV65" s="676" t="e">
        <f t="shared" si="78"/>
        <v>#REF!</v>
      </c>
      <c r="BW65" s="425"/>
      <c r="BX65" s="428"/>
      <c r="BY65" s="428"/>
      <c r="BZ65" s="428"/>
      <c r="CA65" s="429">
        <f t="shared" si="79"/>
        <v>0</v>
      </c>
      <c r="CB65" s="430"/>
      <c r="CC65" s="425"/>
      <c r="CD65" s="428"/>
      <c r="CE65" s="428"/>
      <c r="CF65" s="428"/>
      <c r="CG65" s="428"/>
      <c r="CH65" s="453"/>
      <c r="CI65" s="433"/>
      <c r="CJ65" s="431"/>
      <c r="CK65" s="431"/>
      <c r="CL65" s="431"/>
      <c r="CM65" s="434"/>
      <c r="CN65" s="460"/>
      <c r="CO65" s="425">
        <v>0</v>
      </c>
      <c r="CP65" s="428"/>
      <c r="CQ65" s="428"/>
      <c r="CR65" s="428">
        <f>SUM(CO65+CP65-CQ65)</f>
        <v>0</v>
      </c>
      <c r="CS65" s="428"/>
      <c r="CT65" s="453"/>
      <c r="CU65" s="425">
        <v>0</v>
      </c>
      <c r="CV65" s="655"/>
      <c r="CW65" s="655"/>
      <c r="CX65" s="428">
        <f>SUM(CU65+CV65-CW65)</f>
        <v>0</v>
      </c>
      <c r="CY65" s="655"/>
      <c r="CZ65" s="632"/>
      <c r="DA65" s="726">
        <v>0</v>
      </c>
      <c r="DB65" s="9"/>
      <c r="DC65" s="9"/>
      <c r="DD65" s="9">
        <f>SUM(DA65+DB65-DC65)</f>
        <v>0</v>
      </c>
      <c r="DE65" s="9"/>
      <c r="DF65" s="727"/>
      <c r="DG65" s="472"/>
      <c r="DH65" s="472"/>
      <c r="DI65" s="472"/>
      <c r="DJ65" s="472"/>
      <c r="DK65" s="472"/>
      <c r="DL65" s="472"/>
      <c r="DM65" s="703"/>
      <c r="DN65" s="428"/>
      <c r="DO65" s="428"/>
      <c r="DP65" s="428"/>
      <c r="DQ65" s="428"/>
      <c r="DR65" s="704"/>
      <c r="DS65" s="617"/>
      <c r="DT65" s="617"/>
      <c r="DU65" s="617"/>
      <c r="DV65" s="617"/>
      <c r="DW65" s="617"/>
      <c r="DX65" s="617"/>
      <c r="DY65" s="668"/>
      <c r="DZ65" s="671"/>
      <c r="EA65" s="671"/>
      <c r="EB65" s="428">
        <f t="shared" ref="EB65:EB73" si="82">SUM(DY65+DZ65-EA65)</f>
        <v>0</v>
      </c>
      <c r="EC65" s="428"/>
      <c r="ED65" s="453"/>
      <c r="EE65" s="587"/>
      <c r="EF65" s="437"/>
      <c r="EG65" s="437"/>
      <c r="EH65" s="437"/>
      <c r="EI65" s="437"/>
      <c r="EJ65" s="453"/>
      <c r="EK65" s="688">
        <f t="shared" si="80"/>
        <v>0</v>
      </c>
      <c r="EL65" s="688">
        <f t="shared" si="80"/>
        <v>0</v>
      </c>
      <c r="EM65" s="688">
        <f t="shared" si="80"/>
        <v>0</v>
      </c>
      <c r="EN65" s="688">
        <f t="shared" si="80"/>
        <v>0</v>
      </c>
      <c r="EO65" s="688">
        <f t="shared" si="80"/>
        <v>0</v>
      </c>
      <c r="EP65" s="687">
        <f t="shared" si="80"/>
        <v>0</v>
      </c>
      <c r="EQ65" s="739">
        <f t="shared" si="81"/>
        <v>1618806.12</v>
      </c>
      <c r="ER65" s="739" t="e">
        <f t="shared" si="81"/>
        <v>#REF!</v>
      </c>
      <c r="ES65" s="739" t="e">
        <f t="shared" si="81"/>
        <v>#REF!</v>
      </c>
      <c r="ET65" s="739" t="e">
        <f t="shared" si="81"/>
        <v>#REF!</v>
      </c>
      <c r="EU65" s="739" t="e">
        <f t="shared" si="81"/>
        <v>#REF!</v>
      </c>
      <c r="EV65" s="740" t="e">
        <f t="shared" si="81"/>
        <v>#REF!</v>
      </c>
      <c r="EW65" s="438" t="e">
        <f>SUM('общ.сводрайон без курсовой '!C65-#REF!-#REF!)</f>
        <v>#REF!</v>
      </c>
      <c r="EX65" s="438" t="e">
        <f>SUM('общ.сводрайон без курсовой '!D65-#REF!-#REF!)</f>
        <v>#REF!</v>
      </c>
      <c r="EY65" s="438" t="e">
        <f>SUM('общ.сводрайон без курсовой '!E65-#REF!-#REF!)</f>
        <v>#REF!</v>
      </c>
      <c r="EZ65" s="438" t="e">
        <f>SUM('общ.сводрайон без курсовой '!F65-#REF!-#REF!)</f>
        <v>#REF!</v>
      </c>
    </row>
    <row r="66" spans="1:156" s="439" customFormat="1" ht="18.95" customHeight="1">
      <c r="A66" s="440">
        <v>50</v>
      </c>
      <c r="B66" s="441" t="s">
        <v>150</v>
      </c>
      <c r="C66" s="425"/>
      <c r="D66" s="428">
        <v>0</v>
      </c>
      <c r="E66" s="428">
        <v>0</v>
      </c>
      <c r="F66" s="428"/>
      <c r="G66" s="428">
        <v>0</v>
      </c>
      <c r="H66" s="453"/>
      <c r="I66" s="425"/>
      <c r="J66" s="428"/>
      <c r="K66" s="428"/>
      <c r="L66" s="428"/>
      <c r="M66" s="508"/>
      <c r="N66" s="453"/>
      <c r="O66" s="425">
        <v>618401</v>
      </c>
      <c r="P66" s="428">
        <v>3700</v>
      </c>
      <c r="Q66" s="428">
        <v>0</v>
      </c>
      <c r="R66" s="428">
        <f>SUM(O66+P66-Q66)</f>
        <v>622101</v>
      </c>
      <c r="S66" s="428"/>
      <c r="T66" s="453"/>
      <c r="U66" s="425"/>
      <c r="V66" s="428"/>
      <c r="W66" s="428"/>
      <c r="X66" s="428"/>
      <c r="Y66" s="428"/>
      <c r="Z66" s="453"/>
      <c r="AA66" s="425"/>
      <c r="AB66" s="428"/>
      <c r="AC66" s="428"/>
      <c r="AD66" s="428"/>
      <c r="AE66" s="428"/>
      <c r="AF66" s="453"/>
      <c r="AG66" s="425"/>
      <c r="AH66" s="428"/>
      <c r="AI66" s="428">
        <v>0</v>
      </c>
      <c r="AJ66" s="428"/>
      <c r="AK66" s="428"/>
      <c r="AL66" s="453"/>
      <c r="AM66" s="425"/>
      <c r="AN66" s="428"/>
      <c r="AO66" s="428"/>
      <c r="AP66" s="428"/>
      <c r="AQ66" s="428"/>
      <c r="AR66" s="453"/>
      <c r="AS66" s="425"/>
      <c r="AT66" s="428">
        <v>0</v>
      </c>
      <c r="AU66" s="428">
        <v>0</v>
      </c>
      <c r="AV66" s="428"/>
      <c r="AW66" s="508">
        <v>0</v>
      </c>
      <c r="AX66" s="453">
        <v>0</v>
      </c>
      <c r="AY66" s="425">
        <f>199021+288</f>
        <v>199309</v>
      </c>
      <c r="AZ66" s="428"/>
      <c r="BA66" s="428">
        <v>9777</v>
      </c>
      <c r="BB66" s="428">
        <f>SUM(AY66+AZ66-BA66)</f>
        <v>189532</v>
      </c>
      <c r="BC66" s="428">
        <v>156</v>
      </c>
      <c r="BD66" s="453"/>
      <c r="BE66" s="425"/>
      <c r="BF66" s="428"/>
      <c r="BG66" s="428"/>
      <c r="BH66" s="428"/>
      <c r="BI66" s="83"/>
      <c r="BJ66" s="626"/>
      <c r="BK66" s="425">
        <v>0</v>
      </c>
      <c r="BL66" s="428" t="e">
        <f>SUM(#REF!)</f>
        <v>#REF!</v>
      </c>
      <c r="BM66" s="428" t="e">
        <f>SUM(#REF!)</f>
        <v>#REF!</v>
      </c>
      <c r="BN66" s="428" t="e">
        <f t="shared" si="77"/>
        <v>#REF!</v>
      </c>
      <c r="BO66" s="428" t="e">
        <f>SUM(#REF!)</f>
        <v>#REF!</v>
      </c>
      <c r="BP66" s="428" t="e">
        <f>SUM(#REF!)</f>
        <v>#REF!</v>
      </c>
      <c r="BQ66" s="741">
        <f t="shared" si="78"/>
        <v>817710</v>
      </c>
      <c r="BR66" s="741" t="e">
        <f t="shared" si="78"/>
        <v>#REF!</v>
      </c>
      <c r="BS66" s="741" t="e">
        <f t="shared" si="78"/>
        <v>#REF!</v>
      </c>
      <c r="BT66" s="741" t="e">
        <f t="shared" si="78"/>
        <v>#REF!</v>
      </c>
      <c r="BU66" s="562" t="e">
        <f t="shared" si="78"/>
        <v>#REF!</v>
      </c>
      <c r="BV66" s="676" t="e">
        <f t="shared" si="78"/>
        <v>#REF!</v>
      </c>
      <c r="BW66" s="425"/>
      <c r="BX66" s="428"/>
      <c r="BY66" s="428"/>
      <c r="BZ66" s="428"/>
      <c r="CA66" s="429">
        <f t="shared" si="79"/>
        <v>0</v>
      </c>
      <c r="CB66" s="430"/>
      <c r="CC66" s="425"/>
      <c r="CD66" s="428"/>
      <c r="CE66" s="428"/>
      <c r="CF66" s="428"/>
      <c r="CG66" s="428"/>
      <c r="CH66" s="453"/>
      <c r="CI66" s="433"/>
      <c r="CJ66" s="431"/>
      <c r="CK66" s="431"/>
      <c r="CL66" s="431"/>
      <c r="CM66" s="434"/>
      <c r="CN66" s="460"/>
      <c r="CO66" s="425"/>
      <c r="CP66" s="428"/>
      <c r="CQ66" s="428"/>
      <c r="CR66" s="428"/>
      <c r="CS66" s="428"/>
      <c r="CT66" s="453"/>
      <c r="CU66" s="425"/>
      <c r="CV66" s="655"/>
      <c r="CW66" s="655"/>
      <c r="CX66" s="428"/>
      <c r="CY66" s="655"/>
      <c r="CZ66" s="632"/>
      <c r="DA66" s="726"/>
      <c r="DB66" s="9"/>
      <c r="DC66" s="9"/>
      <c r="DD66" s="9"/>
      <c r="DE66" s="9"/>
      <c r="DF66" s="727"/>
      <c r="DG66" s="472"/>
      <c r="DH66" s="472"/>
      <c r="DI66" s="472"/>
      <c r="DJ66" s="472"/>
      <c r="DK66" s="472"/>
      <c r="DL66" s="472"/>
      <c r="DM66" s="703"/>
      <c r="DN66" s="428"/>
      <c r="DO66" s="428"/>
      <c r="DP66" s="428"/>
      <c r="DQ66" s="428"/>
      <c r="DR66" s="704"/>
      <c r="DS66" s="617"/>
      <c r="DT66" s="617"/>
      <c r="DU66" s="617"/>
      <c r="DV66" s="617"/>
      <c r="DW66" s="617"/>
      <c r="DX66" s="617"/>
      <c r="DY66" s="668"/>
      <c r="DZ66" s="671"/>
      <c r="EA66" s="671"/>
      <c r="EB66" s="428">
        <f t="shared" si="82"/>
        <v>0</v>
      </c>
      <c r="EC66" s="428"/>
      <c r="ED66" s="453"/>
      <c r="EE66" s="587"/>
      <c r="EF66" s="437"/>
      <c r="EG66" s="437"/>
      <c r="EH66" s="437"/>
      <c r="EI66" s="437"/>
      <c r="EJ66" s="453"/>
      <c r="EK66" s="688">
        <f t="shared" si="80"/>
        <v>0</v>
      </c>
      <c r="EL66" s="688">
        <f t="shared" si="80"/>
        <v>0</v>
      </c>
      <c r="EM66" s="688">
        <f t="shared" si="80"/>
        <v>0</v>
      </c>
      <c r="EN66" s="688">
        <f t="shared" si="80"/>
        <v>0</v>
      </c>
      <c r="EO66" s="688">
        <f t="shared" si="80"/>
        <v>0</v>
      </c>
      <c r="EP66" s="687">
        <f t="shared" si="80"/>
        <v>0</v>
      </c>
      <c r="EQ66" s="739">
        <f t="shared" si="81"/>
        <v>817710</v>
      </c>
      <c r="ER66" s="739" t="e">
        <f t="shared" si="81"/>
        <v>#REF!</v>
      </c>
      <c r="ES66" s="739" t="e">
        <f t="shared" si="81"/>
        <v>#REF!</v>
      </c>
      <c r="ET66" s="739" t="e">
        <f t="shared" si="81"/>
        <v>#REF!</v>
      </c>
      <c r="EU66" s="739" t="e">
        <f t="shared" si="81"/>
        <v>#REF!</v>
      </c>
      <c r="EV66" s="740" t="e">
        <f t="shared" si="81"/>
        <v>#REF!</v>
      </c>
      <c r="EW66" s="438" t="e">
        <f>SUM('общ.сводрайон без курсовой '!C66-#REF!-#REF!)</f>
        <v>#REF!</v>
      </c>
      <c r="EX66" s="438" t="e">
        <f>SUM('общ.сводрайон без курсовой '!D66-#REF!-#REF!)</f>
        <v>#REF!</v>
      </c>
      <c r="EY66" s="438" t="e">
        <f>SUM('общ.сводрайон без курсовой '!E66-#REF!-#REF!)</f>
        <v>#REF!</v>
      </c>
      <c r="EZ66" s="438" t="e">
        <f>SUM('общ.сводрайон без курсовой '!F66-#REF!-#REF!)</f>
        <v>#REF!</v>
      </c>
    </row>
    <row r="67" spans="1:156" s="439" customFormat="1" ht="18.95" customHeight="1">
      <c r="A67" s="440">
        <v>51</v>
      </c>
      <c r="B67" s="441" t="s">
        <v>81</v>
      </c>
      <c r="C67" s="425">
        <v>0</v>
      </c>
      <c r="D67" s="428">
        <v>0</v>
      </c>
      <c r="E67" s="428">
        <v>0</v>
      </c>
      <c r="F67" s="428">
        <f t="shared" ref="F67:F80" si="83">SUM(C67+D67-E67)</f>
        <v>0</v>
      </c>
      <c r="G67" s="428">
        <v>0</v>
      </c>
      <c r="H67" s="453"/>
      <c r="I67" s="425">
        <v>0</v>
      </c>
      <c r="J67" s="428"/>
      <c r="K67" s="428"/>
      <c r="L67" s="428">
        <f t="shared" ref="L67:L80" si="84">SUM(I67+J67-K67)</f>
        <v>0</v>
      </c>
      <c r="M67" s="508"/>
      <c r="N67" s="453"/>
      <c r="O67" s="425">
        <v>684700</v>
      </c>
      <c r="P67" s="428">
        <v>97000</v>
      </c>
      <c r="Q67" s="428">
        <v>135000</v>
      </c>
      <c r="R67" s="428">
        <f t="shared" ref="R67:R80" si="85">SUM(O67+P67-Q67)</f>
        <v>646700</v>
      </c>
      <c r="S67" s="428"/>
      <c r="T67" s="453"/>
      <c r="U67" s="425">
        <v>0</v>
      </c>
      <c r="V67" s="428"/>
      <c r="W67" s="428"/>
      <c r="X67" s="428">
        <f t="shared" ref="X67:X80" si="86">SUM(U67+V67-W67)</f>
        <v>0</v>
      </c>
      <c r="Y67" s="428"/>
      <c r="Z67" s="453"/>
      <c r="AA67" s="425">
        <v>100000</v>
      </c>
      <c r="AB67" s="428"/>
      <c r="AC67" s="428"/>
      <c r="AD67" s="428">
        <f t="shared" ref="AD67:AD80" si="87">SUM(AA67+AB67-AC67)</f>
        <v>100000</v>
      </c>
      <c r="AE67" s="428"/>
      <c r="AF67" s="453"/>
      <c r="AG67" s="425">
        <v>0</v>
      </c>
      <c r="AH67" s="428"/>
      <c r="AI67" s="428">
        <v>0</v>
      </c>
      <c r="AJ67" s="428">
        <f t="shared" ref="AJ67:AJ80" si="88">SUM(AG67+AH67-AI67)</f>
        <v>0</v>
      </c>
      <c r="AK67" s="428"/>
      <c r="AL67" s="453"/>
      <c r="AM67" s="425">
        <v>0</v>
      </c>
      <c r="AN67" s="428"/>
      <c r="AO67" s="428"/>
      <c r="AP67" s="428">
        <f t="shared" ref="AP67:AP80" si="89">SUM(AM67+AN67-AO67)</f>
        <v>0</v>
      </c>
      <c r="AQ67" s="428"/>
      <c r="AR67" s="453"/>
      <c r="AS67" s="425">
        <v>0</v>
      </c>
      <c r="AT67" s="428">
        <v>0</v>
      </c>
      <c r="AU67" s="428">
        <v>0</v>
      </c>
      <c r="AV67" s="428">
        <f t="shared" ref="AV67:AV80" si="90">SUM(AS67+AT67-AU67)</f>
        <v>0</v>
      </c>
      <c r="AW67" s="508">
        <v>0</v>
      </c>
      <c r="AX67" s="453">
        <v>0</v>
      </c>
      <c r="AY67" s="425">
        <v>0</v>
      </c>
      <c r="AZ67" s="428"/>
      <c r="BA67" s="428"/>
      <c r="BB67" s="428">
        <f t="shared" ref="BB67:BB80" si="91">SUM(AY67+AZ67-BA67)</f>
        <v>0</v>
      </c>
      <c r="BC67" s="428"/>
      <c r="BD67" s="453"/>
      <c r="BE67" s="425">
        <v>0</v>
      </c>
      <c r="BF67" s="428"/>
      <c r="BG67" s="428"/>
      <c r="BH67" s="428">
        <f t="shared" ref="BH67:BH80" si="92">SUM(BE67+BF67-BG67)</f>
        <v>0</v>
      </c>
      <c r="BI67" s="83"/>
      <c r="BJ67" s="626"/>
      <c r="BK67" s="425">
        <v>35000</v>
      </c>
      <c r="BL67" s="428" t="e">
        <f>SUM(#REF!)</f>
        <v>#REF!</v>
      </c>
      <c r="BM67" s="428" t="e">
        <f>SUM(#REF!)</f>
        <v>#REF!</v>
      </c>
      <c r="BN67" s="428" t="e">
        <f t="shared" si="77"/>
        <v>#REF!</v>
      </c>
      <c r="BO67" s="428" t="e">
        <f>SUM(#REF!)</f>
        <v>#REF!</v>
      </c>
      <c r="BP67" s="428" t="e">
        <f>SUM(#REF!)</f>
        <v>#REF!</v>
      </c>
      <c r="BQ67" s="741">
        <f t="shared" si="78"/>
        <v>819700</v>
      </c>
      <c r="BR67" s="741" t="e">
        <f t="shared" si="78"/>
        <v>#REF!</v>
      </c>
      <c r="BS67" s="741" t="e">
        <f t="shared" si="78"/>
        <v>#REF!</v>
      </c>
      <c r="BT67" s="741" t="e">
        <f t="shared" si="78"/>
        <v>#REF!</v>
      </c>
      <c r="BU67" s="562" t="e">
        <f t="shared" si="78"/>
        <v>#REF!</v>
      </c>
      <c r="BV67" s="676" t="e">
        <f t="shared" si="78"/>
        <v>#REF!</v>
      </c>
      <c r="BW67" s="425"/>
      <c r="BX67" s="428"/>
      <c r="BY67" s="428"/>
      <c r="BZ67" s="428"/>
      <c r="CA67" s="429">
        <f t="shared" si="79"/>
        <v>0</v>
      </c>
      <c r="CB67" s="430"/>
      <c r="CC67" s="425"/>
      <c r="CD67" s="428"/>
      <c r="CE67" s="428"/>
      <c r="CF67" s="428"/>
      <c r="CG67" s="428"/>
      <c r="CH67" s="453"/>
      <c r="CI67" s="433"/>
      <c r="CJ67" s="431"/>
      <c r="CK67" s="431"/>
      <c r="CL67" s="431"/>
      <c r="CM67" s="434"/>
      <c r="CN67" s="460"/>
      <c r="CO67" s="425">
        <v>0</v>
      </c>
      <c r="CP67" s="428"/>
      <c r="CQ67" s="428"/>
      <c r="CR67" s="428">
        <f t="shared" ref="CR67:CR80" si="93">SUM(CO67+CP67-CQ67)</f>
        <v>0</v>
      </c>
      <c r="CS67" s="428"/>
      <c r="CT67" s="453"/>
      <c r="CU67" s="425">
        <v>0</v>
      </c>
      <c r="CV67" s="655"/>
      <c r="CW67" s="655"/>
      <c r="CX67" s="428">
        <f t="shared" ref="CX67:CX80" si="94">SUM(CU67+CV67-CW67)</f>
        <v>0</v>
      </c>
      <c r="CY67" s="655"/>
      <c r="CZ67" s="632"/>
      <c r="DA67" s="726">
        <v>0</v>
      </c>
      <c r="DB67" s="9"/>
      <c r="DC67" s="9"/>
      <c r="DD67" s="9">
        <f t="shared" ref="DD67:DD80" si="95">SUM(DA67+DB67-DC67)</f>
        <v>0</v>
      </c>
      <c r="DE67" s="9"/>
      <c r="DF67" s="727"/>
      <c r="DG67" s="472"/>
      <c r="DH67" s="472"/>
      <c r="DI67" s="472"/>
      <c r="DJ67" s="472"/>
      <c r="DK67" s="472"/>
      <c r="DL67" s="472"/>
      <c r="DM67" s="703"/>
      <c r="DN67" s="428"/>
      <c r="DO67" s="428"/>
      <c r="DP67" s="428"/>
      <c r="DQ67" s="428"/>
      <c r="DR67" s="704"/>
      <c r="DS67" s="617"/>
      <c r="DT67" s="617"/>
      <c r="DU67" s="617"/>
      <c r="DV67" s="617"/>
      <c r="DW67" s="617"/>
      <c r="DX67" s="617"/>
      <c r="DY67" s="668"/>
      <c r="DZ67" s="671"/>
      <c r="EA67" s="671"/>
      <c r="EB67" s="428">
        <f t="shared" si="82"/>
        <v>0</v>
      </c>
      <c r="EC67" s="428"/>
      <c r="ED67" s="453"/>
      <c r="EE67" s="587"/>
      <c r="EF67" s="437"/>
      <c r="EG67" s="437"/>
      <c r="EH67" s="437"/>
      <c r="EI67" s="437"/>
      <c r="EJ67" s="453"/>
      <c r="EK67" s="688">
        <f t="shared" si="80"/>
        <v>0</v>
      </c>
      <c r="EL67" s="688">
        <f t="shared" si="80"/>
        <v>0</v>
      </c>
      <c r="EM67" s="688">
        <f t="shared" si="80"/>
        <v>0</v>
      </c>
      <c r="EN67" s="688">
        <f t="shared" si="80"/>
        <v>0</v>
      </c>
      <c r="EO67" s="688">
        <f t="shared" si="80"/>
        <v>0</v>
      </c>
      <c r="EP67" s="687">
        <f t="shared" si="80"/>
        <v>0</v>
      </c>
      <c r="EQ67" s="739">
        <f t="shared" si="81"/>
        <v>819700</v>
      </c>
      <c r="ER67" s="739" t="e">
        <f t="shared" si="81"/>
        <v>#REF!</v>
      </c>
      <c r="ES67" s="739" t="e">
        <f t="shared" si="81"/>
        <v>#REF!</v>
      </c>
      <c r="ET67" s="739" t="e">
        <f t="shared" si="81"/>
        <v>#REF!</v>
      </c>
      <c r="EU67" s="739" t="e">
        <f t="shared" si="81"/>
        <v>#REF!</v>
      </c>
      <c r="EV67" s="740" t="e">
        <f t="shared" si="81"/>
        <v>#REF!</v>
      </c>
      <c r="EW67" s="438" t="e">
        <f>SUM('общ.сводрайон без курсовой '!C67-#REF!-#REF!)</f>
        <v>#REF!</v>
      </c>
      <c r="EX67" s="438" t="e">
        <f>SUM('общ.сводрайон без курсовой '!D67-#REF!-#REF!)</f>
        <v>#REF!</v>
      </c>
      <c r="EY67" s="438" t="e">
        <f>SUM('общ.сводрайон без курсовой '!E67-#REF!-#REF!)</f>
        <v>#REF!</v>
      </c>
      <c r="EZ67" s="438" t="e">
        <f>SUM('общ.сводрайон без курсовой '!F67-#REF!-#REF!)</f>
        <v>#REF!</v>
      </c>
    </row>
    <row r="68" spans="1:156" s="439" customFormat="1" ht="18.95" customHeight="1">
      <c r="A68" s="440">
        <v>52</v>
      </c>
      <c r="B68" s="441" t="s">
        <v>8</v>
      </c>
      <c r="C68" s="425">
        <f>5738844+12627</f>
        <v>5751471</v>
      </c>
      <c r="D68" s="428">
        <v>708095</v>
      </c>
      <c r="E68" s="428">
        <v>910961</v>
      </c>
      <c r="F68" s="428">
        <f t="shared" si="83"/>
        <v>5548605</v>
      </c>
      <c r="G68" s="428">
        <v>105652</v>
      </c>
      <c r="H68" s="453"/>
      <c r="I68" s="425">
        <f>2162679+3821</f>
        <v>2166500</v>
      </c>
      <c r="J68" s="428">
        <v>200000</v>
      </c>
      <c r="K68" s="428">
        <v>3500</v>
      </c>
      <c r="L68" s="428">
        <f t="shared" si="84"/>
        <v>2363000</v>
      </c>
      <c r="M68" s="508">
        <v>0</v>
      </c>
      <c r="N68" s="453"/>
      <c r="O68" s="425">
        <v>1511081</v>
      </c>
      <c r="P68" s="428">
        <v>59500</v>
      </c>
      <c r="Q68" s="428">
        <v>88887</v>
      </c>
      <c r="R68" s="428">
        <f t="shared" si="85"/>
        <v>1481694</v>
      </c>
      <c r="S68" s="428"/>
      <c r="T68" s="453"/>
      <c r="U68" s="425">
        <v>0</v>
      </c>
      <c r="V68" s="428"/>
      <c r="W68" s="428"/>
      <c r="X68" s="428">
        <f t="shared" si="86"/>
        <v>0</v>
      </c>
      <c r="Y68" s="428"/>
      <c r="Z68" s="453"/>
      <c r="AA68" s="425">
        <v>164612</v>
      </c>
      <c r="AB68" s="428">
        <v>17858.48</v>
      </c>
      <c r="AC68" s="428">
        <v>5920.42</v>
      </c>
      <c r="AD68" s="428">
        <f t="shared" si="87"/>
        <v>176550.06</v>
      </c>
      <c r="AE68" s="428">
        <v>185</v>
      </c>
      <c r="AF68" s="453"/>
      <c r="AG68" s="425">
        <v>3243298</v>
      </c>
      <c r="AH68" s="428">
        <v>402518</v>
      </c>
      <c r="AI68" s="428">
        <v>311632</v>
      </c>
      <c r="AJ68" s="428">
        <f t="shared" si="88"/>
        <v>3334184</v>
      </c>
      <c r="AK68" s="428"/>
      <c r="AL68" s="453"/>
      <c r="AM68" s="425">
        <v>0</v>
      </c>
      <c r="AN68" s="428"/>
      <c r="AO68" s="428"/>
      <c r="AP68" s="428">
        <f t="shared" si="89"/>
        <v>0</v>
      </c>
      <c r="AQ68" s="428"/>
      <c r="AR68" s="453"/>
      <c r="AS68" s="425">
        <f>93399+93</f>
        <v>93492</v>
      </c>
      <c r="AT68" s="428">
        <v>17229</v>
      </c>
      <c r="AU68" s="428">
        <v>11446</v>
      </c>
      <c r="AV68" s="428">
        <f t="shared" si="90"/>
        <v>99275</v>
      </c>
      <c r="AW68" s="508">
        <v>50</v>
      </c>
      <c r="AX68" s="453">
        <v>248</v>
      </c>
      <c r="AY68" s="425">
        <v>0</v>
      </c>
      <c r="AZ68" s="428"/>
      <c r="BA68" s="428"/>
      <c r="BB68" s="428">
        <f t="shared" si="91"/>
        <v>0</v>
      </c>
      <c r="BC68" s="428"/>
      <c r="BD68" s="453"/>
      <c r="BE68" s="425">
        <f>99743+597</f>
        <v>100340</v>
      </c>
      <c r="BF68" s="428"/>
      <c r="BG68" s="428"/>
      <c r="BH68" s="428">
        <f t="shared" si="92"/>
        <v>100340</v>
      </c>
      <c r="BI68" s="83"/>
      <c r="BJ68" s="626"/>
      <c r="BK68" s="425">
        <v>264495.09999999998</v>
      </c>
      <c r="BL68" s="428" t="e">
        <f>SUM(#REF!)</f>
        <v>#REF!</v>
      </c>
      <c r="BM68" s="428" t="e">
        <f>SUM(#REF!)</f>
        <v>#REF!</v>
      </c>
      <c r="BN68" s="428" t="e">
        <f t="shared" si="77"/>
        <v>#REF!</v>
      </c>
      <c r="BO68" s="428" t="e">
        <f>SUM(#REF!)</f>
        <v>#REF!</v>
      </c>
      <c r="BP68" s="428" t="e">
        <f>SUM(#REF!)</f>
        <v>#REF!</v>
      </c>
      <c r="BQ68" s="741">
        <f t="shared" si="78"/>
        <v>13295289.1</v>
      </c>
      <c r="BR68" s="741" t="e">
        <f t="shared" si="78"/>
        <v>#REF!</v>
      </c>
      <c r="BS68" s="741" t="e">
        <f t="shared" si="78"/>
        <v>#REF!</v>
      </c>
      <c r="BT68" s="741" t="e">
        <f t="shared" si="78"/>
        <v>#REF!</v>
      </c>
      <c r="BU68" s="562" t="e">
        <f t="shared" si="78"/>
        <v>#REF!</v>
      </c>
      <c r="BV68" s="676" t="e">
        <f t="shared" si="78"/>
        <v>#REF!</v>
      </c>
      <c r="BW68" s="425"/>
      <c r="BX68" s="428"/>
      <c r="BY68" s="428"/>
      <c r="BZ68" s="428"/>
      <c r="CA68" s="429">
        <f t="shared" si="79"/>
        <v>0</v>
      </c>
      <c r="CB68" s="430"/>
      <c r="CC68" s="425"/>
      <c r="CD68" s="428"/>
      <c r="CE68" s="428"/>
      <c r="CF68" s="428"/>
      <c r="CG68" s="428"/>
      <c r="CH68" s="453"/>
      <c r="CI68" s="433"/>
      <c r="CJ68" s="431"/>
      <c r="CK68" s="431"/>
      <c r="CL68" s="431"/>
      <c r="CM68" s="434"/>
      <c r="CN68" s="460"/>
      <c r="CO68" s="425">
        <v>0</v>
      </c>
      <c r="CP68" s="428"/>
      <c r="CQ68" s="428"/>
      <c r="CR68" s="428">
        <f t="shared" si="93"/>
        <v>0</v>
      </c>
      <c r="CS68" s="428"/>
      <c r="CT68" s="453"/>
      <c r="CU68" s="425">
        <v>0</v>
      </c>
      <c r="CV68" s="655"/>
      <c r="CW68" s="655"/>
      <c r="CX68" s="428">
        <f t="shared" si="94"/>
        <v>0</v>
      </c>
      <c r="CY68" s="655"/>
      <c r="CZ68" s="632"/>
      <c r="DA68" s="726">
        <v>0</v>
      </c>
      <c r="DB68" s="9"/>
      <c r="DC68" s="9"/>
      <c r="DD68" s="9">
        <f t="shared" si="95"/>
        <v>0</v>
      </c>
      <c r="DE68" s="9"/>
      <c r="DF68" s="727"/>
      <c r="DG68" s="472"/>
      <c r="DH68" s="472"/>
      <c r="DI68" s="472"/>
      <c r="DJ68" s="472"/>
      <c r="DK68" s="472"/>
      <c r="DL68" s="472"/>
      <c r="DM68" s="703"/>
      <c r="DN68" s="428"/>
      <c r="DO68" s="428"/>
      <c r="DP68" s="428"/>
      <c r="DQ68" s="428"/>
      <c r="DR68" s="704"/>
      <c r="DS68" s="617"/>
      <c r="DT68" s="617"/>
      <c r="DU68" s="617"/>
      <c r="DV68" s="617"/>
      <c r="DW68" s="617"/>
      <c r="DX68" s="617"/>
      <c r="DY68" s="668"/>
      <c r="DZ68" s="671"/>
      <c r="EA68" s="671"/>
      <c r="EB68" s="428">
        <f t="shared" si="82"/>
        <v>0</v>
      </c>
      <c r="EC68" s="428"/>
      <c r="ED68" s="453"/>
      <c r="EE68" s="587"/>
      <c r="EF68" s="437"/>
      <c r="EG68" s="437"/>
      <c r="EH68" s="437"/>
      <c r="EI68" s="437"/>
      <c r="EJ68" s="453"/>
      <c r="EK68" s="688">
        <f t="shared" si="80"/>
        <v>0</v>
      </c>
      <c r="EL68" s="688">
        <f t="shared" si="80"/>
        <v>0</v>
      </c>
      <c r="EM68" s="688">
        <f t="shared" si="80"/>
        <v>0</v>
      </c>
      <c r="EN68" s="688">
        <f t="shared" si="80"/>
        <v>0</v>
      </c>
      <c r="EO68" s="688">
        <f t="shared" si="80"/>
        <v>0</v>
      </c>
      <c r="EP68" s="687">
        <f t="shared" si="80"/>
        <v>0</v>
      </c>
      <c r="EQ68" s="739">
        <f t="shared" si="81"/>
        <v>13295289.1</v>
      </c>
      <c r="ER68" s="739" t="e">
        <f t="shared" si="81"/>
        <v>#REF!</v>
      </c>
      <c r="ES68" s="739" t="e">
        <f t="shared" si="81"/>
        <v>#REF!</v>
      </c>
      <c r="ET68" s="739" t="e">
        <f t="shared" si="81"/>
        <v>#REF!</v>
      </c>
      <c r="EU68" s="739" t="e">
        <f t="shared" si="81"/>
        <v>#REF!</v>
      </c>
      <c r="EV68" s="740" t="e">
        <f t="shared" si="81"/>
        <v>#REF!</v>
      </c>
      <c r="EW68" s="438" t="e">
        <f>SUM('общ.сводрайон без курсовой '!C68-#REF!-#REF!)</f>
        <v>#REF!</v>
      </c>
      <c r="EX68" s="438" t="e">
        <f>SUM('общ.сводрайон без курсовой '!D68-#REF!-#REF!)</f>
        <v>#REF!</v>
      </c>
      <c r="EY68" s="438" t="e">
        <f>SUM('общ.сводрайон без курсовой '!E68-#REF!-#REF!)</f>
        <v>#REF!</v>
      </c>
      <c r="EZ68" s="438" t="e">
        <f>SUM('общ.сводрайон без курсовой '!F68-#REF!-#REF!)</f>
        <v>#REF!</v>
      </c>
    </row>
    <row r="69" spans="1:156" s="439" customFormat="1" ht="18.95" customHeight="1">
      <c r="A69" s="440">
        <v>53</v>
      </c>
      <c r="B69" s="441" t="s">
        <v>21</v>
      </c>
      <c r="C69" s="425">
        <f>5686053+57179</f>
        <v>5743232</v>
      </c>
      <c r="D69" s="428">
        <v>373806</v>
      </c>
      <c r="E69" s="428">
        <v>1092246</v>
      </c>
      <c r="F69" s="428">
        <f t="shared" si="83"/>
        <v>5024792</v>
      </c>
      <c r="G69" s="428">
        <v>5355</v>
      </c>
      <c r="H69" s="453"/>
      <c r="I69" s="425">
        <f>1104110+2231</f>
        <v>1106341</v>
      </c>
      <c r="J69" s="428">
        <v>200000</v>
      </c>
      <c r="K69" s="428">
        <v>11547</v>
      </c>
      <c r="L69" s="428">
        <f t="shared" si="84"/>
        <v>1294794</v>
      </c>
      <c r="M69" s="508">
        <v>227</v>
      </c>
      <c r="N69" s="453"/>
      <c r="O69" s="425">
        <v>1489209</v>
      </c>
      <c r="P69" s="428">
        <v>0</v>
      </c>
      <c r="Q69" s="428">
        <v>86164</v>
      </c>
      <c r="R69" s="428">
        <f t="shared" si="85"/>
        <v>1403045</v>
      </c>
      <c r="S69" s="428"/>
      <c r="T69" s="453"/>
      <c r="U69" s="425">
        <f>9988003+80790</f>
        <v>10068793</v>
      </c>
      <c r="V69" s="428">
        <v>3089837.42</v>
      </c>
      <c r="W69" s="428">
        <v>1512671.07</v>
      </c>
      <c r="X69" s="428">
        <f t="shared" si="86"/>
        <v>11645959.35</v>
      </c>
      <c r="Y69" s="428">
        <v>5975</v>
      </c>
      <c r="Z69" s="453"/>
      <c r="AA69" s="425">
        <f>5498466+2255.1</f>
        <v>5500721.0999999996</v>
      </c>
      <c r="AB69" s="428">
        <v>1134614.08</v>
      </c>
      <c r="AC69" s="428">
        <v>455945</v>
      </c>
      <c r="AD69" s="428">
        <f t="shared" si="87"/>
        <v>6179390.1799999997</v>
      </c>
      <c r="AE69" s="428">
        <v>3039</v>
      </c>
      <c r="AF69" s="453"/>
      <c r="AG69" s="425">
        <v>13642336</v>
      </c>
      <c r="AH69" s="428">
        <v>2085764</v>
      </c>
      <c r="AI69" s="428">
        <v>1450347</v>
      </c>
      <c r="AJ69" s="428">
        <f t="shared" si="88"/>
        <v>14277753</v>
      </c>
      <c r="AK69" s="428"/>
      <c r="AL69" s="453"/>
      <c r="AM69" s="425">
        <v>0</v>
      </c>
      <c r="AN69" s="428"/>
      <c r="AO69" s="428"/>
      <c r="AP69" s="428">
        <f t="shared" si="89"/>
        <v>0</v>
      </c>
      <c r="AQ69" s="428"/>
      <c r="AR69" s="453"/>
      <c r="AS69" s="425">
        <v>123510</v>
      </c>
      <c r="AT69" s="428">
        <v>4876</v>
      </c>
      <c r="AU69" s="428">
        <v>13873</v>
      </c>
      <c r="AV69" s="428">
        <f t="shared" si="90"/>
        <v>114513</v>
      </c>
      <c r="AW69" s="508">
        <v>0</v>
      </c>
      <c r="AX69" s="453">
        <v>0</v>
      </c>
      <c r="AY69" s="425">
        <f>1161914+8070</f>
        <v>1169984</v>
      </c>
      <c r="AZ69" s="428">
        <v>318138</v>
      </c>
      <c r="BA69" s="428">
        <v>185711</v>
      </c>
      <c r="BB69" s="428">
        <f t="shared" si="91"/>
        <v>1302411</v>
      </c>
      <c r="BC69" s="428">
        <v>618</v>
      </c>
      <c r="BD69" s="453"/>
      <c r="BE69" s="425">
        <v>480</v>
      </c>
      <c r="BF69" s="428"/>
      <c r="BG69" s="428">
        <v>84</v>
      </c>
      <c r="BH69" s="428">
        <f t="shared" si="92"/>
        <v>396</v>
      </c>
      <c r="BI69" s="83"/>
      <c r="BJ69" s="626"/>
      <c r="BK69" s="425">
        <v>0</v>
      </c>
      <c r="BL69" s="428" t="e">
        <f>SUM(#REF!)</f>
        <v>#REF!</v>
      </c>
      <c r="BM69" s="428" t="e">
        <f>SUM(#REF!)</f>
        <v>#REF!</v>
      </c>
      <c r="BN69" s="428" t="e">
        <f t="shared" si="77"/>
        <v>#REF!</v>
      </c>
      <c r="BO69" s="428" t="e">
        <f>SUM(#REF!)</f>
        <v>#REF!</v>
      </c>
      <c r="BP69" s="428" t="e">
        <f>SUM(#REF!)</f>
        <v>#REF!</v>
      </c>
      <c r="BQ69" s="741">
        <f t="shared" si="78"/>
        <v>38844606.100000001</v>
      </c>
      <c r="BR69" s="741" t="e">
        <f t="shared" si="78"/>
        <v>#REF!</v>
      </c>
      <c r="BS69" s="741" t="e">
        <f t="shared" si="78"/>
        <v>#REF!</v>
      </c>
      <c r="BT69" s="741" t="e">
        <f t="shared" si="78"/>
        <v>#REF!</v>
      </c>
      <c r="BU69" s="562" t="e">
        <f t="shared" si="78"/>
        <v>#REF!</v>
      </c>
      <c r="BV69" s="676" t="e">
        <f t="shared" si="78"/>
        <v>#REF!</v>
      </c>
      <c r="BW69" s="425"/>
      <c r="BX69" s="428"/>
      <c r="BY69" s="428"/>
      <c r="BZ69" s="428"/>
      <c r="CA69" s="429">
        <f t="shared" si="79"/>
        <v>0</v>
      </c>
      <c r="CB69" s="430"/>
      <c r="CC69" s="425"/>
      <c r="CD69" s="428"/>
      <c r="CE69" s="428"/>
      <c r="CF69" s="428"/>
      <c r="CG69" s="428"/>
      <c r="CH69" s="453"/>
      <c r="CI69" s="433"/>
      <c r="CJ69" s="431"/>
      <c r="CK69" s="431"/>
      <c r="CL69" s="431"/>
      <c r="CM69" s="434"/>
      <c r="CN69" s="460"/>
      <c r="CO69" s="425">
        <v>0</v>
      </c>
      <c r="CP69" s="428"/>
      <c r="CQ69" s="428"/>
      <c r="CR69" s="428">
        <f t="shared" si="93"/>
        <v>0</v>
      </c>
      <c r="CS69" s="428"/>
      <c r="CT69" s="453"/>
      <c r="CU69" s="425">
        <v>27000</v>
      </c>
      <c r="CV69" s="655"/>
      <c r="CW69" s="655"/>
      <c r="CX69" s="428">
        <f t="shared" si="94"/>
        <v>27000</v>
      </c>
      <c r="CY69" s="655"/>
      <c r="CZ69" s="632"/>
      <c r="DA69" s="726">
        <v>0</v>
      </c>
      <c r="DB69" s="9"/>
      <c r="DC69" s="9"/>
      <c r="DD69" s="9">
        <f t="shared" si="95"/>
        <v>0</v>
      </c>
      <c r="DE69" s="9"/>
      <c r="DF69" s="727"/>
      <c r="DG69" s="472"/>
      <c r="DH69" s="472"/>
      <c r="DI69" s="472"/>
      <c r="DJ69" s="472"/>
      <c r="DK69" s="472"/>
      <c r="DL69" s="472"/>
      <c r="DM69" s="703"/>
      <c r="DN69" s="428"/>
      <c r="DO69" s="428"/>
      <c r="DP69" s="428"/>
      <c r="DQ69" s="428"/>
      <c r="DR69" s="704"/>
      <c r="DS69" s="617"/>
      <c r="DT69" s="617"/>
      <c r="DU69" s="617"/>
      <c r="DV69" s="617"/>
      <c r="DW69" s="617"/>
      <c r="DX69" s="617"/>
      <c r="DY69" s="668"/>
      <c r="DZ69" s="671"/>
      <c r="EA69" s="671"/>
      <c r="EB69" s="428">
        <f t="shared" si="82"/>
        <v>0</v>
      </c>
      <c r="EC69" s="428"/>
      <c r="ED69" s="453"/>
      <c r="EE69" s="587"/>
      <c r="EF69" s="437"/>
      <c r="EG69" s="437"/>
      <c r="EH69" s="437"/>
      <c r="EI69" s="437"/>
      <c r="EJ69" s="453"/>
      <c r="EK69" s="688">
        <f t="shared" si="80"/>
        <v>27000</v>
      </c>
      <c r="EL69" s="688">
        <f t="shared" si="80"/>
        <v>0</v>
      </c>
      <c r="EM69" s="688">
        <f t="shared" si="80"/>
        <v>0</v>
      </c>
      <c r="EN69" s="688">
        <f t="shared" si="80"/>
        <v>27000</v>
      </c>
      <c r="EO69" s="688">
        <f t="shared" si="80"/>
        <v>0</v>
      </c>
      <c r="EP69" s="687">
        <f t="shared" si="80"/>
        <v>0</v>
      </c>
      <c r="EQ69" s="739">
        <f t="shared" si="81"/>
        <v>38871606.100000001</v>
      </c>
      <c r="ER69" s="739" t="e">
        <f t="shared" si="81"/>
        <v>#REF!</v>
      </c>
      <c r="ES69" s="739" t="e">
        <f t="shared" si="81"/>
        <v>#REF!</v>
      </c>
      <c r="ET69" s="739" t="e">
        <f t="shared" si="81"/>
        <v>#REF!</v>
      </c>
      <c r="EU69" s="739" t="e">
        <f t="shared" si="81"/>
        <v>#REF!</v>
      </c>
      <c r="EV69" s="740" t="e">
        <f t="shared" si="81"/>
        <v>#REF!</v>
      </c>
      <c r="EW69" s="438" t="e">
        <f>SUM('общ.сводрайон без курсовой '!C69-#REF!-#REF!)</f>
        <v>#REF!</v>
      </c>
      <c r="EX69" s="438" t="e">
        <f>SUM('общ.сводрайон без курсовой '!D69-#REF!-#REF!)</f>
        <v>#REF!</v>
      </c>
      <c r="EY69" s="438" t="e">
        <f>SUM('общ.сводрайон без курсовой '!E69-#REF!-#REF!)</f>
        <v>#REF!</v>
      </c>
      <c r="EZ69" s="438" t="e">
        <f>SUM('общ.сводрайон без курсовой '!F69-#REF!-#REF!)</f>
        <v>#REF!</v>
      </c>
    </row>
    <row r="70" spans="1:156" s="439" customFormat="1" ht="18.95" customHeight="1">
      <c r="A70" s="440">
        <v>54</v>
      </c>
      <c r="B70" s="441" t="s">
        <v>12</v>
      </c>
      <c r="C70" s="425">
        <f>5044209+29073</f>
        <v>5073282</v>
      </c>
      <c r="D70" s="428">
        <v>602412</v>
      </c>
      <c r="E70" s="428">
        <v>452797</v>
      </c>
      <c r="F70" s="428">
        <f t="shared" si="83"/>
        <v>5222897</v>
      </c>
      <c r="G70" s="428">
        <v>3941</v>
      </c>
      <c r="H70" s="453"/>
      <c r="I70" s="425">
        <f>2881132+1007</f>
        <v>2882139</v>
      </c>
      <c r="J70" s="428">
        <v>111004</v>
      </c>
      <c r="K70" s="428">
        <v>156536</v>
      </c>
      <c r="L70" s="428">
        <f t="shared" si="84"/>
        <v>2836607</v>
      </c>
      <c r="M70" s="508">
        <v>658</v>
      </c>
      <c r="N70" s="453"/>
      <c r="O70" s="425">
        <f>2124358+241.22</f>
        <v>2124599.2200000002</v>
      </c>
      <c r="P70" s="428">
        <v>464009</v>
      </c>
      <c r="Q70" s="428">
        <v>447628.22</v>
      </c>
      <c r="R70" s="428">
        <f t="shared" si="85"/>
        <v>2140980</v>
      </c>
      <c r="S70" s="428"/>
      <c r="T70" s="453"/>
      <c r="U70" s="425">
        <v>0</v>
      </c>
      <c r="V70" s="428"/>
      <c r="W70" s="428"/>
      <c r="X70" s="428">
        <f t="shared" si="86"/>
        <v>0</v>
      </c>
      <c r="Y70" s="428"/>
      <c r="Z70" s="453"/>
      <c r="AA70" s="425">
        <v>656253.03</v>
      </c>
      <c r="AB70" s="529">
        <v>92746.85</v>
      </c>
      <c r="AC70" s="428">
        <v>55800</v>
      </c>
      <c r="AD70" s="428">
        <f t="shared" si="87"/>
        <v>693199.88</v>
      </c>
      <c r="AE70" s="428">
        <v>109</v>
      </c>
      <c r="AF70" s="453"/>
      <c r="AG70" s="425">
        <v>1985766</v>
      </c>
      <c r="AH70" s="428">
        <v>777852</v>
      </c>
      <c r="AI70" s="428">
        <v>292385</v>
      </c>
      <c r="AJ70" s="428">
        <f t="shared" si="88"/>
        <v>2471233</v>
      </c>
      <c r="AK70" s="428"/>
      <c r="AL70" s="453"/>
      <c r="AM70" s="425">
        <v>0</v>
      </c>
      <c r="AN70" s="428"/>
      <c r="AO70" s="428"/>
      <c r="AP70" s="428">
        <f t="shared" si="89"/>
        <v>0</v>
      </c>
      <c r="AQ70" s="428"/>
      <c r="AR70" s="453"/>
      <c r="AS70" s="425">
        <v>616716</v>
      </c>
      <c r="AT70" s="428">
        <v>250529</v>
      </c>
      <c r="AU70" s="428">
        <v>502288</v>
      </c>
      <c r="AV70" s="428">
        <f t="shared" si="90"/>
        <v>364957</v>
      </c>
      <c r="AW70" s="508">
        <v>0</v>
      </c>
      <c r="AX70" s="453">
        <v>1050</v>
      </c>
      <c r="AY70" s="425">
        <f>801801+7058</f>
        <v>808859</v>
      </c>
      <c r="AZ70" s="428">
        <v>12000</v>
      </c>
      <c r="BA70" s="428">
        <v>67649</v>
      </c>
      <c r="BB70" s="428">
        <f t="shared" si="91"/>
        <v>753210</v>
      </c>
      <c r="BC70" s="428">
        <v>245</v>
      </c>
      <c r="BD70" s="453"/>
      <c r="BE70" s="425">
        <v>0</v>
      </c>
      <c r="BF70" s="428"/>
      <c r="BG70" s="428"/>
      <c r="BH70" s="428">
        <f t="shared" si="92"/>
        <v>0</v>
      </c>
      <c r="BI70" s="83"/>
      <c r="BJ70" s="626"/>
      <c r="BK70" s="425">
        <v>262251.94</v>
      </c>
      <c r="BL70" s="428" t="e">
        <f>SUM(#REF!)</f>
        <v>#REF!</v>
      </c>
      <c r="BM70" s="428" t="e">
        <f>SUM(#REF!)</f>
        <v>#REF!</v>
      </c>
      <c r="BN70" s="428" t="e">
        <f t="shared" si="77"/>
        <v>#REF!</v>
      </c>
      <c r="BO70" s="428" t="e">
        <f>SUM(#REF!)</f>
        <v>#REF!</v>
      </c>
      <c r="BP70" s="428" t="e">
        <f>SUM(#REF!)</f>
        <v>#REF!</v>
      </c>
      <c r="BQ70" s="741">
        <f t="shared" si="78"/>
        <v>14409866.189999999</v>
      </c>
      <c r="BR70" s="741" t="e">
        <f t="shared" si="78"/>
        <v>#REF!</v>
      </c>
      <c r="BS70" s="741" t="e">
        <f t="shared" si="78"/>
        <v>#REF!</v>
      </c>
      <c r="BT70" s="741" t="e">
        <f t="shared" si="78"/>
        <v>#REF!</v>
      </c>
      <c r="BU70" s="562" t="e">
        <f t="shared" si="78"/>
        <v>#REF!</v>
      </c>
      <c r="BV70" s="676" t="e">
        <f t="shared" si="78"/>
        <v>#REF!</v>
      </c>
      <c r="BW70" s="425"/>
      <c r="BX70" s="428"/>
      <c r="BY70" s="428"/>
      <c r="BZ70" s="428"/>
      <c r="CA70" s="429">
        <f t="shared" si="79"/>
        <v>0</v>
      </c>
      <c r="CB70" s="430"/>
      <c r="CC70" s="425"/>
      <c r="CD70" s="428"/>
      <c r="CE70" s="428"/>
      <c r="CF70" s="428"/>
      <c r="CG70" s="428"/>
      <c r="CH70" s="453"/>
      <c r="CI70" s="433"/>
      <c r="CJ70" s="431"/>
      <c r="CK70" s="431"/>
      <c r="CL70" s="431"/>
      <c r="CM70" s="434"/>
      <c r="CN70" s="460"/>
      <c r="CO70" s="425">
        <v>0</v>
      </c>
      <c r="CP70" s="428"/>
      <c r="CQ70" s="428"/>
      <c r="CR70" s="428">
        <f t="shared" si="93"/>
        <v>0</v>
      </c>
      <c r="CS70" s="428"/>
      <c r="CT70" s="453"/>
      <c r="CU70" s="425">
        <v>0</v>
      </c>
      <c r="CV70" s="655"/>
      <c r="CW70" s="655"/>
      <c r="CX70" s="428">
        <f t="shared" si="94"/>
        <v>0</v>
      </c>
      <c r="CY70" s="655"/>
      <c r="CZ70" s="632"/>
      <c r="DA70" s="726">
        <v>59</v>
      </c>
      <c r="DB70" s="9"/>
      <c r="DC70" s="9"/>
      <c r="DD70" s="9">
        <f t="shared" si="95"/>
        <v>59</v>
      </c>
      <c r="DE70" s="9"/>
      <c r="DF70" s="727"/>
      <c r="DG70" s="472"/>
      <c r="DH70" s="472"/>
      <c r="DI70" s="472"/>
      <c r="DJ70" s="472"/>
      <c r="DK70" s="472"/>
      <c r="DL70" s="472"/>
      <c r="DM70" s="703"/>
      <c r="DN70" s="428"/>
      <c r="DO70" s="428"/>
      <c r="DP70" s="428"/>
      <c r="DQ70" s="428"/>
      <c r="DR70" s="704"/>
      <c r="DS70" s="617"/>
      <c r="DT70" s="617"/>
      <c r="DU70" s="617"/>
      <c r="DV70" s="617"/>
      <c r="DW70" s="617"/>
      <c r="DX70" s="617"/>
      <c r="DY70" s="668"/>
      <c r="DZ70" s="670"/>
      <c r="EA70" s="670"/>
      <c r="EB70" s="428">
        <f t="shared" si="82"/>
        <v>0</v>
      </c>
      <c r="EC70" s="428"/>
      <c r="ED70" s="453"/>
      <c r="EE70" s="587"/>
      <c r="EF70" s="437"/>
      <c r="EG70" s="437"/>
      <c r="EH70" s="437"/>
      <c r="EI70" s="437"/>
      <c r="EJ70" s="453"/>
      <c r="EK70" s="688">
        <f t="shared" si="80"/>
        <v>59</v>
      </c>
      <c r="EL70" s="688">
        <f t="shared" si="80"/>
        <v>0</v>
      </c>
      <c r="EM70" s="688">
        <f t="shared" si="80"/>
        <v>0</v>
      </c>
      <c r="EN70" s="688">
        <f t="shared" si="80"/>
        <v>59</v>
      </c>
      <c r="EO70" s="688">
        <f t="shared" si="80"/>
        <v>0</v>
      </c>
      <c r="EP70" s="687">
        <f t="shared" si="80"/>
        <v>0</v>
      </c>
      <c r="EQ70" s="739">
        <f t="shared" si="81"/>
        <v>14409925.189999999</v>
      </c>
      <c r="ER70" s="739" t="e">
        <f t="shared" si="81"/>
        <v>#REF!</v>
      </c>
      <c r="ES70" s="739" t="e">
        <f t="shared" si="81"/>
        <v>#REF!</v>
      </c>
      <c r="ET70" s="739" t="e">
        <f t="shared" si="81"/>
        <v>#REF!</v>
      </c>
      <c r="EU70" s="739" t="e">
        <f t="shared" si="81"/>
        <v>#REF!</v>
      </c>
      <c r="EV70" s="740" t="e">
        <f t="shared" si="81"/>
        <v>#REF!</v>
      </c>
      <c r="EW70" s="438" t="e">
        <f>SUM('общ.сводрайон без курсовой '!C70-#REF!-#REF!)</f>
        <v>#REF!</v>
      </c>
      <c r="EX70" s="438" t="e">
        <f>SUM('общ.сводрайон без курсовой '!D70-#REF!-#REF!)</f>
        <v>#REF!</v>
      </c>
      <c r="EY70" s="438" t="e">
        <f>SUM('общ.сводрайон без курсовой '!E70-#REF!-#REF!)</f>
        <v>#REF!</v>
      </c>
      <c r="EZ70" s="438" t="e">
        <f>SUM('общ.сводрайон без курсовой '!F70-#REF!-#REF!)</f>
        <v>#REF!</v>
      </c>
    </row>
    <row r="71" spans="1:156" s="439" customFormat="1" ht="18.95" customHeight="1">
      <c r="A71" s="440">
        <v>55</v>
      </c>
      <c r="B71" s="441" t="s">
        <v>17</v>
      </c>
      <c r="C71" s="425">
        <f>1426088+8125</f>
        <v>1434213</v>
      </c>
      <c r="D71" s="428">
        <v>173649</v>
      </c>
      <c r="E71" s="428">
        <v>240538</v>
      </c>
      <c r="F71" s="428">
        <f t="shared" si="83"/>
        <v>1367324</v>
      </c>
      <c r="G71" s="428">
        <v>1666</v>
      </c>
      <c r="H71" s="453"/>
      <c r="I71" s="425">
        <v>0</v>
      </c>
      <c r="J71" s="428"/>
      <c r="K71" s="428"/>
      <c r="L71" s="428">
        <f t="shared" si="84"/>
        <v>0</v>
      </c>
      <c r="M71" s="508"/>
      <c r="N71" s="453"/>
      <c r="O71" s="425">
        <v>633985.76</v>
      </c>
      <c r="P71" s="428">
        <v>56600</v>
      </c>
      <c r="Q71" s="428">
        <v>29972.76</v>
      </c>
      <c r="R71" s="428">
        <f t="shared" si="85"/>
        <v>660613</v>
      </c>
      <c r="S71" s="428"/>
      <c r="T71" s="453"/>
      <c r="U71" s="425">
        <v>0</v>
      </c>
      <c r="V71" s="428">
        <v>27812</v>
      </c>
      <c r="W71" s="428">
        <v>2481</v>
      </c>
      <c r="X71" s="428">
        <f t="shared" si="86"/>
        <v>25331</v>
      </c>
      <c r="Y71" s="428">
        <v>33</v>
      </c>
      <c r="Z71" s="453"/>
      <c r="AA71" s="425">
        <f>81428+10.5</f>
        <v>81438.5</v>
      </c>
      <c r="AB71" s="428">
        <v>32039.08</v>
      </c>
      <c r="AC71" s="428">
        <v>13626</v>
      </c>
      <c r="AD71" s="428">
        <f t="shared" si="87"/>
        <v>99851.58</v>
      </c>
      <c r="AE71" s="428">
        <v>225</v>
      </c>
      <c r="AF71" s="453"/>
      <c r="AG71" s="537">
        <v>806365</v>
      </c>
      <c r="AH71" s="529">
        <v>123302</v>
      </c>
      <c r="AI71" s="529">
        <v>159956</v>
      </c>
      <c r="AJ71" s="529">
        <f t="shared" si="88"/>
        <v>769711</v>
      </c>
      <c r="AK71" s="428"/>
      <c r="AL71" s="453"/>
      <c r="AM71" s="425">
        <v>0</v>
      </c>
      <c r="AN71" s="428"/>
      <c r="AO71" s="428"/>
      <c r="AP71" s="428">
        <f t="shared" si="89"/>
        <v>0</v>
      </c>
      <c r="AQ71" s="428"/>
      <c r="AR71" s="453"/>
      <c r="AS71" s="425">
        <f>-2304+2304</f>
        <v>0</v>
      </c>
      <c r="AT71" s="428">
        <v>0</v>
      </c>
      <c r="AU71" s="428">
        <v>0</v>
      </c>
      <c r="AV71" s="428">
        <f t="shared" si="90"/>
        <v>0</v>
      </c>
      <c r="AW71" s="508">
        <v>0</v>
      </c>
      <c r="AX71" s="453">
        <v>0</v>
      </c>
      <c r="AY71" s="425">
        <v>0</v>
      </c>
      <c r="AZ71" s="428"/>
      <c r="BA71" s="428"/>
      <c r="BB71" s="428">
        <f t="shared" si="91"/>
        <v>0</v>
      </c>
      <c r="BC71" s="428"/>
      <c r="BD71" s="453"/>
      <c r="BE71" s="425">
        <v>0</v>
      </c>
      <c r="BF71" s="428"/>
      <c r="BG71" s="428"/>
      <c r="BH71" s="428">
        <f t="shared" si="92"/>
        <v>0</v>
      </c>
      <c r="BI71" s="83"/>
      <c r="BJ71" s="626"/>
      <c r="BK71" s="425">
        <v>0</v>
      </c>
      <c r="BL71" s="428" t="e">
        <f>SUM(#REF!)</f>
        <v>#REF!</v>
      </c>
      <c r="BM71" s="428" t="e">
        <f>SUM(#REF!)</f>
        <v>#REF!</v>
      </c>
      <c r="BN71" s="428" t="e">
        <f t="shared" si="77"/>
        <v>#REF!</v>
      </c>
      <c r="BO71" s="428" t="e">
        <f>SUM(#REF!)</f>
        <v>#REF!</v>
      </c>
      <c r="BP71" s="428" t="e">
        <f>SUM(#REF!)</f>
        <v>#REF!</v>
      </c>
      <c r="BQ71" s="741">
        <f t="shared" si="78"/>
        <v>2956002.26</v>
      </c>
      <c r="BR71" s="741" t="e">
        <f t="shared" si="78"/>
        <v>#REF!</v>
      </c>
      <c r="BS71" s="741" t="e">
        <f t="shared" si="78"/>
        <v>#REF!</v>
      </c>
      <c r="BT71" s="741" t="e">
        <f t="shared" si="78"/>
        <v>#REF!</v>
      </c>
      <c r="BU71" s="562" t="e">
        <f t="shared" si="78"/>
        <v>#REF!</v>
      </c>
      <c r="BV71" s="676" t="e">
        <f t="shared" si="78"/>
        <v>#REF!</v>
      </c>
      <c r="BW71" s="425"/>
      <c r="BX71" s="428"/>
      <c r="BY71" s="428"/>
      <c r="BZ71" s="428"/>
      <c r="CA71" s="429">
        <f t="shared" si="79"/>
        <v>0</v>
      </c>
      <c r="CB71" s="430"/>
      <c r="CC71" s="425"/>
      <c r="CD71" s="428"/>
      <c r="CE71" s="428"/>
      <c r="CF71" s="428"/>
      <c r="CG71" s="428"/>
      <c r="CH71" s="453"/>
      <c r="CI71" s="433"/>
      <c r="CJ71" s="431"/>
      <c r="CK71" s="431"/>
      <c r="CL71" s="431"/>
      <c r="CM71" s="434"/>
      <c r="CN71" s="460"/>
      <c r="CO71" s="425">
        <v>0</v>
      </c>
      <c r="CP71" s="428"/>
      <c r="CQ71" s="428"/>
      <c r="CR71" s="428">
        <f t="shared" si="93"/>
        <v>0</v>
      </c>
      <c r="CS71" s="428"/>
      <c r="CT71" s="453"/>
      <c r="CU71" s="425">
        <v>0</v>
      </c>
      <c r="CV71" s="655"/>
      <c r="CW71" s="655"/>
      <c r="CX71" s="428">
        <f t="shared" si="94"/>
        <v>0</v>
      </c>
      <c r="CY71" s="655"/>
      <c r="CZ71" s="632"/>
      <c r="DA71" s="726">
        <v>0</v>
      </c>
      <c r="DB71" s="9"/>
      <c r="DC71" s="9"/>
      <c r="DD71" s="9">
        <f t="shared" si="95"/>
        <v>0</v>
      </c>
      <c r="DE71" s="9"/>
      <c r="DF71" s="727"/>
      <c r="DG71" s="472"/>
      <c r="DH71" s="472"/>
      <c r="DI71" s="472"/>
      <c r="DJ71" s="472"/>
      <c r="DK71" s="472"/>
      <c r="DL71" s="472"/>
      <c r="DM71" s="703"/>
      <c r="DN71" s="428"/>
      <c r="DO71" s="428"/>
      <c r="DP71" s="428"/>
      <c r="DQ71" s="428"/>
      <c r="DR71" s="704"/>
      <c r="DS71" s="617"/>
      <c r="DT71" s="617"/>
      <c r="DU71" s="617"/>
      <c r="DV71" s="617"/>
      <c r="DW71" s="617"/>
      <c r="DX71" s="617"/>
      <c r="DY71" s="668"/>
      <c r="DZ71" s="670"/>
      <c r="EA71" s="670"/>
      <c r="EB71" s="428">
        <f t="shared" si="82"/>
        <v>0</v>
      </c>
      <c r="EC71" s="428"/>
      <c r="ED71" s="453"/>
      <c r="EE71" s="587"/>
      <c r="EF71" s="437"/>
      <c r="EG71" s="437"/>
      <c r="EH71" s="437"/>
      <c r="EI71" s="437"/>
      <c r="EJ71" s="453"/>
      <c r="EK71" s="688">
        <f t="shared" si="80"/>
        <v>0</v>
      </c>
      <c r="EL71" s="688">
        <f t="shared" si="80"/>
        <v>0</v>
      </c>
      <c r="EM71" s="688">
        <f t="shared" si="80"/>
        <v>0</v>
      </c>
      <c r="EN71" s="688">
        <f t="shared" si="80"/>
        <v>0</v>
      </c>
      <c r="EO71" s="688">
        <f t="shared" si="80"/>
        <v>0</v>
      </c>
      <c r="EP71" s="687">
        <f t="shared" si="80"/>
        <v>0</v>
      </c>
      <c r="EQ71" s="739">
        <f t="shared" si="81"/>
        <v>2956002.26</v>
      </c>
      <c r="ER71" s="739" t="e">
        <f t="shared" si="81"/>
        <v>#REF!</v>
      </c>
      <c r="ES71" s="739" t="e">
        <f t="shared" si="81"/>
        <v>#REF!</v>
      </c>
      <c r="ET71" s="739" t="e">
        <f t="shared" si="81"/>
        <v>#REF!</v>
      </c>
      <c r="EU71" s="739" t="e">
        <f t="shared" si="81"/>
        <v>#REF!</v>
      </c>
      <c r="EV71" s="740" t="e">
        <f t="shared" si="81"/>
        <v>#REF!</v>
      </c>
      <c r="EW71" s="438" t="e">
        <f>SUM('общ.сводрайон без курсовой '!C71-#REF!-#REF!)</f>
        <v>#REF!</v>
      </c>
      <c r="EX71" s="438" t="e">
        <f>SUM('общ.сводрайон без курсовой '!D71-#REF!-#REF!)</f>
        <v>#REF!</v>
      </c>
      <c r="EY71" s="438" t="e">
        <f>SUM('общ.сводрайон без курсовой '!E71-#REF!-#REF!)</f>
        <v>#REF!</v>
      </c>
      <c r="EZ71" s="438" t="e">
        <f>SUM('общ.сводрайон без курсовой '!F71-#REF!-#REF!)</f>
        <v>#REF!</v>
      </c>
    </row>
    <row r="72" spans="1:156" s="439" customFormat="1" ht="18.95" customHeight="1">
      <c r="A72" s="440">
        <f>A71+1</f>
        <v>56</v>
      </c>
      <c r="B72" s="441" t="s">
        <v>18</v>
      </c>
      <c r="C72" s="425">
        <f>1882466+10940</f>
        <v>1893406</v>
      </c>
      <c r="D72" s="428">
        <v>104246</v>
      </c>
      <c r="E72" s="428">
        <v>241439</v>
      </c>
      <c r="F72" s="428">
        <f t="shared" si="83"/>
        <v>1756213</v>
      </c>
      <c r="G72" s="428">
        <v>1448</v>
      </c>
      <c r="H72" s="453"/>
      <c r="I72" s="425">
        <v>0</v>
      </c>
      <c r="J72" s="428"/>
      <c r="K72" s="428"/>
      <c r="L72" s="428">
        <f t="shared" si="84"/>
        <v>0</v>
      </c>
      <c r="M72" s="508"/>
      <c r="N72" s="453"/>
      <c r="O72" s="425">
        <v>2062780</v>
      </c>
      <c r="P72" s="428">
        <v>67900</v>
      </c>
      <c r="Q72" s="428">
        <v>21250</v>
      </c>
      <c r="R72" s="428">
        <f t="shared" si="85"/>
        <v>2109430</v>
      </c>
      <c r="S72" s="428"/>
      <c r="T72" s="453"/>
      <c r="U72" s="425">
        <v>0</v>
      </c>
      <c r="V72" s="428"/>
      <c r="W72" s="428"/>
      <c r="X72" s="428">
        <f t="shared" si="86"/>
        <v>0</v>
      </c>
      <c r="Y72" s="428"/>
      <c r="Z72" s="453"/>
      <c r="AA72" s="425">
        <f>867475+63.5</f>
        <v>867538.5</v>
      </c>
      <c r="AB72" s="428">
        <v>19592.330000000002</v>
      </c>
      <c r="AC72" s="428">
        <v>50011.45</v>
      </c>
      <c r="AD72" s="428">
        <f t="shared" si="87"/>
        <v>837119.38</v>
      </c>
      <c r="AE72" s="428">
        <v>189</v>
      </c>
      <c r="AF72" s="453"/>
      <c r="AG72" s="425">
        <v>2321185</v>
      </c>
      <c r="AH72" s="428">
        <v>488978</v>
      </c>
      <c r="AI72" s="428">
        <v>299599</v>
      </c>
      <c r="AJ72" s="428">
        <f t="shared" si="88"/>
        <v>2510564</v>
      </c>
      <c r="AK72" s="428"/>
      <c r="AL72" s="453"/>
      <c r="AM72" s="425">
        <v>0</v>
      </c>
      <c r="AN72" s="428"/>
      <c r="AO72" s="428"/>
      <c r="AP72" s="428">
        <f t="shared" si="89"/>
        <v>0</v>
      </c>
      <c r="AQ72" s="428"/>
      <c r="AR72" s="453"/>
      <c r="AS72" s="425">
        <v>0</v>
      </c>
      <c r="AT72" s="428">
        <v>0</v>
      </c>
      <c r="AU72" s="428">
        <v>0</v>
      </c>
      <c r="AV72" s="428">
        <f t="shared" si="90"/>
        <v>0</v>
      </c>
      <c r="AW72" s="508">
        <v>0</v>
      </c>
      <c r="AX72" s="453">
        <v>0</v>
      </c>
      <c r="AY72" s="425">
        <f>1244687+13385</f>
        <v>1258072</v>
      </c>
      <c r="AZ72" s="428">
        <v>145675</v>
      </c>
      <c r="BA72" s="428">
        <v>129512</v>
      </c>
      <c r="BB72" s="428">
        <f t="shared" si="91"/>
        <v>1274235</v>
      </c>
      <c r="BC72" s="428">
        <v>907</v>
      </c>
      <c r="BD72" s="453"/>
      <c r="BE72" s="425">
        <v>0</v>
      </c>
      <c r="BF72" s="428"/>
      <c r="BG72" s="428"/>
      <c r="BH72" s="428">
        <f t="shared" si="92"/>
        <v>0</v>
      </c>
      <c r="BI72" s="83"/>
      <c r="BJ72" s="626"/>
      <c r="BK72" s="425">
        <v>502000</v>
      </c>
      <c r="BL72" s="428" t="e">
        <f>SUM(#REF!)</f>
        <v>#REF!</v>
      </c>
      <c r="BM72" s="428" t="e">
        <f>SUM(#REF!)</f>
        <v>#REF!</v>
      </c>
      <c r="BN72" s="428" t="e">
        <f t="shared" si="77"/>
        <v>#REF!</v>
      </c>
      <c r="BO72" s="428" t="e">
        <f>SUM(#REF!)</f>
        <v>#REF!</v>
      </c>
      <c r="BP72" s="428" t="e">
        <f>SUM(#REF!)</f>
        <v>#REF!</v>
      </c>
      <c r="BQ72" s="741">
        <f t="shared" si="78"/>
        <v>8904981.5</v>
      </c>
      <c r="BR72" s="741" t="e">
        <f t="shared" si="78"/>
        <v>#REF!</v>
      </c>
      <c r="BS72" s="741" t="e">
        <f t="shared" si="78"/>
        <v>#REF!</v>
      </c>
      <c r="BT72" s="741" t="e">
        <f t="shared" si="78"/>
        <v>#REF!</v>
      </c>
      <c r="BU72" s="562" t="e">
        <f t="shared" si="78"/>
        <v>#REF!</v>
      </c>
      <c r="BV72" s="676" t="e">
        <f t="shared" si="78"/>
        <v>#REF!</v>
      </c>
      <c r="BW72" s="425"/>
      <c r="BX72" s="428"/>
      <c r="BY72" s="428"/>
      <c r="BZ72" s="428"/>
      <c r="CA72" s="429">
        <f t="shared" si="79"/>
        <v>0</v>
      </c>
      <c r="CB72" s="430"/>
      <c r="CC72" s="425"/>
      <c r="CD72" s="428"/>
      <c r="CE72" s="428"/>
      <c r="CF72" s="428"/>
      <c r="CG72" s="428"/>
      <c r="CH72" s="453"/>
      <c r="CI72" s="433">
        <f>39636+206</f>
        <v>39842</v>
      </c>
      <c r="CJ72" s="431">
        <v>10455</v>
      </c>
      <c r="CK72" s="431"/>
      <c r="CL72" s="428">
        <f>SUM(CI72+CJ72-CK72)</f>
        <v>50297</v>
      </c>
      <c r="CM72" s="434">
        <v>35</v>
      </c>
      <c r="CN72" s="460"/>
      <c r="CO72" s="425">
        <v>159572</v>
      </c>
      <c r="CP72" s="428"/>
      <c r="CQ72" s="428">
        <v>3100</v>
      </c>
      <c r="CR72" s="428">
        <f t="shared" si="93"/>
        <v>156472</v>
      </c>
      <c r="CS72" s="428"/>
      <c r="CT72" s="453"/>
      <c r="CU72" s="425">
        <f>1553242-2517</f>
        <v>1550725</v>
      </c>
      <c r="CV72" s="655">
        <v>54250</v>
      </c>
      <c r="CW72" s="655">
        <v>1000</v>
      </c>
      <c r="CX72" s="428">
        <f t="shared" si="94"/>
        <v>1603975</v>
      </c>
      <c r="CY72" s="655">
        <v>373</v>
      </c>
      <c r="CZ72" s="632"/>
      <c r="DA72" s="726">
        <v>0</v>
      </c>
      <c r="DB72" s="9"/>
      <c r="DC72" s="9"/>
      <c r="DD72" s="9">
        <f t="shared" si="95"/>
        <v>0</v>
      </c>
      <c r="DE72" s="9"/>
      <c r="DF72" s="727"/>
      <c r="DG72" s="472"/>
      <c r="DH72" s="472"/>
      <c r="DI72" s="472"/>
      <c r="DJ72" s="472"/>
      <c r="DK72" s="472"/>
      <c r="DL72" s="472"/>
      <c r="DM72" s="703"/>
      <c r="DN72" s="428"/>
      <c r="DO72" s="428"/>
      <c r="DP72" s="428"/>
      <c r="DQ72" s="428"/>
      <c r="DR72" s="704"/>
      <c r="DS72" s="617"/>
      <c r="DT72" s="617"/>
      <c r="DU72" s="617"/>
      <c r="DV72" s="617"/>
      <c r="DW72" s="617"/>
      <c r="DX72" s="617"/>
      <c r="DY72" s="668">
        <v>222913698</v>
      </c>
      <c r="DZ72" s="671"/>
      <c r="EA72" s="671"/>
      <c r="EB72" s="428">
        <f t="shared" si="82"/>
        <v>222913698</v>
      </c>
      <c r="EC72" s="428">
        <v>113758</v>
      </c>
      <c r="ED72" s="453"/>
      <c r="EE72" s="587"/>
      <c r="EF72" s="437"/>
      <c r="EG72" s="437"/>
      <c r="EH72" s="437"/>
      <c r="EI72" s="437"/>
      <c r="EJ72" s="453"/>
      <c r="EK72" s="688">
        <f t="shared" si="80"/>
        <v>224663837</v>
      </c>
      <c r="EL72" s="688">
        <f t="shared" si="80"/>
        <v>64705</v>
      </c>
      <c r="EM72" s="688">
        <f t="shared" si="80"/>
        <v>4100</v>
      </c>
      <c r="EN72" s="688">
        <f t="shared" si="80"/>
        <v>224724442</v>
      </c>
      <c r="EO72" s="688">
        <f t="shared" si="80"/>
        <v>114166</v>
      </c>
      <c r="EP72" s="687">
        <f t="shared" si="80"/>
        <v>0</v>
      </c>
      <c r="EQ72" s="739">
        <f t="shared" si="81"/>
        <v>233568818.5</v>
      </c>
      <c r="ER72" s="739" t="e">
        <f t="shared" si="81"/>
        <v>#REF!</v>
      </c>
      <c r="ES72" s="739" t="e">
        <f t="shared" si="81"/>
        <v>#REF!</v>
      </c>
      <c r="ET72" s="739" t="e">
        <f t="shared" si="81"/>
        <v>#REF!</v>
      </c>
      <c r="EU72" s="739" t="e">
        <f t="shared" si="81"/>
        <v>#REF!</v>
      </c>
      <c r="EV72" s="740" t="e">
        <f t="shared" si="81"/>
        <v>#REF!</v>
      </c>
      <c r="EW72" s="438" t="e">
        <f>SUM('общ.сводрайон без курсовой '!C72-#REF!-#REF!)</f>
        <v>#REF!</v>
      </c>
      <c r="EX72" s="438" t="e">
        <f>SUM('общ.сводрайон без курсовой '!D72-#REF!-#REF!)</f>
        <v>#REF!</v>
      </c>
      <c r="EY72" s="438" t="e">
        <f>SUM('общ.сводрайон без курсовой '!E72-#REF!-#REF!)</f>
        <v>#REF!</v>
      </c>
      <c r="EZ72" s="438" t="e">
        <f>SUM('общ.сводрайон без курсовой '!F72-#REF!-#REF!)</f>
        <v>#REF!</v>
      </c>
    </row>
    <row r="73" spans="1:156" s="439" customFormat="1" ht="18.95" customHeight="1">
      <c r="A73" s="440">
        <f>A72+1</f>
        <v>57</v>
      </c>
      <c r="B73" s="441" t="s">
        <v>19</v>
      </c>
      <c r="C73" s="425">
        <f>643202+2245</f>
        <v>645447</v>
      </c>
      <c r="D73" s="428">
        <v>154991</v>
      </c>
      <c r="E73" s="428">
        <v>243526</v>
      </c>
      <c r="F73" s="428">
        <f t="shared" si="83"/>
        <v>556912</v>
      </c>
      <c r="G73" s="428">
        <v>715</v>
      </c>
      <c r="H73" s="453"/>
      <c r="I73" s="425">
        <v>0</v>
      </c>
      <c r="J73" s="428"/>
      <c r="K73" s="428"/>
      <c r="L73" s="428">
        <f t="shared" si="84"/>
        <v>0</v>
      </c>
      <c r="M73" s="508"/>
      <c r="N73" s="453"/>
      <c r="O73" s="425">
        <f>795971+165.42</f>
        <v>796136.42</v>
      </c>
      <c r="P73" s="428">
        <v>151410</v>
      </c>
      <c r="Q73" s="428">
        <v>21722.42</v>
      </c>
      <c r="R73" s="428">
        <f t="shared" si="85"/>
        <v>925824</v>
      </c>
      <c r="S73" s="428"/>
      <c r="T73" s="453"/>
      <c r="U73" s="425">
        <v>0</v>
      </c>
      <c r="V73" s="428"/>
      <c r="W73" s="428"/>
      <c r="X73" s="428">
        <f t="shared" si="86"/>
        <v>0</v>
      </c>
      <c r="Y73" s="428"/>
      <c r="Z73" s="453"/>
      <c r="AA73" s="425">
        <v>113005</v>
      </c>
      <c r="AB73" s="428">
        <v>113000</v>
      </c>
      <c r="AC73" s="428">
        <v>0</v>
      </c>
      <c r="AD73" s="428">
        <f t="shared" si="87"/>
        <v>226005</v>
      </c>
      <c r="AE73" s="428">
        <v>160</v>
      </c>
      <c r="AF73" s="453"/>
      <c r="AG73" s="425">
        <v>0</v>
      </c>
      <c r="AH73" s="428"/>
      <c r="AI73" s="428">
        <v>0</v>
      </c>
      <c r="AJ73" s="428">
        <f t="shared" si="88"/>
        <v>0</v>
      </c>
      <c r="AK73" s="428"/>
      <c r="AL73" s="453"/>
      <c r="AM73" s="425">
        <v>0</v>
      </c>
      <c r="AN73" s="428"/>
      <c r="AO73" s="428"/>
      <c r="AP73" s="428">
        <f t="shared" si="89"/>
        <v>0</v>
      </c>
      <c r="AQ73" s="428"/>
      <c r="AR73" s="453"/>
      <c r="AS73" s="425">
        <v>60896</v>
      </c>
      <c r="AT73" s="428">
        <v>0</v>
      </c>
      <c r="AU73" s="428">
        <v>0</v>
      </c>
      <c r="AV73" s="428">
        <f t="shared" si="90"/>
        <v>60896</v>
      </c>
      <c r="AW73" s="508">
        <v>0</v>
      </c>
      <c r="AX73" s="453">
        <v>0</v>
      </c>
      <c r="AY73" s="425">
        <f>105249+128</f>
        <v>105377</v>
      </c>
      <c r="AZ73" s="428">
        <v>20000</v>
      </c>
      <c r="BA73" s="428">
        <v>20300</v>
      </c>
      <c r="BB73" s="428">
        <f t="shared" si="91"/>
        <v>105077</v>
      </c>
      <c r="BC73" s="428">
        <v>26</v>
      </c>
      <c r="BD73" s="453"/>
      <c r="BE73" s="425">
        <v>0</v>
      </c>
      <c r="BF73" s="428"/>
      <c r="BG73" s="428"/>
      <c r="BH73" s="428">
        <f t="shared" si="92"/>
        <v>0</v>
      </c>
      <c r="BI73" s="83"/>
      <c r="BJ73" s="626"/>
      <c r="BK73" s="425">
        <v>0</v>
      </c>
      <c r="BL73" s="428" t="e">
        <f>SUM(#REF!)</f>
        <v>#REF!</v>
      </c>
      <c r="BM73" s="428" t="e">
        <f>SUM(#REF!)</f>
        <v>#REF!</v>
      </c>
      <c r="BN73" s="428" t="e">
        <f t="shared" si="77"/>
        <v>#REF!</v>
      </c>
      <c r="BO73" s="428" t="e">
        <f>SUM(#REF!)</f>
        <v>#REF!</v>
      </c>
      <c r="BP73" s="428" t="e">
        <f>SUM(#REF!)</f>
        <v>#REF!</v>
      </c>
      <c r="BQ73" s="741">
        <f t="shared" si="78"/>
        <v>1720861.42</v>
      </c>
      <c r="BR73" s="741" t="e">
        <f t="shared" si="78"/>
        <v>#REF!</v>
      </c>
      <c r="BS73" s="741" t="e">
        <f t="shared" si="78"/>
        <v>#REF!</v>
      </c>
      <c r="BT73" s="741" t="e">
        <f t="shared" si="78"/>
        <v>#REF!</v>
      </c>
      <c r="BU73" s="562" t="e">
        <f t="shared" si="78"/>
        <v>#REF!</v>
      </c>
      <c r="BV73" s="676" t="e">
        <f t="shared" si="78"/>
        <v>#REF!</v>
      </c>
      <c r="BW73" s="425"/>
      <c r="BX73" s="428"/>
      <c r="BY73" s="428"/>
      <c r="BZ73" s="428"/>
      <c r="CA73" s="429">
        <f t="shared" si="79"/>
        <v>0</v>
      </c>
      <c r="CB73" s="430"/>
      <c r="CC73" s="425"/>
      <c r="CD73" s="428"/>
      <c r="CE73" s="428"/>
      <c r="CF73" s="428"/>
      <c r="CG73" s="428"/>
      <c r="CH73" s="453"/>
      <c r="CI73" s="433"/>
      <c r="CJ73" s="431"/>
      <c r="CK73" s="431"/>
      <c r="CL73" s="431"/>
      <c r="CM73" s="434"/>
      <c r="CN73" s="460"/>
      <c r="CO73" s="425">
        <v>0</v>
      </c>
      <c r="CP73" s="428"/>
      <c r="CQ73" s="428"/>
      <c r="CR73" s="428">
        <f t="shared" si="93"/>
        <v>0</v>
      </c>
      <c r="CS73" s="428"/>
      <c r="CT73" s="453"/>
      <c r="CU73" s="425">
        <v>0</v>
      </c>
      <c r="CV73" s="655"/>
      <c r="CW73" s="655"/>
      <c r="CX73" s="428">
        <f t="shared" si="94"/>
        <v>0</v>
      </c>
      <c r="CY73" s="655"/>
      <c r="CZ73" s="632"/>
      <c r="DA73" s="726">
        <v>0</v>
      </c>
      <c r="DB73" s="9"/>
      <c r="DC73" s="9"/>
      <c r="DD73" s="9">
        <f t="shared" si="95"/>
        <v>0</v>
      </c>
      <c r="DE73" s="9"/>
      <c r="DF73" s="727"/>
      <c r="DG73" s="472"/>
      <c r="DH73" s="472"/>
      <c r="DI73" s="472"/>
      <c r="DJ73" s="472"/>
      <c r="DK73" s="472"/>
      <c r="DL73" s="472"/>
      <c r="DM73" s="703"/>
      <c r="DN73" s="428"/>
      <c r="DO73" s="428"/>
      <c r="DP73" s="428"/>
      <c r="DQ73" s="428"/>
      <c r="DR73" s="704"/>
      <c r="DS73" s="617"/>
      <c r="DT73" s="617"/>
      <c r="DU73" s="617"/>
      <c r="DV73" s="617"/>
      <c r="DW73" s="617"/>
      <c r="DX73" s="617"/>
      <c r="DY73" s="668"/>
      <c r="DZ73" s="671"/>
      <c r="EA73" s="671"/>
      <c r="EB73" s="428">
        <f t="shared" si="82"/>
        <v>0</v>
      </c>
      <c r="EC73" s="428"/>
      <c r="ED73" s="453"/>
      <c r="EE73" s="587"/>
      <c r="EF73" s="437"/>
      <c r="EG73" s="437"/>
      <c r="EH73" s="437"/>
      <c r="EI73" s="437"/>
      <c r="EJ73" s="453"/>
      <c r="EK73" s="688">
        <f t="shared" si="80"/>
        <v>0</v>
      </c>
      <c r="EL73" s="688">
        <f t="shared" si="80"/>
        <v>0</v>
      </c>
      <c r="EM73" s="688">
        <f t="shared" si="80"/>
        <v>0</v>
      </c>
      <c r="EN73" s="688">
        <f t="shared" si="80"/>
        <v>0</v>
      </c>
      <c r="EO73" s="688">
        <f t="shared" si="80"/>
        <v>0</v>
      </c>
      <c r="EP73" s="687">
        <f t="shared" si="80"/>
        <v>0</v>
      </c>
      <c r="EQ73" s="739">
        <f t="shared" si="81"/>
        <v>1720861.42</v>
      </c>
      <c r="ER73" s="739" t="e">
        <f t="shared" si="81"/>
        <v>#REF!</v>
      </c>
      <c r="ES73" s="739" t="e">
        <f t="shared" si="81"/>
        <v>#REF!</v>
      </c>
      <c r="ET73" s="739" t="e">
        <f t="shared" si="81"/>
        <v>#REF!</v>
      </c>
      <c r="EU73" s="739" t="e">
        <f t="shared" si="81"/>
        <v>#REF!</v>
      </c>
      <c r="EV73" s="740" t="e">
        <f t="shared" si="81"/>
        <v>#REF!</v>
      </c>
      <c r="EW73" s="438" t="e">
        <f>SUM('общ.сводрайон без курсовой '!C73-#REF!-#REF!)</f>
        <v>#REF!</v>
      </c>
      <c r="EX73" s="438" t="e">
        <f>SUM('общ.сводрайон без курсовой '!D73-#REF!-#REF!)</f>
        <v>#REF!</v>
      </c>
      <c r="EY73" s="438" t="e">
        <f>SUM('общ.сводрайон без курсовой '!E73-#REF!-#REF!)</f>
        <v>#REF!</v>
      </c>
      <c r="EZ73" s="438" t="e">
        <f>SUM('общ.сводрайон без курсовой '!F73-#REF!-#REF!)</f>
        <v>#REF!</v>
      </c>
    </row>
    <row r="74" spans="1:156" s="439" customFormat="1" ht="18.95" customHeight="1">
      <c r="A74" s="440">
        <f>A73+1</f>
        <v>58</v>
      </c>
      <c r="B74" s="441" t="s">
        <v>20</v>
      </c>
      <c r="C74" s="425">
        <f>1835952+5672</f>
        <v>1841624</v>
      </c>
      <c r="D74" s="428">
        <v>127087</v>
      </c>
      <c r="E74" s="428">
        <v>278482</v>
      </c>
      <c r="F74" s="428">
        <f t="shared" si="83"/>
        <v>1690229</v>
      </c>
      <c r="G74" s="428">
        <v>1544</v>
      </c>
      <c r="H74" s="453"/>
      <c r="I74" s="425">
        <v>0</v>
      </c>
      <c r="J74" s="428"/>
      <c r="K74" s="428"/>
      <c r="L74" s="428">
        <f t="shared" si="84"/>
        <v>0</v>
      </c>
      <c r="M74" s="508"/>
      <c r="N74" s="453"/>
      <c r="O74" s="425">
        <f>1582217+2207.83</f>
        <v>1584424.83</v>
      </c>
      <c r="P74" s="428">
        <v>41400</v>
      </c>
      <c r="Q74" s="428">
        <v>64668.83</v>
      </c>
      <c r="R74" s="428">
        <f t="shared" si="85"/>
        <v>1561156</v>
      </c>
      <c r="S74" s="428">
        <v>642</v>
      </c>
      <c r="T74" s="453"/>
      <c r="U74" s="425">
        <v>0</v>
      </c>
      <c r="V74" s="428">
        <v>7000</v>
      </c>
      <c r="W74" s="428"/>
      <c r="X74" s="428">
        <f t="shared" si="86"/>
        <v>7000</v>
      </c>
      <c r="Y74" s="428"/>
      <c r="Z74" s="453"/>
      <c r="AA74" s="425">
        <v>975953.99</v>
      </c>
      <c r="AB74" s="428">
        <v>73406.080000000002</v>
      </c>
      <c r="AC74" s="428">
        <v>6106</v>
      </c>
      <c r="AD74" s="428">
        <f t="shared" si="87"/>
        <v>1043254.0700000001</v>
      </c>
      <c r="AE74" s="428">
        <v>102</v>
      </c>
      <c r="AF74" s="453"/>
      <c r="AG74" s="425">
        <f>244622+1421</f>
        <v>246043</v>
      </c>
      <c r="AH74" s="428"/>
      <c r="AI74" s="428">
        <v>0</v>
      </c>
      <c r="AJ74" s="529">
        <f t="shared" si="88"/>
        <v>246043</v>
      </c>
      <c r="AK74" s="428">
        <v>196</v>
      </c>
      <c r="AL74" s="453"/>
      <c r="AM74" s="425">
        <v>0</v>
      </c>
      <c r="AN74" s="428"/>
      <c r="AO74" s="428"/>
      <c r="AP74" s="428">
        <f t="shared" si="89"/>
        <v>0</v>
      </c>
      <c r="AQ74" s="428"/>
      <c r="AR74" s="453"/>
      <c r="AS74" s="425">
        <v>0</v>
      </c>
      <c r="AT74" s="428">
        <v>0</v>
      </c>
      <c r="AU74" s="428">
        <v>0</v>
      </c>
      <c r="AV74" s="428">
        <f t="shared" si="90"/>
        <v>0</v>
      </c>
      <c r="AW74" s="508">
        <v>0</v>
      </c>
      <c r="AX74" s="453">
        <v>0</v>
      </c>
      <c r="AY74" s="425">
        <f>31315+216</f>
        <v>31531</v>
      </c>
      <c r="AZ74" s="428"/>
      <c r="BA74" s="428">
        <v>0</v>
      </c>
      <c r="BB74" s="428">
        <f t="shared" si="91"/>
        <v>31531</v>
      </c>
      <c r="BC74" s="428">
        <v>26</v>
      </c>
      <c r="BD74" s="453"/>
      <c r="BE74" s="425">
        <v>0</v>
      </c>
      <c r="BF74" s="428"/>
      <c r="BG74" s="428"/>
      <c r="BH74" s="428">
        <f t="shared" si="92"/>
        <v>0</v>
      </c>
      <c r="BI74" s="83"/>
      <c r="BJ74" s="626"/>
      <c r="BK74" s="425">
        <v>2274</v>
      </c>
      <c r="BL74" s="428" t="e">
        <f>SUM(#REF!)</f>
        <v>#REF!</v>
      </c>
      <c r="BM74" s="428" t="e">
        <f>SUM(#REF!)</f>
        <v>#REF!</v>
      </c>
      <c r="BN74" s="428" t="e">
        <f t="shared" si="77"/>
        <v>#REF!</v>
      </c>
      <c r="BO74" s="428" t="e">
        <f>SUM(#REF!)</f>
        <v>#REF!</v>
      </c>
      <c r="BP74" s="428" t="e">
        <f>SUM(#REF!)</f>
        <v>#REF!</v>
      </c>
      <c r="BQ74" s="741">
        <f t="shared" si="78"/>
        <v>4681850.82</v>
      </c>
      <c r="BR74" s="741" t="e">
        <f t="shared" si="78"/>
        <v>#REF!</v>
      </c>
      <c r="BS74" s="741" t="e">
        <f t="shared" si="78"/>
        <v>#REF!</v>
      </c>
      <c r="BT74" s="741" t="e">
        <f t="shared" si="78"/>
        <v>#REF!</v>
      </c>
      <c r="BU74" s="562" t="e">
        <f t="shared" si="78"/>
        <v>#REF!</v>
      </c>
      <c r="BV74" s="676" t="e">
        <f t="shared" si="78"/>
        <v>#REF!</v>
      </c>
      <c r="BW74" s="425"/>
      <c r="BX74" s="428"/>
      <c r="BY74" s="428"/>
      <c r="BZ74" s="428"/>
      <c r="CA74" s="429">
        <f t="shared" si="79"/>
        <v>0</v>
      </c>
      <c r="CB74" s="430"/>
      <c r="CC74" s="425"/>
      <c r="CD74" s="428"/>
      <c r="CE74" s="428"/>
      <c r="CF74" s="428"/>
      <c r="CG74" s="428"/>
      <c r="CH74" s="453"/>
      <c r="CI74" s="433"/>
      <c r="CJ74" s="431"/>
      <c r="CK74" s="431"/>
      <c r="CL74" s="431"/>
      <c r="CM74" s="434"/>
      <c r="CN74" s="460"/>
      <c r="CO74" s="425">
        <v>0</v>
      </c>
      <c r="CP74" s="428"/>
      <c r="CQ74" s="428"/>
      <c r="CR74" s="428">
        <f t="shared" si="93"/>
        <v>0</v>
      </c>
      <c r="CS74" s="428"/>
      <c r="CT74" s="453"/>
      <c r="CU74" s="425">
        <v>0</v>
      </c>
      <c r="CV74" s="655"/>
      <c r="CW74" s="655"/>
      <c r="CX74" s="428">
        <f t="shared" si="94"/>
        <v>0</v>
      </c>
      <c r="CY74" s="655"/>
      <c r="CZ74" s="632"/>
      <c r="DA74" s="726">
        <v>0</v>
      </c>
      <c r="DB74" s="9"/>
      <c r="DC74" s="9"/>
      <c r="DD74" s="9">
        <f t="shared" si="95"/>
        <v>0</v>
      </c>
      <c r="DE74" s="9"/>
      <c r="DF74" s="727"/>
      <c r="DG74" s="472"/>
      <c r="DH74" s="472"/>
      <c r="DI74" s="472"/>
      <c r="DJ74" s="472"/>
      <c r="DK74" s="472"/>
      <c r="DL74" s="472"/>
      <c r="DM74" s="703"/>
      <c r="DN74" s="428"/>
      <c r="DO74" s="428"/>
      <c r="DP74" s="428"/>
      <c r="DQ74" s="428"/>
      <c r="DR74" s="704"/>
      <c r="DS74" s="617"/>
      <c r="DT74" s="617"/>
      <c r="DU74" s="617"/>
      <c r="DV74" s="617"/>
      <c r="DW74" s="617"/>
      <c r="DX74" s="617"/>
      <c r="DY74" s="668">
        <v>17110246</v>
      </c>
      <c r="DZ74" s="671"/>
      <c r="EA74" s="671">
        <v>387822</v>
      </c>
      <c r="EB74" s="428">
        <f>SUM(DY74+DZ74-EA74)</f>
        <v>16722424</v>
      </c>
      <c r="EC74" s="428">
        <v>11047</v>
      </c>
      <c r="ED74" s="453"/>
      <c r="EE74" s="587"/>
      <c r="EF74" s="437"/>
      <c r="EG74" s="437"/>
      <c r="EH74" s="437"/>
      <c r="EI74" s="437"/>
      <c r="EJ74" s="453"/>
      <c r="EK74" s="688">
        <f t="shared" si="80"/>
        <v>17110246</v>
      </c>
      <c r="EL74" s="688">
        <f t="shared" si="80"/>
        <v>0</v>
      </c>
      <c r="EM74" s="688">
        <f t="shared" si="80"/>
        <v>387822</v>
      </c>
      <c r="EN74" s="688">
        <f t="shared" si="80"/>
        <v>16722424</v>
      </c>
      <c r="EO74" s="688">
        <f t="shared" si="80"/>
        <v>11047</v>
      </c>
      <c r="EP74" s="687">
        <f t="shared" si="80"/>
        <v>0</v>
      </c>
      <c r="EQ74" s="739">
        <f t="shared" si="81"/>
        <v>21792096.82</v>
      </c>
      <c r="ER74" s="739" t="e">
        <f t="shared" si="81"/>
        <v>#REF!</v>
      </c>
      <c r="ES74" s="739" t="e">
        <f t="shared" si="81"/>
        <v>#REF!</v>
      </c>
      <c r="ET74" s="739" t="e">
        <f t="shared" si="81"/>
        <v>#REF!</v>
      </c>
      <c r="EU74" s="739" t="e">
        <f t="shared" si="81"/>
        <v>#REF!</v>
      </c>
      <c r="EV74" s="740" t="e">
        <f t="shared" si="81"/>
        <v>#REF!</v>
      </c>
      <c r="EW74" s="438" t="e">
        <f>SUM('общ.сводрайон без курсовой '!C74-#REF!-#REF!)</f>
        <v>#REF!</v>
      </c>
      <c r="EX74" s="438" t="e">
        <f>SUM('общ.сводрайон без курсовой '!D74-#REF!-#REF!)</f>
        <v>#REF!</v>
      </c>
      <c r="EY74" s="438" t="e">
        <f>SUM('общ.сводрайон без курсовой '!E74-#REF!-#REF!)</f>
        <v>#REF!</v>
      </c>
      <c r="EZ74" s="438" t="e">
        <f>SUM('общ.сводрайон без курсовой '!F74-#REF!-#REF!)</f>
        <v>#REF!</v>
      </c>
    </row>
    <row r="75" spans="1:156" s="439" customFormat="1" ht="18.95" customHeight="1">
      <c r="A75" s="440">
        <v>59</v>
      </c>
      <c r="B75" s="441" t="s">
        <v>9</v>
      </c>
      <c r="C75" s="425">
        <v>0</v>
      </c>
      <c r="D75" s="428">
        <v>0</v>
      </c>
      <c r="E75" s="428">
        <v>0</v>
      </c>
      <c r="F75" s="428">
        <f t="shared" si="83"/>
        <v>0</v>
      </c>
      <c r="G75" s="428">
        <v>0</v>
      </c>
      <c r="H75" s="453"/>
      <c r="I75" s="425">
        <f>2311182+1909</f>
        <v>2313091</v>
      </c>
      <c r="J75" s="529">
        <v>0</v>
      </c>
      <c r="K75" s="428">
        <v>128419</v>
      </c>
      <c r="L75" s="428">
        <f t="shared" si="84"/>
        <v>2184672</v>
      </c>
      <c r="M75" s="508">
        <v>543</v>
      </c>
      <c r="N75" s="453"/>
      <c r="O75" s="425">
        <f>750796+1630.54</f>
        <v>752426.54</v>
      </c>
      <c r="P75" s="428">
        <v>48711</v>
      </c>
      <c r="Q75" s="428">
        <v>47620.54</v>
      </c>
      <c r="R75" s="428">
        <f t="shared" si="85"/>
        <v>753517</v>
      </c>
      <c r="S75" s="428">
        <v>81</v>
      </c>
      <c r="T75" s="453"/>
      <c r="U75" s="425">
        <v>0</v>
      </c>
      <c r="V75" s="428"/>
      <c r="W75" s="428"/>
      <c r="X75" s="428">
        <f t="shared" si="86"/>
        <v>0</v>
      </c>
      <c r="Y75" s="428"/>
      <c r="Z75" s="453"/>
      <c r="AA75" s="425">
        <f>557599.12+585</f>
        <v>558184.12</v>
      </c>
      <c r="AB75" s="428">
        <v>63408.7</v>
      </c>
      <c r="AC75" s="428">
        <v>50351.34</v>
      </c>
      <c r="AD75" s="428">
        <f t="shared" si="87"/>
        <v>571241.48</v>
      </c>
      <c r="AE75" s="428">
        <v>195</v>
      </c>
      <c r="AF75" s="453"/>
      <c r="AG75" s="425">
        <f>979540+2722</f>
        <v>982262</v>
      </c>
      <c r="AH75" s="428">
        <v>1300000</v>
      </c>
      <c r="AI75" s="428">
        <v>56753</v>
      </c>
      <c r="AJ75" s="428">
        <f t="shared" si="88"/>
        <v>2225509</v>
      </c>
      <c r="AK75" s="428"/>
      <c r="AL75" s="453"/>
      <c r="AM75" s="425">
        <v>0</v>
      </c>
      <c r="AN75" s="428"/>
      <c r="AO75" s="428"/>
      <c r="AP75" s="428">
        <f t="shared" si="89"/>
        <v>0</v>
      </c>
      <c r="AQ75" s="428"/>
      <c r="AR75" s="453"/>
      <c r="AS75" s="425">
        <f>688223+4757</f>
        <v>692980</v>
      </c>
      <c r="AT75" s="428">
        <v>1384120</v>
      </c>
      <c r="AU75" s="508">
        <v>1384120</v>
      </c>
      <c r="AV75" s="508">
        <f t="shared" si="90"/>
        <v>692980</v>
      </c>
      <c r="AW75" s="508">
        <v>560</v>
      </c>
      <c r="AX75" s="453">
        <v>2960</v>
      </c>
      <c r="AY75" s="425">
        <f>140541+1949</f>
        <v>142490</v>
      </c>
      <c r="AZ75" s="428">
        <v>146</v>
      </c>
      <c r="BA75" s="428">
        <v>20248</v>
      </c>
      <c r="BB75" s="428">
        <f t="shared" si="91"/>
        <v>122388</v>
      </c>
      <c r="BC75" s="428">
        <v>109</v>
      </c>
      <c r="BD75" s="453"/>
      <c r="BE75" s="425">
        <v>0</v>
      </c>
      <c r="BF75" s="428"/>
      <c r="BG75" s="428"/>
      <c r="BH75" s="428">
        <f t="shared" si="92"/>
        <v>0</v>
      </c>
      <c r="BI75" s="83"/>
      <c r="BJ75" s="626"/>
      <c r="BK75" s="425">
        <v>293338.02</v>
      </c>
      <c r="BL75" s="428" t="e">
        <f>SUM(#REF!)</f>
        <v>#REF!</v>
      </c>
      <c r="BM75" s="428" t="e">
        <f>SUM(#REF!)</f>
        <v>#REF!</v>
      </c>
      <c r="BN75" s="428" t="e">
        <f t="shared" si="77"/>
        <v>#REF!</v>
      </c>
      <c r="BO75" s="428" t="e">
        <f>SUM(#REF!)</f>
        <v>#REF!</v>
      </c>
      <c r="BP75" s="428" t="e">
        <f>SUM(#REF!)</f>
        <v>#REF!</v>
      </c>
      <c r="BQ75" s="741">
        <f t="shared" si="78"/>
        <v>5734771.6799999997</v>
      </c>
      <c r="BR75" s="741" t="e">
        <f t="shared" si="78"/>
        <v>#REF!</v>
      </c>
      <c r="BS75" s="741" t="e">
        <f t="shared" si="78"/>
        <v>#REF!</v>
      </c>
      <c r="BT75" s="741" t="e">
        <f t="shared" si="78"/>
        <v>#REF!</v>
      </c>
      <c r="BU75" s="562" t="e">
        <f t="shared" si="78"/>
        <v>#REF!</v>
      </c>
      <c r="BV75" s="676" t="e">
        <f t="shared" si="78"/>
        <v>#REF!</v>
      </c>
      <c r="BW75" s="425"/>
      <c r="BX75" s="428"/>
      <c r="BY75" s="428"/>
      <c r="BZ75" s="428"/>
      <c r="CA75" s="429">
        <f t="shared" si="79"/>
        <v>0</v>
      </c>
      <c r="CB75" s="430"/>
      <c r="CC75" s="425"/>
      <c r="CD75" s="428"/>
      <c r="CE75" s="428"/>
      <c r="CF75" s="428"/>
      <c r="CG75" s="428"/>
      <c r="CH75" s="453"/>
      <c r="CI75" s="433"/>
      <c r="CJ75" s="431"/>
      <c r="CK75" s="431"/>
      <c r="CL75" s="431"/>
      <c r="CM75" s="434"/>
      <c r="CN75" s="460"/>
      <c r="CO75" s="425">
        <v>38092</v>
      </c>
      <c r="CP75" s="428"/>
      <c r="CQ75" s="428">
        <v>3000</v>
      </c>
      <c r="CR75" s="428">
        <f t="shared" si="93"/>
        <v>35092</v>
      </c>
      <c r="CS75" s="428"/>
      <c r="CT75" s="453"/>
      <c r="CU75" s="425">
        <v>149043</v>
      </c>
      <c r="CV75" s="655"/>
      <c r="CW75" s="655">
        <v>1750</v>
      </c>
      <c r="CX75" s="428">
        <f t="shared" si="94"/>
        <v>147293</v>
      </c>
      <c r="CY75" s="655"/>
      <c r="CZ75" s="632"/>
      <c r="DA75" s="726">
        <v>0</v>
      </c>
      <c r="DB75" s="9"/>
      <c r="DC75" s="9"/>
      <c r="DD75" s="9">
        <f t="shared" si="95"/>
        <v>0</v>
      </c>
      <c r="DE75" s="9"/>
      <c r="DF75" s="727"/>
      <c r="DG75" s="472"/>
      <c r="DH75" s="472"/>
      <c r="DI75" s="472"/>
      <c r="DJ75" s="472"/>
      <c r="DK75" s="472"/>
      <c r="DL75" s="472"/>
      <c r="DM75" s="703"/>
      <c r="DN75" s="428"/>
      <c r="DO75" s="428"/>
      <c r="DP75" s="428"/>
      <c r="DQ75" s="428"/>
      <c r="DR75" s="704"/>
      <c r="DS75" s="617"/>
      <c r="DT75" s="617"/>
      <c r="DU75" s="617"/>
      <c r="DV75" s="617"/>
      <c r="DW75" s="617"/>
      <c r="DX75" s="617"/>
      <c r="DY75" s="668"/>
      <c r="DZ75" s="671"/>
      <c r="EA75" s="671"/>
      <c r="EB75" s="428">
        <f t="shared" ref="EB75:EB80" si="96">SUM(DY75+DZ75-EA75)</f>
        <v>0</v>
      </c>
      <c r="EC75" s="428"/>
      <c r="ED75" s="453"/>
      <c r="EE75" s="587"/>
      <c r="EF75" s="437"/>
      <c r="EG75" s="437"/>
      <c r="EH75" s="437"/>
      <c r="EI75" s="437"/>
      <c r="EJ75" s="453"/>
      <c r="EK75" s="688">
        <f t="shared" si="80"/>
        <v>187135</v>
      </c>
      <c r="EL75" s="688">
        <f t="shared" si="80"/>
        <v>0</v>
      </c>
      <c r="EM75" s="688">
        <f t="shared" si="80"/>
        <v>4750</v>
      </c>
      <c r="EN75" s="688">
        <f t="shared" si="80"/>
        <v>182385</v>
      </c>
      <c r="EO75" s="688">
        <f t="shared" si="80"/>
        <v>0</v>
      </c>
      <c r="EP75" s="687">
        <f t="shared" si="80"/>
        <v>0</v>
      </c>
      <c r="EQ75" s="739">
        <f t="shared" si="81"/>
        <v>5921906.6799999997</v>
      </c>
      <c r="ER75" s="739" t="e">
        <f t="shared" si="81"/>
        <v>#REF!</v>
      </c>
      <c r="ES75" s="739" t="e">
        <f t="shared" si="81"/>
        <v>#REF!</v>
      </c>
      <c r="ET75" s="739" t="e">
        <f t="shared" si="81"/>
        <v>#REF!</v>
      </c>
      <c r="EU75" s="739" t="e">
        <f t="shared" si="81"/>
        <v>#REF!</v>
      </c>
      <c r="EV75" s="740" t="e">
        <f t="shared" si="81"/>
        <v>#REF!</v>
      </c>
      <c r="EW75" s="438" t="e">
        <f>SUM('общ.сводрайон без курсовой '!C75-#REF!-#REF!)</f>
        <v>#REF!</v>
      </c>
      <c r="EX75" s="438" t="e">
        <f>SUM('общ.сводрайон без курсовой '!D75-#REF!-#REF!)</f>
        <v>#REF!</v>
      </c>
      <c r="EY75" s="438" t="e">
        <f>SUM('общ.сводрайон без курсовой '!E75-#REF!-#REF!)</f>
        <v>#REF!</v>
      </c>
      <c r="EZ75" s="438" t="e">
        <f>SUM('общ.сводрайон без курсовой '!F75-#REF!-#REF!)</f>
        <v>#REF!</v>
      </c>
    </row>
    <row r="76" spans="1:156" s="439" customFormat="1" ht="18.95" customHeight="1">
      <c r="A76" s="440">
        <f>A75+1</f>
        <v>60</v>
      </c>
      <c r="B76" s="441" t="s">
        <v>10</v>
      </c>
      <c r="C76" s="425">
        <f>3382209+27913</f>
        <v>3410122</v>
      </c>
      <c r="D76" s="428">
        <v>162284</v>
      </c>
      <c r="E76" s="428">
        <v>593772</v>
      </c>
      <c r="F76" s="428">
        <f t="shared" si="83"/>
        <v>2978634</v>
      </c>
      <c r="G76" s="428">
        <v>4139</v>
      </c>
      <c r="H76" s="453"/>
      <c r="I76" s="425">
        <f>1295102+398</f>
        <v>1295500</v>
      </c>
      <c r="J76" s="428">
        <v>0</v>
      </c>
      <c r="K76" s="428">
        <v>60900</v>
      </c>
      <c r="L76" s="428">
        <f t="shared" si="84"/>
        <v>1234600</v>
      </c>
      <c r="M76" s="508"/>
      <c r="N76" s="453"/>
      <c r="O76" s="425">
        <v>761339</v>
      </c>
      <c r="P76" s="428">
        <v>5100</v>
      </c>
      <c r="Q76" s="428">
        <v>17866</v>
      </c>
      <c r="R76" s="428">
        <f t="shared" si="85"/>
        <v>748573</v>
      </c>
      <c r="S76" s="428"/>
      <c r="T76" s="453"/>
      <c r="U76" s="425">
        <v>0</v>
      </c>
      <c r="V76" s="428"/>
      <c r="W76" s="428"/>
      <c r="X76" s="428">
        <f t="shared" si="86"/>
        <v>0</v>
      </c>
      <c r="Y76" s="428"/>
      <c r="Z76" s="453"/>
      <c r="AA76" s="425">
        <v>3400</v>
      </c>
      <c r="AB76" s="428">
        <v>0</v>
      </c>
      <c r="AC76" s="428">
        <v>2307.89</v>
      </c>
      <c r="AD76" s="428">
        <f t="shared" si="87"/>
        <v>1092.1100000000001</v>
      </c>
      <c r="AE76" s="428"/>
      <c r="AF76" s="453"/>
      <c r="AG76" s="425">
        <v>1655529</v>
      </c>
      <c r="AH76" s="428">
        <v>244186</v>
      </c>
      <c r="AI76" s="428">
        <v>324326</v>
      </c>
      <c r="AJ76" s="428">
        <f t="shared" si="88"/>
        <v>1575389</v>
      </c>
      <c r="AK76" s="428"/>
      <c r="AL76" s="453"/>
      <c r="AM76" s="425">
        <v>0</v>
      </c>
      <c r="AN76" s="428"/>
      <c r="AO76" s="428"/>
      <c r="AP76" s="428">
        <f t="shared" si="89"/>
        <v>0</v>
      </c>
      <c r="AQ76" s="428"/>
      <c r="AR76" s="453"/>
      <c r="AS76" s="425">
        <f>95942+19</f>
        <v>95961</v>
      </c>
      <c r="AT76" s="428">
        <v>7816</v>
      </c>
      <c r="AU76" s="508">
        <v>89739</v>
      </c>
      <c r="AV76" s="508">
        <f t="shared" si="90"/>
        <v>14038</v>
      </c>
      <c r="AW76" s="508"/>
      <c r="AX76" s="453">
        <v>8</v>
      </c>
      <c r="AY76" s="425">
        <v>0</v>
      </c>
      <c r="AZ76" s="428"/>
      <c r="BA76" s="428"/>
      <c r="BB76" s="428">
        <f t="shared" si="91"/>
        <v>0</v>
      </c>
      <c r="BC76" s="428"/>
      <c r="BD76" s="453"/>
      <c r="BE76" s="425">
        <v>0</v>
      </c>
      <c r="BF76" s="428">
        <v>104031</v>
      </c>
      <c r="BG76" s="428"/>
      <c r="BH76" s="428">
        <f t="shared" si="92"/>
        <v>104031</v>
      </c>
      <c r="BI76" s="83"/>
      <c r="BJ76" s="626"/>
      <c r="BK76" s="425">
        <v>83800</v>
      </c>
      <c r="BL76" s="428" t="e">
        <f>SUM(#REF!)</f>
        <v>#REF!</v>
      </c>
      <c r="BM76" s="428" t="e">
        <f>SUM(#REF!)</f>
        <v>#REF!</v>
      </c>
      <c r="BN76" s="428" t="e">
        <f t="shared" si="77"/>
        <v>#REF!</v>
      </c>
      <c r="BO76" s="428" t="e">
        <f>SUM(#REF!)</f>
        <v>#REF!</v>
      </c>
      <c r="BP76" s="428" t="e">
        <f>SUM(#REF!)</f>
        <v>#REF!</v>
      </c>
      <c r="BQ76" s="741">
        <f t="shared" si="78"/>
        <v>7305651</v>
      </c>
      <c r="BR76" s="741" t="e">
        <f t="shared" si="78"/>
        <v>#REF!</v>
      </c>
      <c r="BS76" s="741" t="e">
        <f t="shared" si="78"/>
        <v>#REF!</v>
      </c>
      <c r="BT76" s="741" t="e">
        <f t="shared" si="78"/>
        <v>#REF!</v>
      </c>
      <c r="BU76" s="562" t="e">
        <f t="shared" si="78"/>
        <v>#REF!</v>
      </c>
      <c r="BV76" s="676" t="e">
        <f t="shared" si="78"/>
        <v>#REF!</v>
      </c>
      <c r="BW76" s="425"/>
      <c r="BX76" s="428"/>
      <c r="BY76" s="428"/>
      <c r="BZ76" s="428"/>
      <c r="CA76" s="429">
        <f t="shared" si="79"/>
        <v>0</v>
      </c>
      <c r="CB76" s="430"/>
      <c r="CC76" s="425"/>
      <c r="CD76" s="428"/>
      <c r="CE76" s="428"/>
      <c r="CF76" s="428"/>
      <c r="CG76" s="428"/>
      <c r="CH76" s="453"/>
      <c r="CI76" s="433"/>
      <c r="CJ76" s="431"/>
      <c r="CK76" s="431"/>
      <c r="CL76" s="431"/>
      <c r="CM76" s="434"/>
      <c r="CN76" s="460"/>
      <c r="CO76" s="425">
        <v>0</v>
      </c>
      <c r="CP76" s="428"/>
      <c r="CQ76" s="428"/>
      <c r="CR76" s="428">
        <f t="shared" si="93"/>
        <v>0</v>
      </c>
      <c r="CS76" s="428"/>
      <c r="CT76" s="453"/>
      <c r="CU76" s="425">
        <v>0</v>
      </c>
      <c r="CV76" s="655"/>
      <c r="CW76" s="655"/>
      <c r="CX76" s="428">
        <f t="shared" si="94"/>
        <v>0</v>
      </c>
      <c r="CY76" s="655"/>
      <c r="CZ76" s="632"/>
      <c r="DA76" s="728">
        <v>0</v>
      </c>
      <c r="DB76" s="420"/>
      <c r="DC76" s="420"/>
      <c r="DD76" s="9">
        <f t="shared" si="95"/>
        <v>0</v>
      </c>
      <c r="DE76" s="420"/>
      <c r="DF76" s="729"/>
      <c r="DG76" s="472"/>
      <c r="DH76" s="472"/>
      <c r="DI76" s="472"/>
      <c r="DJ76" s="472"/>
      <c r="DK76" s="472"/>
      <c r="DL76" s="472"/>
      <c r="DM76" s="703"/>
      <c r="DN76" s="428"/>
      <c r="DO76" s="428"/>
      <c r="DP76" s="428"/>
      <c r="DQ76" s="428"/>
      <c r="DR76" s="704"/>
      <c r="DS76" s="617"/>
      <c r="DT76" s="617"/>
      <c r="DU76" s="617"/>
      <c r="DV76" s="617"/>
      <c r="DW76" s="617"/>
      <c r="DX76" s="617"/>
      <c r="DY76" s="668">
        <v>4784020</v>
      </c>
      <c r="DZ76" s="671"/>
      <c r="EA76" s="671"/>
      <c r="EB76" s="428">
        <f t="shared" si="96"/>
        <v>4784020</v>
      </c>
      <c r="EC76" s="428">
        <v>3866</v>
      </c>
      <c r="ED76" s="453"/>
      <c r="EE76" s="587"/>
      <c r="EF76" s="437"/>
      <c r="EG76" s="437"/>
      <c r="EH76" s="437"/>
      <c r="EI76" s="437"/>
      <c r="EJ76" s="453"/>
      <c r="EK76" s="688">
        <f t="shared" si="80"/>
        <v>4784020</v>
      </c>
      <c r="EL76" s="688">
        <f t="shared" si="80"/>
        <v>0</v>
      </c>
      <c r="EM76" s="688">
        <f t="shared" si="80"/>
        <v>0</v>
      </c>
      <c r="EN76" s="688">
        <f t="shared" si="80"/>
        <v>4784020</v>
      </c>
      <c r="EO76" s="688">
        <f t="shared" si="80"/>
        <v>3866</v>
      </c>
      <c r="EP76" s="687">
        <f t="shared" si="80"/>
        <v>0</v>
      </c>
      <c r="EQ76" s="739">
        <f t="shared" si="81"/>
        <v>12089671</v>
      </c>
      <c r="ER76" s="739" t="e">
        <f t="shared" si="81"/>
        <v>#REF!</v>
      </c>
      <c r="ES76" s="739" t="e">
        <f t="shared" si="81"/>
        <v>#REF!</v>
      </c>
      <c r="ET76" s="739" t="e">
        <f t="shared" si="81"/>
        <v>#REF!</v>
      </c>
      <c r="EU76" s="739" t="e">
        <f t="shared" si="81"/>
        <v>#REF!</v>
      </c>
      <c r="EV76" s="740" t="e">
        <f t="shared" si="81"/>
        <v>#REF!</v>
      </c>
      <c r="EW76" s="438" t="e">
        <f>SUM('общ.сводрайон без курсовой '!C76-#REF!-#REF!)</f>
        <v>#REF!</v>
      </c>
      <c r="EX76" s="438" t="e">
        <f>SUM('общ.сводрайон без курсовой '!D76-#REF!-#REF!)</f>
        <v>#REF!</v>
      </c>
      <c r="EY76" s="438" t="e">
        <f>SUM('общ.сводрайон без курсовой '!E76-#REF!-#REF!)</f>
        <v>#REF!</v>
      </c>
      <c r="EZ76" s="438" t="e">
        <f>SUM('общ.сводрайон без курсовой '!F76-#REF!-#REF!)</f>
        <v>#REF!</v>
      </c>
    </row>
    <row r="77" spans="1:156" s="439" customFormat="1" ht="18.95" customHeight="1">
      <c r="A77" s="440">
        <v>61</v>
      </c>
      <c r="B77" s="441" t="s">
        <v>11</v>
      </c>
      <c r="C77" s="425">
        <f>1012798+1465</f>
        <v>1014263</v>
      </c>
      <c r="D77" s="428">
        <v>201361</v>
      </c>
      <c r="E77" s="428">
        <v>107893</v>
      </c>
      <c r="F77" s="428">
        <f t="shared" si="83"/>
        <v>1107731</v>
      </c>
      <c r="G77" s="428">
        <v>1255</v>
      </c>
      <c r="H77" s="453"/>
      <c r="I77" s="425">
        <f>674481+460</f>
        <v>674941</v>
      </c>
      <c r="J77" s="428">
        <v>170000</v>
      </c>
      <c r="K77" s="428">
        <v>10935</v>
      </c>
      <c r="L77" s="428">
        <f t="shared" si="84"/>
        <v>834006</v>
      </c>
      <c r="M77" s="508">
        <v>304.47000000000003</v>
      </c>
      <c r="N77" s="453"/>
      <c r="O77" s="425">
        <v>3413799.4</v>
      </c>
      <c r="P77" s="428">
        <v>56000</v>
      </c>
      <c r="Q77" s="428">
        <v>23499.4</v>
      </c>
      <c r="R77" s="428">
        <f t="shared" si="85"/>
        <v>3446300</v>
      </c>
      <c r="S77" s="428"/>
      <c r="T77" s="453"/>
      <c r="U77" s="425">
        <v>0</v>
      </c>
      <c r="V77" s="428"/>
      <c r="W77" s="428"/>
      <c r="X77" s="428">
        <f t="shared" si="86"/>
        <v>0</v>
      </c>
      <c r="Y77" s="428"/>
      <c r="Z77" s="453"/>
      <c r="AA77" s="425">
        <f>1271742.33+1000</f>
        <v>1272742.33</v>
      </c>
      <c r="AB77" s="428">
        <v>60923.08</v>
      </c>
      <c r="AC77" s="428">
        <v>13875.11</v>
      </c>
      <c r="AD77" s="428">
        <f t="shared" si="87"/>
        <v>1319790.3</v>
      </c>
      <c r="AE77" s="428">
        <v>115</v>
      </c>
      <c r="AF77" s="453"/>
      <c r="AG77" s="425">
        <f>175330+915</f>
        <v>176245</v>
      </c>
      <c r="AH77" s="428"/>
      <c r="AI77" s="428">
        <v>22533</v>
      </c>
      <c r="AJ77" s="428">
        <f t="shared" si="88"/>
        <v>153712</v>
      </c>
      <c r="AK77" s="428"/>
      <c r="AL77" s="453"/>
      <c r="AM77" s="425">
        <v>0</v>
      </c>
      <c r="AN77" s="428"/>
      <c r="AO77" s="428"/>
      <c r="AP77" s="428">
        <f t="shared" si="89"/>
        <v>0</v>
      </c>
      <c r="AQ77" s="428"/>
      <c r="AR77" s="453"/>
      <c r="AS77" s="425">
        <v>747948</v>
      </c>
      <c r="AT77" s="428">
        <v>0</v>
      </c>
      <c r="AU77" s="428">
        <v>14353</v>
      </c>
      <c r="AV77" s="428">
        <f t="shared" si="90"/>
        <v>733595</v>
      </c>
      <c r="AW77" s="508">
        <v>0</v>
      </c>
      <c r="AX77" s="453">
        <v>0</v>
      </c>
      <c r="AY77" s="425">
        <f>1708472+3478</f>
        <v>1711950</v>
      </c>
      <c r="AZ77" s="428">
        <v>106742</v>
      </c>
      <c r="BA77" s="428">
        <v>164543</v>
      </c>
      <c r="BB77" s="428">
        <f t="shared" si="91"/>
        <v>1654149</v>
      </c>
      <c r="BC77" s="428">
        <v>749</v>
      </c>
      <c r="BD77" s="453"/>
      <c r="BE77" s="425">
        <v>0</v>
      </c>
      <c r="BF77" s="428"/>
      <c r="BG77" s="428"/>
      <c r="BH77" s="428">
        <f t="shared" si="92"/>
        <v>0</v>
      </c>
      <c r="BI77" s="83"/>
      <c r="BJ77" s="626"/>
      <c r="BK77" s="425">
        <v>855092</v>
      </c>
      <c r="BL77" s="428" t="e">
        <f>SUM(#REF!)</f>
        <v>#REF!</v>
      </c>
      <c r="BM77" s="428" t="e">
        <f>SUM(#REF!)</f>
        <v>#REF!</v>
      </c>
      <c r="BN77" s="428" t="e">
        <f t="shared" si="77"/>
        <v>#REF!</v>
      </c>
      <c r="BO77" s="428" t="e">
        <f>SUM(#REF!)</f>
        <v>#REF!</v>
      </c>
      <c r="BP77" s="428" t="e">
        <f>SUM(#REF!)</f>
        <v>#REF!</v>
      </c>
      <c r="BQ77" s="741">
        <f t="shared" si="78"/>
        <v>9866980.7300000004</v>
      </c>
      <c r="BR77" s="741" t="e">
        <f t="shared" si="78"/>
        <v>#REF!</v>
      </c>
      <c r="BS77" s="741" t="e">
        <f t="shared" si="78"/>
        <v>#REF!</v>
      </c>
      <c r="BT77" s="741" t="e">
        <f t="shared" si="78"/>
        <v>#REF!</v>
      </c>
      <c r="BU77" s="562" t="e">
        <f t="shared" si="78"/>
        <v>#REF!</v>
      </c>
      <c r="BV77" s="676" t="e">
        <f t="shared" si="78"/>
        <v>#REF!</v>
      </c>
      <c r="BW77" s="425"/>
      <c r="BX77" s="428"/>
      <c r="BY77" s="428"/>
      <c r="BZ77" s="428"/>
      <c r="CA77" s="429">
        <f t="shared" si="79"/>
        <v>0</v>
      </c>
      <c r="CB77" s="430"/>
      <c r="CC77" s="425"/>
      <c r="CD77" s="428"/>
      <c r="CE77" s="428"/>
      <c r="CF77" s="428"/>
      <c r="CG77" s="428"/>
      <c r="CH77" s="453"/>
      <c r="CI77" s="433"/>
      <c r="CJ77" s="431"/>
      <c r="CK77" s="431"/>
      <c r="CL77" s="431"/>
      <c r="CM77" s="434"/>
      <c r="CN77" s="460"/>
      <c r="CO77" s="425">
        <v>0</v>
      </c>
      <c r="CP77" s="428"/>
      <c r="CQ77" s="428"/>
      <c r="CR77" s="428">
        <f t="shared" si="93"/>
        <v>0</v>
      </c>
      <c r="CS77" s="428"/>
      <c r="CT77" s="453"/>
      <c r="CU77" s="425">
        <v>0</v>
      </c>
      <c r="CV77" s="655"/>
      <c r="CW77" s="655"/>
      <c r="CX77" s="428">
        <f t="shared" si="94"/>
        <v>0</v>
      </c>
      <c r="CY77" s="655"/>
      <c r="CZ77" s="632"/>
      <c r="DA77" s="726">
        <v>0</v>
      </c>
      <c r="DB77" s="9"/>
      <c r="DC77" s="9"/>
      <c r="DD77" s="9">
        <f t="shared" si="95"/>
        <v>0</v>
      </c>
      <c r="DE77" s="9"/>
      <c r="DF77" s="727"/>
      <c r="DG77" s="472"/>
      <c r="DH77" s="472"/>
      <c r="DI77" s="472"/>
      <c r="DJ77" s="472"/>
      <c r="DK77" s="472"/>
      <c r="DL77" s="472"/>
      <c r="DM77" s="703"/>
      <c r="DN77" s="428"/>
      <c r="DO77" s="428"/>
      <c r="DP77" s="428"/>
      <c r="DQ77" s="428"/>
      <c r="DR77" s="704"/>
      <c r="DS77" s="617"/>
      <c r="DT77" s="617"/>
      <c r="DU77" s="617"/>
      <c r="DV77" s="617"/>
      <c r="DW77" s="617"/>
      <c r="DX77" s="617"/>
      <c r="DY77" s="668">
        <v>325185054</v>
      </c>
      <c r="DZ77" s="671"/>
      <c r="EA77" s="671"/>
      <c r="EB77" s="428">
        <f t="shared" si="96"/>
        <v>325185054</v>
      </c>
      <c r="EC77" s="428">
        <v>126000</v>
      </c>
      <c r="ED77" s="453"/>
      <c r="EE77" s="587"/>
      <c r="EF77" s="437"/>
      <c r="EG77" s="437"/>
      <c r="EH77" s="437"/>
      <c r="EI77" s="437"/>
      <c r="EJ77" s="453"/>
      <c r="EK77" s="688">
        <f t="shared" si="80"/>
        <v>325185054</v>
      </c>
      <c r="EL77" s="688">
        <f t="shared" si="80"/>
        <v>0</v>
      </c>
      <c r="EM77" s="688">
        <f t="shared" si="80"/>
        <v>0</v>
      </c>
      <c r="EN77" s="688">
        <f t="shared" si="80"/>
        <v>325185054</v>
      </c>
      <c r="EO77" s="688">
        <f t="shared" si="80"/>
        <v>126000</v>
      </c>
      <c r="EP77" s="687">
        <f t="shared" si="80"/>
        <v>0</v>
      </c>
      <c r="EQ77" s="739">
        <f t="shared" si="81"/>
        <v>335052034.73000002</v>
      </c>
      <c r="ER77" s="739" t="e">
        <f t="shared" si="81"/>
        <v>#REF!</v>
      </c>
      <c r="ES77" s="739" t="e">
        <f t="shared" si="81"/>
        <v>#REF!</v>
      </c>
      <c r="ET77" s="739" t="e">
        <f t="shared" si="81"/>
        <v>#REF!</v>
      </c>
      <c r="EU77" s="739" t="e">
        <f t="shared" si="81"/>
        <v>#REF!</v>
      </c>
      <c r="EV77" s="740" t="e">
        <f t="shared" si="81"/>
        <v>#REF!</v>
      </c>
      <c r="EW77" s="438" t="e">
        <f>SUM('общ.сводрайон без курсовой '!C77-#REF!-#REF!)</f>
        <v>#REF!</v>
      </c>
      <c r="EX77" s="438" t="e">
        <f>SUM('общ.сводрайон без курсовой '!D77-#REF!-#REF!)</f>
        <v>#REF!</v>
      </c>
      <c r="EY77" s="438" t="e">
        <f>SUM('общ.сводрайон без курсовой '!E77-#REF!-#REF!)</f>
        <v>#REF!</v>
      </c>
      <c r="EZ77" s="438" t="e">
        <f>SUM('общ.сводрайон без курсовой '!F77-#REF!-#REF!)</f>
        <v>#REF!</v>
      </c>
    </row>
    <row r="78" spans="1:156" s="439" customFormat="1" ht="18.95" customHeight="1">
      <c r="A78" s="440">
        <v>62</v>
      </c>
      <c r="B78" s="441" t="s">
        <v>13</v>
      </c>
      <c r="C78" s="425">
        <f>6602851+16489</f>
        <v>6619340</v>
      </c>
      <c r="D78" s="428">
        <v>124837</v>
      </c>
      <c r="E78" s="428">
        <v>399694</v>
      </c>
      <c r="F78" s="428">
        <f t="shared" si="83"/>
        <v>6344483</v>
      </c>
      <c r="G78" s="428">
        <v>5063</v>
      </c>
      <c r="H78" s="453"/>
      <c r="I78" s="425">
        <f>601640</f>
        <v>601640</v>
      </c>
      <c r="J78" s="428">
        <v>0</v>
      </c>
      <c r="K78" s="428">
        <v>41050</v>
      </c>
      <c r="L78" s="428">
        <f t="shared" si="84"/>
        <v>560590</v>
      </c>
      <c r="M78" s="508">
        <v>0</v>
      </c>
      <c r="N78" s="453"/>
      <c r="O78" s="425">
        <v>867875</v>
      </c>
      <c r="P78" s="428">
        <v>1500</v>
      </c>
      <c r="Q78" s="428">
        <v>675</v>
      </c>
      <c r="R78" s="428">
        <f t="shared" si="85"/>
        <v>868700</v>
      </c>
      <c r="S78" s="428"/>
      <c r="T78" s="453"/>
      <c r="U78" s="425">
        <v>0</v>
      </c>
      <c r="V78" s="428"/>
      <c r="W78" s="428"/>
      <c r="X78" s="428">
        <f t="shared" si="86"/>
        <v>0</v>
      </c>
      <c r="Y78" s="428"/>
      <c r="Z78" s="453"/>
      <c r="AA78" s="425">
        <v>608934.1</v>
      </c>
      <c r="AB78" s="428">
        <v>131252.26999999999</v>
      </c>
      <c r="AC78" s="428">
        <v>10730.34</v>
      </c>
      <c r="AD78" s="428">
        <f t="shared" si="87"/>
        <v>729456.03</v>
      </c>
      <c r="AE78" s="428">
        <v>850</v>
      </c>
      <c r="AF78" s="453"/>
      <c r="AG78" s="425">
        <v>0</v>
      </c>
      <c r="AH78" s="428"/>
      <c r="AI78" s="428">
        <v>0</v>
      </c>
      <c r="AJ78" s="428">
        <f t="shared" si="88"/>
        <v>0</v>
      </c>
      <c r="AK78" s="428"/>
      <c r="AL78" s="453"/>
      <c r="AM78" s="425">
        <v>0</v>
      </c>
      <c r="AN78" s="539"/>
      <c r="AO78" s="539"/>
      <c r="AP78" s="428">
        <f t="shared" si="89"/>
        <v>0</v>
      </c>
      <c r="AQ78" s="428"/>
      <c r="AR78" s="453"/>
      <c r="AS78" s="425">
        <v>0</v>
      </c>
      <c r="AT78" s="428">
        <v>0</v>
      </c>
      <c r="AU78" s="428">
        <v>0</v>
      </c>
      <c r="AV78" s="428">
        <f t="shared" si="90"/>
        <v>0</v>
      </c>
      <c r="AW78" s="508">
        <v>0</v>
      </c>
      <c r="AX78" s="453">
        <v>0</v>
      </c>
      <c r="AY78" s="425">
        <f>8768+74</f>
        <v>8842</v>
      </c>
      <c r="AZ78" s="428"/>
      <c r="BA78" s="428">
        <v>8849</v>
      </c>
      <c r="BB78" s="428">
        <f t="shared" si="91"/>
        <v>-7</v>
      </c>
      <c r="BC78" s="428">
        <v>7</v>
      </c>
      <c r="BD78" s="453"/>
      <c r="BE78" s="425">
        <f>2158544+22576</f>
        <v>2181120</v>
      </c>
      <c r="BF78" s="428"/>
      <c r="BG78" s="428">
        <v>1733850</v>
      </c>
      <c r="BH78" s="428">
        <f t="shared" si="92"/>
        <v>447270</v>
      </c>
      <c r="BI78" s="83">
        <v>1762</v>
      </c>
      <c r="BJ78" s="626">
        <v>-154</v>
      </c>
      <c r="BK78" s="425">
        <v>0</v>
      </c>
      <c r="BL78" s="428" t="e">
        <f>SUM(#REF!)</f>
        <v>#REF!</v>
      </c>
      <c r="BM78" s="428" t="e">
        <f>SUM(#REF!)</f>
        <v>#REF!</v>
      </c>
      <c r="BN78" s="428" t="e">
        <f t="shared" si="77"/>
        <v>#REF!</v>
      </c>
      <c r="BO78" s="428" t="e">
        <f>SUM(#REF!)</f>
        <v>#REF!</v>
      </c>
      <c r="BP78" s="428" t="e">
        <f>SUM(#REF!)</f>
        <v>#REF!</v>
      </c>
      <c r="BQ78" s="741">
        <f t="shared" si="78"/>
        <v>10887751.1</v>
      </c>
      <c r="BR78" s="741" t="e">
        <f t="shared" si="78"/>
        <v>#REF!</v>
      </c>
      <c r="BS78" s="741" t="e">
        <f t="shared" si="78"/>
        <v>#REF!</v>
      </c>
      <c r="BT78" s="741" t="e">
        <f t="shared" si="78"/>
        <v>#REF!</v>
      </c>
      <c r="BU78" s="562" t="e">
        <f t="shared" si="78"/>
        <v>#REF!</v>
      </c>
      <c r="BV78" s="676" t="e">
        <f t="shared" si="78"/>
        <v>#REF!</v>
      </c>
      <c r="BW78" s="425"/>
      <c r="BX78" s="428"/>
      <c r="BY78" s="428"/>
      <c r="BZ78" s="428"/>
      <c r="CA78" s="429">
        <f t="shared" si="79"/>
        <v>0</v>
      </c>
      <c r="CB78" s="430"/>
      <c r="CC78" s="425"/>
      <c r="CD78" s="428"/>
      <c r="CE78" s="428"/>
      <c r="CF78" s="428"/>
      <c r="CG78" s="428"/>
      <c r="CH78" s="453"/>
      <c r="CI78" s="433"/>
      <c r="CJ78" s="431"/>
      <c r="CK78" s="431"/>
      <c r="CL78" s="431"/>
      <c r="CM78" s="434"/>
      <c r="CN78" s="460"/>
      <c r="CO78" s="425">
        <v>0</v>
      </c>
      <c r="CP78" s="428"/>
      <c r="CQ78" s="428"/>
      <c r="CR78" s="428">
        <f t="shared" si="93"/>
        <v>0</v>
      </c>
      <c r="CS78" s="428"/>
      <c r="CT78" s="453"/>
      <c r="CU78" s="425">
        <v>0</v>
      </c>
      <c r="CV78" s="655"/>
      <c r="CW78" s="655"/>
      <c r="CX78" s="428">
        <f t="shared" si="94"/>
        <v>0</v>
      </c>
      <c r="CY78" s="655"/>
      <c r="CZ78" s="632"/>
      <c r="DA78" s="726">
        <v>0</v>
      </c>
      <c r="DB78" s="9"/>
      <c r="DC78" s="9"/>
      <c r="DD78" s="9">
        <f t="shared" si="95"/>
        <v>0</v>
      </c>
      <c r="DE78" s="9"/>
      <c r="DF78" s="727"/>
      <c r="DG78" s="472"/>
      <c r="DH78" s="472"/>
      <c r="DI78" s="472"/>
      <c r="DJ78" s="472"/>
      <c r="DK78" s="472"/>
      <c r="DL78" s="472"/>
      <c r="DM78" s="703"/>
      <c r="DN78" s="428"/>
      <c r="DO78" s="428"/>
      <c r="DP78" s="428"/>
      <c r="DQ78" s="428"/>
      <c r="DR78" s="704"/>
      <c r="DS78" s="617"/>
      <c r="DT78" s="617"/>
      <c r="DU78" s="617"/>
      <c r="DV78" s="617"/>
      <c r="DW78" s="617"/>
      <c r="DX78" s="617"/>
      <c r="DY78" s="668">
        <v>20531090</v>
      </c>
      <c r="DZ78" s="671"/>
      <c r="EA78" s="671"/>
      <c r="EB78" s="428">
        <f t="shared" si="96"/>
        <v>20531090</v>
      </c>
      <c r="EC78" s="428">
        <v>16195</v>
      </c>
      <c r="ED78" s="453"/>
      <c r="EE78" s="587"/>
      <c r="EF78" s="437"/>
      <c r="EG78" s="437"/>
      <c r="EH78" s="437"/>
      <c r="EI78" s="437"/>
      <c r="EJ78" s="453"/>
      <c r="EK78" s="688">
        <f t="shared" si="80"/>
        <v>20531090</v>
      </c>
      <c r="EL78" s="688">
        <f t="shared" si="80"/>
        <v>0</v>
      </c>
      <c r="EM78" s="688">
        <f t="shared" si="80"/>
        <v>0</v>
      </c>
      <c r="EN78" s="688">
        <f t="shared" si="80"/>
        <v>20531090</v>
      </c>
      <c r="EO78" s="688">
        <f t="shared" si="80"/>
        <v>16195</v>
      </c>
      <c r="EP78" s="687">
        <f t="shared" si="80"/>
        <v>0</v>
      </c>
      <c r="EQ78" s="739">
        <f t="shared" si="81"/>
        <v>31418841.100000001</v>
      </c>
      <c r="ER78" s="739" t="e">
        <f t="shared" si="81"/>
        <v>#REF!</v>
      </c>
      <c r="ES78" s="739" t="e">
        <f t="shared" si="81"/>
        <v>#REF!</v>
      </c>
      <c r="ET78" s="739" t="e">
        <f t="shared" si="81"/>
        <v>#REF!</v>
      </c>
      <c r="EU78" s="739" t="e">
        <f t="shared" si="81"/>
        <v>#REF!</v>
      </c>
      <c r="EV78" s="740" t="e">
        <f t="shared" si="81"/>
        <v>#REF!</v>
      </c>
      <c r="EW78" s="438" t="e">
        <f>SUM('общ.сводрайон без курсовой '!C78-#REF!-#REF!)</f>
        <v>#REF!</v>
      </c>
      <c r="EX78" s="438" t="e">
        <f>SUM('общ.сводрайон без курсовой '!D78-#REF!-#REF!)</f>
        <v>#REF!</v>
      </c>
      <c r="EY78" s="438" t="e">
        <f>SUM('общ.сводрайон без курсовой '!E78-#REF!-#REF!)</f>
        <v>#REF!</v>
      </c>
      <c r="EZ78" s="438" t="e">
        <f>SUM('общ.сводрайон без курсовой '!F78-#REF!-#REF!)</f>
        <v>#REF!</v>
      </c>
    </row>
    <row r="79" spans="1:156" s="439" customFormat="1" ht="18.95" customHeight="1">
      <c r="A79" s="440">
        <v>63</v>
      </c>
      <c r="B79" s="441" t="s">
        <v>14</v>
      </c>
      <c r="C79" s="425">
        <f>1427219+7127</f>
        <v>1434346</v>
      </c>
      <c r="D79" s="428">
        <v>138853</v>
      </c>
      <c r="E79" s="428">
        <v>317077</v>
      </c>
      <c r="F79" s="428">
        <f t="shared" si="83"/>
        <v>1256122</v>
      </c>
      <c r="G79" s="428">
        <v>853</v>
      </c>
      <c r="H79" s="453"/>
      <c r="I79" s="425">
        <f>129981+1823</f>
        <v>131804</v>
      </c>
      <c r="J79" s="428">
        <v>0</v>
      </c>
      <c r="K79" s="428">
        <v>10576</v>
      </c>
      <c r="L79" s="428">
        <f t="shared" si="84"/>
        <v>121228</v>
      </c>
      <c r="M79" s="508">
        <v>61</v>
      </c>
      <c r="N79" s="453"/>
      <c r="O79" s="425">
        <v>1787901</v>
      </c>
      <c r="P79" s="428">
        <v>0</v>
      </c>
      <c r="Q79" s="428">
        <v>25600</v>
      </c>
      <c r="R79" s="428">
        <f t="shared" si="85"/>
        <v>1762301</v>
      </c>
      <c r="S79" s="428"/>
      <c r="T79" s="453"/>
      <c r="U79" s="425">
        <v>0</v>
      </c>
      <c r="V79" s="428"/>
      <c r="W79" s="428"/>
      <c r="X79" s="428">
        <f t="shared" si="86"/>
        <v>0</v>
      </c>
      <c r="Y79" s="428"/>
      <c r="Z79" s="453"/>
      <c r="AA79" s="425">
        <v>289933.58</v>
      </c>
      <c r="AB79" s="437">
        <v>110511.08</v>
      </c>
      <c r="AC79" s="428">
        <v>69831.44</v>
      </c>
      <c r="AD79" s="428">
        <f t="shared" si="87"/>
        <v>330613.22000000003</v>
      </c>
      <c r="AE79" s="428">
        <v>251</v>
      </c>
      <c r="AF79" s="453"/>
      <c r="AG79" s="425">
        <v>263012</v>
      </c>
      <c r="AH79" s="428">
        <v>104031</v>
      </c>
      <c r="AI79" s="428">
        <v>3570</v>
      </c>
      <c r="AJ79" s="428">
        <f t="shared" si="88"/>
        <v>363473</v>
      </c>
      <c r="AK79" s="428"/>
      <c r="AL79" s="453"/>
      <c r="AM79" s="425">
        <v>0</v>
      </c>
      <c r="AN79" s="428"/>
      <c r="AO79" s="428"/>
      <c r="AP79" s="428">
        <f t="shared" si="89"/>
        <v>0</v>
      </c>
      <c r="AQ79" s="428"/>
      <c r="AR79" s="453"/>
      <c r="AS79" s="425">
        <v>0</v>
      </c>
      <c r="AT79" s="428">
        <v>0</v>
      </c>
      <c r="AU79" s="428">
        <v>0</v>
      </c>
      <c r="AV79" s="428">
        <f t="shared" si="90"/>
        <v>0</v>
      </c>
      <c r="AW79" s="508">
        <v>0</v>
      </c>
      <c r="AX79" s="453">
        <v>0</v>
      </c>
      <c r="AY79" s="425">
        <f>642320+1653</f>
        <v>643973</v>
      </c>
      <c r="AZ79" s="428">
        <v>91145</v>
      </c>
      <c r="BA79" s="428">
        <v>89789</v>
      </c>
      <c r="BB79" s="428">
        <f t="shared" si="91"/>
        <v>645329</v>
      </c>
      <c r="BC79" s="428">
        <v>335</v>
      </c>
      <c r="BD79" s="453"/>
      <c r="BE79" s="425">
        <v>0</v>
      </c>
      <c r="BF79" s="428"/>
      <c r="BG79" s="428"/>
      <c r="BH79" s="428">
        <f t="shared" si="92"/>
        <v>0</v>
      </c>
      <c r="BI79" s="83"/>
      <c r="BJ79" s="626"/>
      <c r="BK79" s="425">
        <v>232532.35</v>
      </c>
      <c r="BL79" s="428" t="e">
        <f>SUM(#REF!)</f>
        <v>#REF!</v>
      </c>
      <c r="BM79" s="428" t="e">
        <f>SUM(#REF!)</f>
        <v>#REF!</v>
      </c>
      <c r="BN79" s="428" t="e">
        <f t="shared" si="77"/>
        <v>#REF!</v>
      </c>
      <c r="BO79" s="428" t="e">
        <f>SUM(#REF!)</f>
        <v>#REF!</v>
      </c>
      <c r="BP79" s="428" t="e">
        <f>SUM(#REF!)</f>
        <v>#REF!</v>
      </c>
      <c r="BQ79" s="741">
        <f t="shared" si="78"/>
        <v>4783501.93</v>
      </c>
      <c r="BR79" s="741" t="e">
        <f t="shared" si="78"/>
        <v>#REF!</v>
      </c>
      <c r="BS79" s="741" t="e">
        <f t="shared" si="78"/>
        <v>#REF!</v>
      </c>
      <c r="BT79" s="741" t="e">
        <f t="shared" si="78"/>
        <v>#REF!</v>
      </c>
      <c r="BU79" s="562" t="e">
        <f t="shared" si="78"/>
        <v>#REF!</v>
      </c>
      <c r="BV79" s="676" t="e">
        <f t="shared" si="78"/>
        <v>#REF!</v>
      </c>
      <c r="BW79" s="425"/>
      <c r="BX79" s="428"/>
      <c r="BY79" s="428"/>
      <c r="BZ79" s="428"/>
      <c r="CA79" s="429">
        <f t="shared" si="79"/>
        <v>0</v>
      </c>
      <c r="CB79" s="430"/>
      <c r="CC79" s="425"/>
      <c r="CD79" s="428"/>
      <c r="CE79" s="428"/>
      <c r="CF79" s="428"/>
      <c r="CG79" s="428"/>
      <c r="CH79" s="453"/>
      <c r="CI79" s="433"/>
      <c r="CJ79" s="431"/>
      <c r="CK79" s="431"/>
      <c r="CL79" s="431"/>
      <c r="CM79" s="434"/>
      <c r="CN79" s="460"/>
      <c r="CO79" s="425">
        <v>800</v>
      </c>
      <c r="CP79" s="428">
        <v>1000</v>
      </c>
      <c r="CQ79" s="428"/>
      <c r="CR79" s="428">
        <f t="shared" si="93"/>
        <v>1800</v>
      </c>
      <c r="CS79" s="428"/>
      <c r="CT79" s="453"/>
      <c r="CU79" s="425">
        <v>0</v>
      </c>
      <c r="CV79" s="655">
        <v>100000</v>
      </c>
      <c r="CW79" s="655"/>
      <c r="CX79" s="428">
        <f t="shared" si="94"/>
        <v>100000</v>
      </c>
      <c r="CY79" s="655"/>
      <c r="CZ79" s="632"/>
      <c r="DA79" s="726">
        <v>0</v>
      </c>
      <c r="DB79" s="9"/>
      <c r="DC79" s="9"/>
      <c r="DD79" s="9">
        <f t="shared" si="95"/>
        <v>0</v>
      </c>
      <c r="DE79" s="9"/>
      <c r="DF79" s="727"/>
      <c r="DG79" s="472"/>
      <c r="DH79" s="472"/>
      <c r="DI79" s="472"/>
      <c r="DJ79" s="472"/>
      <c r="DK79" s="472"/>
      <c r="DL79" s="472"/>
      <c r="DM79" s="703"/>
      <c r="DN79" s="428"/>
      <c r="DO79" s="428"/>
      <c r="DP79" s="428"/>
      <c r="DQ79" s="428"/>
      <c r="DR79" s="704"/>
      <c r="DS79" s="617"/>
      <c r="DT79" s="617"/>
      <c r="DU79" s="617"/>
      <c r="DV79" s="617"/>
      <c r="DW79" s="617"/>
      <c r="DX79" s="617"/>
      <c r="DY79" s="668">
        <v>5787547</v>
      </c>
      <c r="DZ79" s="671"/>
      <c r="EA79" s="671"/>
      <c r="EB79" s="428">
        <f t="shared" si="96"/>
        <v>5787547</v>
      </c>
      <c r="EC79" s="428">
        <v>3279</v>
      </c>
      <c r="ED79" s="453"/>
      <c r="EE79" s="587"/>
      <c r="EF79" s="437"/>
      <c r="EG79" s="437"/>
      <c r="EH79" s="437"/>
      <c r="EI79" s="437"/>
      <c r="EJ79" s="453"/>
      <c r="EK79" s="688">
        <f t="shared" si="80"/>
        <v>5788347</v>
      </c>
      <c r="EL79" s="688">
        <f t="shared" si="80"/>
        <v>101000</v>
      </c>
      <c r="EM79" s="688">
        <f t="shared" si="80"/>
        <v>0</v>
      </c>
      <c r="EN79" s="688">
        <f t="shared" si="80"/>
        <v>5889347</v>
      </c>
      <c r="EO79" s="688">
        <f t="shared" si="80"/>
        <v>3279</v>
      </c>
      <c r="EP79" s="687">
        <f t="shared" si="80"/>
        <v>0</v>
      </c>
      <c r="EQ79" s="739">
        <f t="shared" si="81"/>
        <v>10571848.93</v>
      </c>
      <c r="ER79" s="739" t="e">
        <f t="shared" si="81"/>
        <v>#REF!</v>
      </c>
      <c r="ES79" s="739" t="e">
        <f t="shared" si="81"/>
        <v>#REF!</v>
      </c>
      <c r="ET79" s="739" t="e">
        <f t="shared" si="81"/>
        <v>#REF!</v>
      </c>
      <c r="EU79" s="739" t="e">
        <f t="shared" si="81"/>
        <v>#REF!</v>
      </c>
      <c r="EV79" s="740" t="e">
        <f t="shared" si="81"/>
        <v>#REF!</v>
      </c>
      <c r="EW79" s="438" t="e">
        <f>SUM('общ.сводрайон без курсовой '!C79-#REF!-#REF!)</f>
        <v>#REF!</v>
      </c>
      <c r="EX79" s="438" t="e">
        <f>SUM('общ.сводрайон без курсовой '!D79-#REF!-#REF!)</f>
        <v>#REF!</v>
      </c>
      <c r="EY79" s="438" t="e">
        <f>SUM('общ.сводрайон без курсовой '!E79-#REF!-#REF!)</f>
        <v>#REF!</v>
      </c>
      <c r="EZ79" s="438" t="e">
        <f>SUM('общ.сводрайон без курсовой '!F79-#REF!-#REF!)</f>
        <v>#REF!</v>
      </c>
    </row>
    <row r="80" spans="1:156" s="439" customFormat="1" ht="18.95" customHeight="1" thickBot="1">
      <c r="A80" s="440">
        <f>A79+1</f>
        <v>64</v>
      </c>
      <c r="B80" s="441" t="s">
        <v>15</v>
      </c>
      <c r="C80" s="425">
        <v>0</v>
      </c>
      <c r="D80" s="428">
        <v>0</v>
      </c>
      <c r="E80" s="428">
        <v>0</v>
      </c>
      <c r="F80" s="428">
        <f t="shared" si="83"/>
        <v>0</v>
      </c>
      <c r="G80" s="428">
        <v>0</v>
      </c>
      <c r="H80" s="453"/>
      <c r="I80" s="425">
        <f>1554204+1518</f>
        <v>1555722</v>
      </c>
      <c r="J80" s="428">
        <v>82419</v>
      </c>
      <c r="K80" s="428">
        <v>39328</v>
      </c>
      <c r="L80" s="428">
        <f t="shared" si="84"/>
        <v>1598813</v>
      </c>
      <c r="M80" s="508">
        <v>291</v>
      </c>
      <c r="N80" s="453"/>
      <c r="O80" s="425">
        <v>1020138</v>
      </c>
      <c r="P80" s="428">
        <v>48000</v>
      </c>
      <c r="Q80" s="428">
        <v>79243</v>
      </c>
      <c r="R80" s="428">
        <f t="shared" si="85"/>
        <v>988895</v>
      </c>
      <c r="S80" s="428"/>
      <c r="T80" s="453"/>
      <c r="U80" s="425">
        <v>0</v>
      </c>
      <c r="V80" s="428"/>
      <c r="W80" s="428"/>
      <c r="X80" s="428">
        <f t="shared" si="86"/>
        <v>0</v>
      </c>
      <c r="Y80" s="428"/>
      <c r="Z80" s="453"/>
      <c r="AA80" s="425">
        <f>626104.87+388</f>
        <v>626492.87</v>
      </c>
      <c r="AB80" s="428">
        <v>38656.93</v>
      </c>
      <c r="AC80" s="428">
        <v>7692.5</v>
      </c>
      <c r="AD80" s="428">
        <f t="shared" si="87"/>
        <v>657457.30000000005</v>
      </c>
      <c r="AE80" s="428">
        <v>190</v>
      </c>
      <c r="AF80" s="453"/>
      <c r="AG80" s="425">
        <v>4830001</v>
      </c>
      <c r="AH80" s="428">
        <v>1068241</v>
      </c>
      <c r="AI80" s="428">
        <v>704259</v>
      </c>
      <c r="AJ80" s="428">
        <f t="shared" si="88"/>
        <v>5193983</v>
      </c>
      <c r="AK80" s="428"/>
      <c r="AL80" s="453"/>
      <c r="AM80" s="425">
        <v>0</v>
      </c>
      <c r="AN80" s="428"/>
      <c r="AO80" s="428"/>
      <c r="AP80" s="428">
        <f t="shared" si="89"/>
        <v>0</v>
      </c>
      <c r="AQ80" s="428"/>
      <c r="AR80" s="453"/>
      <c r="AS80" s="425">
        <f>13717+99</f>
        <v>13816</v>
      </c>
      <c r="AT80" s="428">
        <v>0</v>
      </c>
      <c r="AU80" s="508">
        <v>3336</v>
      </c>
      <c r="AV80" s="508">
        <f t="shared" si="90"/>
        <v>10480</v>
      </c>
      <c r="AW80" s="508">
        <v>10</v>
      </c>
      <c r="AX80" s="453">
        <v>46</v>
      </c>
      <c r="AY80" s="425">
        <f>384329+5373</f>
        <v>389702</v>
      </c>
      <c r="AZ80" s="428">
        <v>77475</v>
      </c>
      <c r="BA80" s="428">
        <v>198773</v>
      </c>
      <c r="BB80" s="428">
        <f t="shared" si="91"/>
        <v>268404</v>
      </c>
      <c r="BC80" s="428">
        <v>292</v>
      </c>
      <c r="BD80" s="453"/>
      <c r="BE80" s="425">
        <v>0</v>
      </c>
      <c r="BF80" s="428"/>
      <c r="BG80" s="428"/>
      <c r="BH80" s="428">
        <f t="shared" si="92"/>
        <v>0</v>
      </c>
      <c r="BI80" s="83"/>
      <c r="BJ80" s="626"/>
      <c r="BK80" s="425">
        <v>0</v>
      </c>
      <c r="BL80" s="428" t="e">
        <f>SUM(#REF!)</f>
        <v>#REF!</v>
      </c>
      <c r="BM80" s="428" t="e">
        <f>SUM(#REF!)</f>
        <v>#REF!</v>
      </c>
      <c r="BN80" s="428" t="e">
        <f t="shared" si="77"/>
        <v>#REF!</v>
      </c>
      <c r="BO80" s="428" t="e">
        <f>SUM(#REF!)</f>
        <v>#REF!</v>
      </c>
      <c r="BP80" s="428" t="e">
        <f>SUM(#REF!)</f>
        <v>#REF!</v>
      </c>
      <c r="BQ80" s="741">
        <f t="shared" si="78"/>
        <v>8435871.870000001</v>
      </c>
      <c r="BR80" s="741" t="e">
        <f t="shared" si="78"/>
        <v>#REF!</v>
      </c>
      <c r="BS80" s="741" t="e">
        <f t="shared" si="78"/>
        <v>#REF!</v>
      </c>
      <c r="BT80" s="741" t="e">
        <f t="shared" si="78"/>
        <v>#REF!</v>
      </c>
      <c r="BU80" s="562" t="e">
        <f t="shared" si="78"/>
        <v>#REF!</v>
      </c>
      <c r="BV80" s="676" t="e">
        <f t="shared" si="78"/>
        <v>#REF!</v>
      </c>
      <c r="BW80" s="425"/>
      <c r="BX80" s="428"/>
      <c r="BY80" s="428"/>
      <c r="BZ80" s="428"/>
      <c r="CA80" s="429">
        <f t="shared" si="79"/>
        <v>0</v>
      </c>
      <c r="CB80" s="430"/>
      <c r="CC80" s="425"/>
      <c r="CD80" s="428"/>
      <c r="CE80" s="428"/>
      <c r="CF80" s="428"/>
      <c r="CG80" s="428"/>
      <c r="CH80" s="453"/>
      <c r="CI80" s="486"/>
      <c r="CJ80" s="487"/>
      <c r="CK80" s="487"/>
      <c r="CL80" s="487"/>
      <c r="CM80" s="488"/>
      <c r="CN80" s="460"/>
      <c r="CO80" s="425">
        <v>36395</v>
      </c>
      <c r="CP80" s="428"/>
      <c r="CQ80" s="428">
        <v>75</v>
      </c>
      <c r="CR80" s="428">
        <f t="shared" si="93"/>
        <v>36320</v>
      </c>
      <c r="CS80" s="428"/>
      <c r="CT80" s="453"/>
      <c r="CU80" s="425">
        <f>419495-1486</f>
        <v>418009</v>
      </c>
      <c r="CV80" s="655"/>
      <c r="CW80" s="655">
        <v>29008</v>
      </c>
      <c r="CX80" s="428">
        <f t="shared" si="94"/>
        <v>389001</v>
      </c>
      <c r="CY80" s="655">
        <v>170</v>
      </c>
      <c r="CZ80" s="632"/>
      <c r="DA80" s="726">
        <v>0</v>
      </c>
      <c r="DB80" s="9"/>
      <c r="DC80" s="9"/>
      <c r="DD80" s="9">
        <f t="shared" si="95"/>
        <v>0</v>
      </c>
      <c r="DE80" s="9"/>
      <c r="DF80" s="727"/>
      <c r="DG80" s="472"/>
      <c r="DH80" s="472"/>
      <c r="DI80" s="472"/>
      <c r="DJ80" s="472"/>
      <c r="DK80" s="472"/>
      <c r="DL80" s="472"/>
      <c r="DM80" s="703"/>
      <c r="DN80" s="428"/>
      <c r="DO80" s="428"/>
      <c r="DP80" s="428"/>
      <c r="DQ80" s="428"/>
      <c r="DR80" s="704"/>
      <c r="DS80" s="617"/>
      <c r="DT80" s="617"/>
      <c r="DU80" s="617"/>
      <c r="DV80" s="617"/>
      <c r="DW80" s="617"/>
      <c r="DX80" s="617"/>
      <c r="DY80" s="668"/>
      <c r="DZ80" s="670"/>
      <c r="EA80" s="670"/>
      <c r="EB80" s="428">
        <f t="shared" si="96"/>
        <v>0</v>
      </c>
      <c r="EC80" s="428"/>
      <c r="ED80" s="453"/>
      <c r="EE80" s="587"/>
      <c r="EF80" s="437"/>
      <c r="EG80" s="437"/>
      <c r="EH80" s="437"/>
      <c r="EI80" s="437"/>
      <c r="EJ80" s="453"/>
      <c r="EK80" s="688">
        <f t="shared" si="80"/>
        <v>454404</v>
      </c>
      <c r="EL80" s="688">
        <f t="shared" si="80"/>
        <v>0</v>
      </c>
      <c r="EM80" s="688">
        <f t="shared" si="80"/>
        <v>29083</v>
      </c>
      <c r="EN80" s="688">
        <f t="shared" si="80"/>
        <v>425321</v>
      </c>
      <c r="EO80" s="688">
        <f t="shared" si="80"/>
        <v>170</v>
      </c>
      <c r="EP80" s="687">
        <f t="shared" si="80"/>
        <v>0</v>
      </c>
      <c r="EQ80" s="739">
        <f t="shared" si="81"/>
        <v>8890275.870000001</v>
      </c>
      <c r="ER80" s="739" t="e">
        <f t="shared" si="81"/>
        <v>#REF!</v>
      </c>
      <c r="ES80" s="739" t="e">
        <f t="shared" si="81"/>
        <v>#REF!</v>
      </c>
      <c r="ET80" s="739" t="e">
        <f t="shared" si="81"/>
        <v>#REF!</v>
      </c>
      <c r="EU80" s="739" t="e">
        <f t="shared" si="81"/>
        <v>#REF!</v>
      </c>
      <c r="EV80" s="740" t="e">
        <f t="shared" si="81"/>
        <v>#REF!</v>
      </c>
      <c r="EW80" s="438" t="e">
        <f>SUM('общ.сводрайон без курсовой '!C80-#REF!-#REF!)</f>
        <v>#REF!</v>
      </c>
      <c r="EX80" s="438" t="e">
        <f>SUM('общ.сводрайон без курсовой '!D80-#REF!-#REF!)</f>
        <v>#REF!</v>
      </c>
      <c r="EY80" s="438" t="e">
        <f>SUM('общ.сводрайон без курсовой '!E80-#REF!-#REF!)</f>
        <v>#REF!</v>
      </c>
      <c r="EZ80" s="438" t="e">
        <f>SUM('общ.сводрайон без курсовой '!F80-#REF!-#REF!)</f>
        <v>#REF!</v>
      </c>
    </row>
    <row r="81" spans="1:156" s="499" customFormat="1" ht="18.95" customHeight="1">
      <c r="A81" s="1208" t="s">
        <v>73</v>
      </c>
      <c r="B81" s="1209"/>
      <c r="C81" s="489">
        <f t="shared" ref="C81:BN81" si="97">SUM(C63:C80)</f>
        <v>97047710</v>
      </c>
      <c r="D81" s="490">
        <f t="shared" si="97"/>
        <v>8041132</v>
      </c>
      <c r="E81" s="490">
        <f t="shared" si="97"/>
        <v>11012783</v>
      </c>
      <c r="F81" s="490">
        <f t="shared" si="97"/>
        <v>94076059</v>
      </c>
      <c r="G81" s="490">
        <f t="shared" si="97"/>
        <v>187647</v>
      </c>
      <c r="H81" s="491">
        <f t="shared" si="97"/>
        <v>0</v>
      </c>
      <c r="I81" s="489">
        <f t="shared" si="97"/>
        <v>35180284</v>
      </c>
      <c r="J81" s="490">
        <f t="shared" si="97"/>
        <v>3814999</v>
      </c>
      <c r="K81" s="490">
        <f t="shared" si="97"/>
        <v>2526779</v>
      </c>
      <c r="L81" s="490">
        <f t="shared" si="97"/>
        <v>36468504</v>
      </c>
      <c r="M81" s="530">
        <f t="shared" si="97"/>
        <v>19825.47</v>
      </c>
      <c r="N81" s="491">
        <f t="shared" si="97"/>
        <v>0</v>
      </c>
      <c r="O81" s="489">
        <f t="shared" si="97"/>
        <v>32242982.170000002</v>
      </c>
      <c r="P81" s="490">
        <f t="shared" si="97"/>
        <v>1212130</v>
      </c>
      <c r="Q81" s="490">
        <f t="shared" si="97"/>
        <v>1358674.17</v>
      </c>
      <c r="R81" s="490">
        <f t="shared" si="97"/>
        <v>32096438</v>
      </c>
      <c r="S81" s="490">
        <f t="shared" si="97"/>
        <v>893</v>
      </c>
      <c r="T81" s="491">
        <f t="shared" si="97"/>
        <v>0</v>
      </c>
      <c r="U81" s="489">
        <f t="shared" si="97"/>
        <v>23604017</v>
      </c>
      <c r="V81" s="490">
        <f t="shared" si="97"/>
        <v>4792247.7</v>
      </c>
      <c r="W81" s="490">
        <f t="shared" si="97"/>
        <v>2737592.59</v>
      </c>
      <c r="X81" s="490">
        <f t="shared" si="97"/>
        <v>25658672.109999999</v>
      </c>
      <c r="Y81" s="490">
        <f t="shared" si="97"/>
        <v>15264.78</v>
      </c>
      <c r="Z81" s="491">
        <f t="shared" si="97"/>
        <v>0</v>
      </c>
      <c r="AA81" s="489">
        <f t="shared" si="97"/>
        <v>17478556.579999998</v>
      </c>
      <c r="AB81" s="490">
        <f t="shared" si="97"/>
        <v>2718227.4000000008</v>
      </c>
      <c r="AC81" s="490">
        <f t="shared" si="97"/>
        <v>1198479.29</v>
      </c>
      <c r="AD81" s="490">
        <f t="shared" si="97"/>
        <v>18998304.690000001</v>
      </c>
      <c r="AE81" s="490">
        <f t="shared" si="97"/>
        <v>7246</v>
      </c>
      <c r="AF81" s="491">
        <f t="shared" si="97"/>
        <v>0</v>
      </c>
      <c r="AG81" s="489">
        <f t="shared" si="97"/>
        <v>60117987</v>
      </c>
      <c r="AH81" s="490">
        <f t="shared" si="97"/>
        <v>11984129</v>
      </c>
      <c r="AI81" s="490">
        <f t="shared" si="97"/>
        <v>8047340</v>
      </c>
      <c r="AJ81" s="490">
        <f t="shared" si="97"/>
        <v>64054776</v>
      </c>
      <c r="AK81" s="490">
        <f t="shared" si="97"/>
        <v>196</v>
      </c>
      <c r="AL81" s="491">
        <f t="shared" si="97"/>
        <v>0</v>
      </c>
      <c r="AM81" s="489">
        <f t="shared" si="97"/>
        <v>0</v>
      </c>
      <c r="AN81" s="490">
        <f t="shared" si="97"/>
        <v>0</v>
      </c>
      <c r="AO81" s="490">
        <f t="shared" si="97"/>
        <v>0</v>
      </c>
      <c r="AP81" s="490">
        <f t="shared" si="97"/>
        <v>0</v>
      </c>
      <c r="AQ81" s="490">
        <f t="shared" si="97"/>
        <v>0</v>
      </c>
      <c r="AR81" s="491">
        <f t="shared" si="97"/>
        <v>0</v>
      </c>
      <c r="AS81" s="489">
        <f t="shared" si="97"/>
        <v>30879105</v>
      </c>
      <c r="AT81" s="490">
        <f t="shared" si="97"/>
        <v>8161753</v>
      </c>
      <c r="AU81" s="490">
        <f t="shared" si="97"/>
        <v>5799880</v>
      </c>
      <c r="AV81" s="490">
        <f t="shared" si="97"/>
        <v>33240978</v>
      </c>
      <c r="AW81" s="530">
        <f t="shared" si="97"/>
        <v>203124</v>
      </c>
      <c r="AX81" s="491">
        <f t="shared" si="97"/>
        <v>4312</v>
      </c>
      <c r="AY81" s="489">
        <f t="shared" si="97"/>
        <v>11879259</v>
      </c>
      <c r="AZ81" s="490">
        <f t="shared" si="97"/>
        <v>1237062</v>
      </c>
      <c r="BA81" s="490">
        <f t="shared" si="97"/>
        <v>1755086</v>
      </c>
      <c r="BB81" s="490">
        <f t="shared" si="97"/>
        <v>11361235</v>
      </c>
      <c r="BC81" s="490">
        <f t="shared" si="97"/>
        <v>7675</v>
      </c>
      <c r="BD81" s="491">
        <f t="shared" si="97"/>
        <v>0</v>
      </c>
      <c r="BE81" s="489">
        <f t="shared" si="97"/>
        <v>2281940</v>
      </c>
      <c r="BF81" s="490">
        <f t="shared" si="97"/>
        <v>104031</v>
      </c>
      <c r="BG81" s="490">
        <f t="shared" si="97"/>
        <v>1733934</v>
      </c>
      <c r="BH81" s="490">
        <f t="shared" si="97"/>
        <v>652037</v>
      </c>
      <c r="BI81" s="744">
        <f t="shared" si="97"/>
        <v>1762</v>
      </c>
      <c r="BJ81" s="744">
        <f t="shared" si="97"/>
        <v>-154</v>
      </c>
      <c r="BK81" s="489">
        <f t="shared" si="97"/>
        <v>5125305.18</v>
      </c>
      <c r="BL81" s="490" t="e">
        <f t="shared" si="97"/>
        <v>#REF!</v>
      </c>
      <c r="BM81" s="490" t="e">
        <f t="shared" si="97"/>
        <v>#REF!</v>
      </c>
      <c r="BN81" s="490" t="e">
        <f t="shared" si="97"/>
        <v>#REF!</v>
      </c>
      <c r="BO81" s="490" t="e">
        <f t="shared" ref="BO81:DR81" si="98">SUM(BO63:BO80)</f>
        <v>#REF!</v>
      </c>
      <c r="BP81" s="491" t="e">
        <f t="shared" si="98"/>
        <v>#REF!</v>
      </c>
      <c r="BQ81" s="554">
        <f t="shared" si="98"/>
        <v>315837145.93000001</v>
      </c>
      <c r="BR81" s="555" t="e">
        <f t="shared" si="98"/>
        <v>#REF!</v>
      </c>
      <c r="BS81" s="555" t="e">
        <f t="shared" si="98"/>
        <v>#REF!</v>
      </c>
      <c r="BT81" s="555" t="e">
        <f t="shared" si="98"/>
        <v>#REF!</v>
      </c>
      <c r="BU81" s="556" t="e">
        <f t="shared" si="98"/>
        <v>#REF!</v>
      </c>
      <c r="BV81" s="557" t="e">
        <f t="shared" si="98"/>
        <v>#REF!</v>
      </c>
      <c r="BW81" s="489">
        <f t="shared" si="98"/>
        <v>0</v>
      </c>
      <c r="BX81" s="490">
        <f t="shared" si="98"/>
        <v>0</v>
      </c>
      <c r="BY81" s="490">
        <f t="shared" si="98"/>
        <v>0</v>
      </c>
      <c r="BZ81" s="490">
        <f t="shared" si="98"/>
        <v>0</v>
      </c>
      <c r="CA81" s="490">
        <f t="shared" si="98"/>
        <v>0</v>
      </c>
      <c r="CB81" s="491">
        <f t="shared" si="98"/>
        <v>0</v>
      </c>
      <c r="CC81" s="489">
        <f t="shared" si="98"/>
        <v>0</v>
      </c>
      <c r="CD81" s="490">
        <f t="shared" si="98"/>
        <v>0</v>
      </c>
      <c r="CE81" s="490">
        <f t="shared" si="98"/>
        <v>0</v>
      </c>
      <c r="CF81" s="490">
        <f t="shared" si="98"/>
        <v>0</v>
      </c>
      <c r="CG81" s="490">
        <f t="shared" si="98"/>
        <v>0</v>
      </c>
      <c r="CH81" s="491">
        <f t="shared" si="98"/>
        <v>0</v>
      </c>
      <c r="CI81" s="496">
        <f t="shared" si="98"/>
        <v>65006</v>
      </c>
      <c r="CJ81" s="497">
        <f t="shared" si="98"/>
        <v>22808</v>
      </c>
      <c r="CK81" s="497">
        <f t="shared" si="98"/>
        <v>0</v>
      </c>
      <c r="CL81" s="497">
        <f t="shared" si="98"/>
        <v>87814</v>
      </c>
      <c r="CM81" s="498">
        <f t="shared" si="98"/>
        <v>53</v>
      </c>
      <c r="CN81" s="494">
        <f t="shared" si="98"/>
        <v>0</v>
      </c>
      <c r="CO81" s="489">
        <f t="shared" si="98"/>
        <v>1182148</v>
      </c>
      <c r="CP81" s="490">
        <f t="shared" si="98"/>
        <v>94500</v>
      </c>
      <c r="CQ81" s="490">
        <f t="shared" si="98"/>
        <v>165585</v>
      </c>
      <c r="CR81" s="490">
        <f t="shared" si="98"/>
        <v>1111063</v>
      </c>
      <c r="CS81" s="490">
        <f t="shared" si="98"/>
        <v>0</v>
      </c>
      <c r="CT81" s="491">
        <f t="shared" si="98"/>
        <v>0</v>
      </c>
      <c r="CU81" s="489">
        <f t="shared" si="98"/>
        <v>2420739</v>
      </c>
      <c r="CV81" s="656">
        <f>SUM(CV63:CV80)</f>
        <v>189250</v>
      </c>
      <c r="CW81" s="656">
        <f>SUM(CW63:CW80)</f>
        <v>32276</v>
      </c>
      <c r="CX81" s="490">
        <f t="shared" si="98"/>
        <v>2577713</v>
      </c>
      <c r="CY81" s="490">
        <f t="shared" si="98"/>
        <v>555</v>
      </c>
      <c r="CZ81" s="717">
        <f t="shared" si="98"/>
        <v>0</v>
      </c>
      <c r="DA81" s="732">
        <f t="shared" si="98"/>
        <v>206</v>
      </c>
      <c r="DB81" s="579">
        <f t="shared" si="98"/>
        <v>0</v>
      </c>
      <c r="DC81" s="579">
        <f t="shared" si="98"/>
        <v>0</v>
      </c>
      <c r="DD81" s="579">
        <f t="shared" si="98"/>
        <v>206</v>
      </c>
      <c r="DE81" s="579">
        <f t="shared" si="98"/>
        <v>0</v>
      </c>
      <c r="DF81" s="733">
        <f t="shared" si="98"/>
        <v>0</v>
      </c>
      <c r="DG81" s="721"/>
      <c r="DH81" s="685"/>
      <c r="DI81" s="685"/>
      <c r="DJ81" s="685"/>
      <c r="DK81" s="685"/>
      <c r="DL81" s="694"/>
      <c r="DM81" s="707">
        <f t="shared" si="98"/>
        <v>0</v>
      </c>
      <c r="DN81" s="490">
        <f t="shared" si="98"/>
        <v>0</v>
      </c>
      <c r="DO81" s="490">
        <f t="shared" si="98"/>
        <v>0</v>
      </c>
      <c r="DP81" s="490">
        <f t="shared" si="98"/>
        <v>0</v>
      </c>
      <c r="DQ81" s="490">
        <f t="shared" si="98"/>
        <v>0</v>
      </c>
      <c r="DR81" s="708">
        <f t="shared" si="98"/>
        <v>0</v>
      </c>
      <c r="DS81" s="619"/>
      <c r="DT81" s="619"/>
      <c r="DU81" s="619"/>
      <c r="DV81" s="619"/>
      <c r="DW81" s="619"/>
      <c r="DX81" s="619"/>
      <c r="DY81" s="489">
        <f>SUM(DY63:DY80)</f>
        <v>596311655</v>
      </c>
      <c r="DZ81" s="490">
        <f>SUM(DZ63:DZ80)</f>
        <v>0</v>
      </c>
      <c r="EA81" s="490">
        <f>SUM(EA63:EA80)</f>
        <v>387822</v>
      </c>
      <c r="EB81" s="490">
        <f>SUM(EB63:EB80)</f>
        <v>595923833</v>
      </c>
      <c r="EC81" s="490">
        <f>SUM(EC63:EC80)</f>
        <v>274145</v>
      </c>
      <c r="ED81" s="491">
        <f t="shared" ref="ED81:EV81" si="99">SUM(ED63:ED80)</f>
        <v>0</v>
      </c>
      <c r="EE81" s="489">
        <f t="shared" si="99"/>
        <v>0</v>
      </c>
      <c r="EF81" s="490">
        <f t="shared" si="99"/>
        <v>0</v>
      </c>
      <c r="EG81" s="490">
        <f t="shared" si="99"/>
        <v>0</v>
      </c>
      <c r="EH81" s="490">
        <f t="shared" si="99"/>
        <v>0</v>
      </c>
      <c r="EI81" s="490">
        <f t="shared" si="99"/>
        <v>0</v>
      </c>
      <c r="EJ81" s="491">
        <f t="shared" si="99"/>
        <v>0</v>
      </c>
      <c r="EK81" s="689">
        <f t="shared" ref="EK81:EP81" si="100">SUM(EK63:EK80)</f>
        <v>599979754</v>
      </c>
      <c r="EL81" s="689">
        <f t="shared" si="100"/>
        <v>306558</v>
      </c>
      <c r="EM81" s="689">
        <f t="shared" si="100"/>
        <v>585683</v>
      </c>
      <c r="EN81" s="689">
        <f t="shared" si="100"/>
        <v>599700629</v>
      </c>
      <c r="EO81" s="689">
        <f t="shared" si="100"/>
        <v>274753</v>
      </c>
      <c r="EP81" s="619">
        <f t="shared" si="100"/>
        <v>0</v>
      </c>
      <c r="EQ81" s="603">
        <f t="shared" si="99"/>
        <v>915816899.92999995</v>
      </c>
      <c r="ER81" s="604" t="e">
        <f t="shared" si="99"/>
        <v>#REF!</v>
      </c>
      <c r="ES81" s="604" t="e">
        <f t="shared" si="99"/>
        <v>#REF!</v>
      </c>
      <c r="ET81" s="604" t="e">
        <f t="shared" si="99"/>
        <v>#REF!</v>
      </c>
      <c r="EU81" s="604" t="e">
        <f t="shared" si="99"/>
        <v>#REF!</v>
      </c>
      <c r="EV81" s="605" t="e">
        <f t="shared" si="99"/>
        <v>#REF!</v>
      </c>
      <c r="EW81" s="438" t="e">
        <f>SUM('общ.сводрайон без курсовой '!C81-#REF!-#REF!)</f>
        <v>#REF!</v>
      </c>
      <c r="EX81" s="438" t="e">
        <f>SUM('общ.сводрайон без курсовой '!D81-#REF!-#REF!)</f>
        <v>#REF!</v>
      </c>
      <c r="EY81" s="438" t="e">
        <f>SUM('общ.сводрайон без курсовой '!E81-#REF!-#REF!)</f>
        <v>#REF!</v>
      </c>
      <c r="EZ81" s="438" t="e">
        <f>SUM('общ.сводрайон без курсовой '!F81-#REF!-#REF!)</f>
        <v>#REF!</v>
      </c>
    </row>
    <row r="82" spans="1:156" s="439" customFormat="1" ht="18.95" customHeight="1">
      <c r="A82" s="500"/>
      <c r="B82" s="501" t="s">
        <v>7</v>
      </c>
      <c r="C82" s="502"/>
      <c r="D82" s="429"/>
      <c r="E82" s="429"/>
      <c r="F82" s="634">
        <f>SUM(F81+G81)</f>
        <v>94263706</v>
      </c>
      <c r="G82" s="429"/>
      <c r="H82" s="430"/>
      <c r="I82" s="425"/>
      <c r="J82" s="429"/>
      <c r="K82" s="429"/>
      <c r="L82" s="428">
        <f>SUM(L81+M81)</f>
        <v>36488329.469999999</v>
      </c>
      <c r="M82" s="541"/>
      <c r="N82" s="430"/>
      <c r="O82" s="425"/>
      <c r="P82" s="429"/>
      <c r="Q82" s="429"/>
      <c r="R82" s="428">
        <f>SUM(R81+S81-T81)</f>
        <v>32097331</v>
      </c>
      <c r="S82" s="429"/>
      <c r="T82" s="430"/>
      <c r="U82" s="425"/>
      <c r="V82" s="429"/>
      <c r="W82" s="429"/>
      <c r="X82" s="428"/>
      <c r="Y82" s="429"/>
      <c r="Z82" s="430"/>
      <c r="AA82" s="425"/>
      <c r="AB82" s="429"/>
      <c r="AC82" s="429"/>
      <c r="AD82" s="428"/>
      <c r="AE82" s="429"/>
      <c r="AF82" s="430"/>
      <c r="AG82" s="425"/>
      <c r="AH82" s="429"/>
      <c r="AI82" s="429"/>
      <c r="AJ82" s="428">
        <f>SUM(AJ81+AK81)</f>
        <v>64054972</v>
      </c>
      <c r="AK82" s="429"/>
      <c r="AL82" s="430"/>
      <c r="AM82" s="425"/>
      <c r="AN82" s="429"/>
      <c r="AO82" s="429"/>
      <c r="AP82" s="428"/>
      <c r="AQ82" s="429"/>
      <c r="AR82" s="430"/>
      <c r="AS82" s="502"/>
      <c r="AT82" s="429"/>
      <c r="AU82" s="429"/>
      <c r="AV82" s="429"/>
      <c r="AW82" s="541"/>
      <c r="AX82" s="430"/>
      <c r="AY82" s="502"/>
      <c r="AZ82" s="428"/>
      <c r="BA82" s="428"/>
      <c r="BB82" s="545">
        <f>SUM(BB81+BC81-BD81)</f>
        <v>11368910</v>
      </c>
      <c r="BC82" s="429"/>
      <c r="BD82" s="430"/>
      <c r="BE82" s="502"/>
      <c r="BF82" s="429"/>
      <c r="BG82" s="429"/>
      <c r="BH82" s="582">
        <f>SUM(BH81+BI81)</f>
        <v>653799</v>
      </c>
      <c r="BI82" s="627"/>
      <c r="BJ82" s="628"/>
      <c r="BK82" s="502"/>
      <c r="BL82" s="429"/>
      <c r="BM82" s="429"/>
      <c r="BN82" s="429"/>
      <c r="BO82" s="429"/>
      <c r="BP82" s="430"/>
      <c r="BQ82" s="570"/>
      <c r="BR82" s="571"/>
      <c r="BS82" s="571"/>
      <c r="BT82" s="571"/>
      <c r="BU82" s="572"/>
      <c r="BV82" s="573"/>
      <c r="BW82" s="502"/>
      <c r="BX82" s="429"/>
      <c r="BY82" s="429"/>
      <c r="BZ82" s="429"/>
      <c r="CA82" s="429"/>
      <c r="CB82" s="430"/>
      <c r="CC82" s="502"/>
      <c r="CD82" s="429"/>
      <c r="CE82" s="429"/>
      <c r="CF82" s="429"/>
      <c r="CG82" s="429"/>
      <c r="CH82" s="430"/>
      <c r="CI82" s="503"/>
      <c r="CJ82" s="504"/>
      <c r="CK82" s="504"/>
      <c r="CL82" s="504"/>
      <c r="CM82" s="505"/>
      <c r="CN82" s="459"/>
      <c r="CO82" s="502"/>
      <c r="CP82" s="429"/>
      <c r="CQ82" s="429"/>
      <c r="CR82" s="429"/>
      <c r="CS82" s="429"/>
      <c r="CT82" s="430"/>
      <c r="CU82" s="502"/>
      <c r="CV82" s="429"/>
      <c r="CW82" s="429"/>
      <c r="CX82" s="429"/>
      <c r="CY82" s="429"/>
      <c r="CZ82" s="714"/>
      <c r="DA82" s="722"/>
      <c r="DB82" s="422"/>
      <c r="DC82" s="422"/>
      <c r="DD82" s="9">
        <f>SUM(DD81+DE81)</f>
        <v>206</v>
      </c>
      <c r="DE82" s="422"/>
      <c r="DF82" s="723"/>
      <c r="DG82" s="472"/>
      <c r="DH82" s="472"/>
      <c r="DI82" s="472"/>
      <c r="DJ82" s="472"/>
      <c r="DK82" s="472"/>
      <c r="DL82" s="472"/>
      <c r="DM82" s="699"/>
      <c r="DN82" s="429"/>
      <c r="DO82" s="429"/>
      <c r="DP82" s="429"/>
      <c r="DQ82" s="429"/>
      <c r="DR82" s="700"/>
      <c r="DS82" s="615"/>
      <c r="DT82" s="615"/>
      <c r="DU82" s="615"/>
      <c r="DV82" s="615"/>
      <c r="DW82" s="615"/>
      <c r="DX82" s="615"/>
      <c r="DY82" s="502"/>
      <c r="DZ82" s="429"/>
      <c r="EA82" s="429"/>
      <c r="EB82" s="634">
        <f>SUM(DY81+DZ81-EA81+EC81-ED81)</f>
        <v>596197978</v>
      </c>
      <c r="EC82" s="429"/>
      <c r="ED82" s="430"/>
      <c r="EE82" s="585"/>
      <c r="EF82" s="586"/>
      <c r="EG82" s="586"/>
      <c r="EH82" s="586"/>
      <c r="EI82" s="586"/>
      <c r="EJ82" s="430"/>
      <c r="EK82" s="687"/>
      <c r="EL82" s="615"/>
      <c r="EM82" s="615"/>
      <c r="EN82" s="615"/>
      <c r="EO82" s="615"/>
      <c r="EP82" s="615"/>
      <c r="EQ82" s="606"/>
      <c r="ER82" s="607"/>
      <c r="ES82" s="607"/>
      <c r="ET82" s="607"/>
      <c r="EU82" s="607"/>
      <c r="EV82" s="599"/>
      <c r="EW82" s="438" t="e">
        <f>SUM('общ.сводрайон без курсовой '!C82-#REF!-#REF!)</f>
        <v>#REF!</v>
      </c>
      <c r="EX82" s="438" t="e">
        <f>SUM('общ.сводрайон без курсовой '!D82-#REF!-#REF!)</f>
        <v>#REF!</v>
      </c>
      <c r="EY82" s="438" t="e">
        <f>SUM('общ.сводрайон без курсовой '!E82-#REF!-#REF!)</f>
        <v>#REF!</v>
      </c>
      <c r="EZ82" s="438" t="e">
        <f>SUM('общ.сводрайон без курсовой '!F82-#REF!-#REF!)</f>
        <v>#REF!</v>
      </c>
    </row>
    <row r="83" spans="1:156" s="439" customFormat="1" ht="18.95" customHeight="1">
      <c r="A83" s="506">
        <v>65</v>
      </c>
      <c r="B83" s="507" t="s">
        <v>22</v>
      </c>
      <c r="C83" s="425">
        <f>190840124+2268419</f>
        <v>193108543</v>
      </c>
      <c r="D83" s="428">
        <v>54558324</v>
      </c>
      <c r="E83" s="428">
        <v>31785571</v>
      </c>
      <c r="F83" s="428">
        <f>SUM(C83+D83-E83)</f>
        <v>215881296</v>
      </c>
      <c r="G83" s="428">
        <v>2171935</v>
      </c>
      <c r="H83" s="453"/>
      <c r="I83" s="425">
        <f>12922104+4006</f>
        <v>12926110</v>
      </c>
      <c r="J83" s="428">
        <v>1593276</v>
      </c>
      <c r="K83" s="428">
        <v>229679</v>
      </c>
      <c r="L83" s="428">
        <f>SUM(I83+J83-K83)</f>
        <v>14289707</v>
      </c>
      <c r="M83" s="508">
        <v>195.2</v>
      </c>
      <c r="N83" s="453"/>
      <c r="O83" s="425">
        <f>3631104-1024</f>
        <v>3630080</v>
      </c>
      <c r="P83" s="428">
        <v>272750</v>
      </c>
      <c r="Q83" s="428">
        <v>244123</v>
      </c>
      <c r="R83" s="428">
        <f>SUM(O83+P83-Q83)</f>
        <v>3658707</v>
      </c>
      <c r="S83" s="428"/>
      <c r="T83" s="453">
        <v>561</v>
      </c>
      <c r="U83" s="425"/>
      <c r="V83" s="428"/>
      <c r="W83" s="428"/>
      <c r="X83" s="428"/>
      <c r="Y83" s="428"/>
      <c r="Z83" s="453"/>
      <c r="AA83" s="425">
        <f>7868881.99+2321</f>
        <v>7871202.9900000002</v>
      </c>
      <c r="AB83" s="428">
        <v>530193.22</v>
      </c>
      <c r="AC83" s="428">
        <v>451301</v>
      </c>
      <c r="AD83" s="428">
        <f>SUM(AA83+AB83-AC83)</f>
        <v>7950095.2100000009</v>
      </c>
      <c r="AE83" s="428">
        <v>970</v>
      </c>
      <c r="AF83" s="453"/>
      <c r="AG83" s="425">
        <v>1369999</v>
      </c>
      <c r="AH83" s="428">
        <v>213485</v>
      </c>
      <c r="AI83" s="428">
        <v>38743</v>
      </c>
      <c r="AJ83" s="428">
        <f>SUM(AG83+AH83-AI83)</f>
        <v>1544741</v>
      </c>
      <c r="AK83" s="428"/>
      <c r="AL83" s="453"/>
      <c r="AM83" s="425">
        <f>1305509.18+20165.07</f>
        <v>1325674.25</v>
      </c>
      <c r="AN83" s="428">
        <v>2399675.7200000002</v>
      </c>
      <c r="AO83" s="529">
        <v>143233.79999999999</v>
      </c>
      <c r="AP83" s="428">
        <f>SUM(AM83+AN83-AO83)</f>
        <v>3582116.1700000004</v>
      </c>
      <c r="AQ83" s="428">
        <v>1449.79</v>
      </c>
      <c r="AR83" s="453"/>
      <c r="AS83" s="425">
        <v>0</v>
      </c>
      <c r="AT83" s="428">
        <v>0</v>
      </c>
      <c r="AU83" s="428">
        <v>0</v>
      </c>
      <c r="AV83" s="428">
        <f>SUM(AS83+AT83-AU83)</f>
        <v>0</v>
      </c>
      <c r="AW83" s="508">
        <v>0</v>
      </c>
      <c r="AX83" s="453">
        <v>0</v>
      </c>
      <c r="AY83" s="425">
        <f>2349112+3544</f>
        <v>2352656</v>
      </c>
      <c r="AZ83" s="428">
        <v>360510</v>
      </c>
      <c r="BA83" s="428">
        <v>574363</v>
      </c>
      <c r="BB83" s="428">
        <f>SUM(AY83+AZ83-BA83)</f>
        <v>2138803</v>
      </c>
      <c r="BC83" s="428">
        <v>1458</v>
      </c>
      <c r="BD83" s="453"/>
      <c r="BE83" s="425">
        <f>12242234-684171</f>
        <v>11558063</v>
      </c>
      <c r="BF83" s="428">
        <v>2349135</v>
      </c>
      <c r="BG83" s="428">
        <v>1094737</v>
      </c>
      <c r="BH83" s="428">
        <f>SUM(BE83+BF83-BG83)</f>
        <v>12812461</v>
      </c>
      <c r="BI83" s="21">
        <v>9352</v>
      </c>
      <c r="BJ83" s="625">
        <v>-4159</v>
      </c>
      <c r="BK83" s="425">
        <v>4213669.58</v>
      </c>
      <c r="BL83" s="428" t="e">
        <f>SUM(#REF!)</f>
        <v>#REF!</v>
      </c>
      <c r="BM83" s="428" t="e">
        <f>SUM(#REF!)</f>
        <v>#REF!</v>
      </c>
      <c r="BN83" s="428" t="e">
        <f>SUM(BK83+BL83-BM83)</f>
        <v>#REF!</v>
      </c>
      <c r="BO83" s="428" t="e">
        <f>SUM(#REF!)</f>
        <v>#REF!</v>
      </c>
      <c r="BP83" s="547" t="e">
        <f>SUM(#REF!)</f>
        <v>#REF!</v>
      </c>
      <c r="BQ83" s="741">
        <f t="shared" ref="BQ83:BV86" si="101">SUM(C83+I83+O83+AA83+AG83+AM83+AS83+U83+AY83+BK83+BE83)</f>
        <v>238355997.82000002</v>
      </c>
      <c r="BR83" s="741" t="e">
        <f t="shared" si="101"/>
        <v>#REF!</v>
      </c>
      <c r="BS83" s="741" t="e">
        <f t="shared" si="101"/>
        <v>#REF!</v>
      </c>
      <c r="BT83" s="741" t="e">
        <f t="shared" si="101"/>
        <v>#REF!</v>
      </c>
      <c r="BU83" s="562" t="e">
        <f t="shared" si="101"/>
        <v>#REF!</v>
      </c>
      <c r="BV83" s="676" t="e">
        <f t="shared" si="101"/>
        <v>#REF!</v>
      </c>
      <c r="BW83" s="425">
        <f>409729+1944</f>
        <v>411673</v>
      </c>
      <c r="BX83" s="428">
        <v>44378</v>
      </c>
      <c r="BY83" s="428">
        <v>119945</v>
      </c>
      <c r="BZ83" s="428">
        <f>SUM(BW83+BX83-BY83)</f>
        <v>336106</v>
      </c>
      <c r="CA83" s="429">
        <v>223</v>
      </c>
      <c r="CB83" s="430"/>
      <c r="CC83" s="425">
        <v>46700</v>
      </c>
      <c r="CD83" s="428">
        <v>0</v>
      </c>
      <c r="CE83" s="428">
        <v>0</v>
      </c>
      <c r="CF83" s="428">
        <f>SUM(CC83+CD83-CE83)</f>
        <v>46700</v>
      </c>
      <c r="CG83" s="428"/>
      <c r="CH83" s="453"/>
      <c r="CI83" s="436">
        <f>601657+640</f>
        <v>602297</v>
      </c>
      <c r="CJ83" s="428">
        <v>67992</v>
      </c>
      <c r="CK83" s="428">
        <v>103851</v>
      </c>
      <c r="CL83" s="428">
        <f>SUM(CI83+CJ83-CK83)</f>
        <v>566438</v>
      </c>
      <c r="CM83" s="454">
        <v>65</v>
      </c>
      <c r="CN83" s="460"/>
      <c r="CO83" s="425"/>
      <c r="CP83" s="428"/>
      <c r="CQ83" s="428"/>
      <c r="CR83" s="428">
        <f>SUM(CO83+CP83-CQ83)</f>
        <v>0</v>
      </c>
      <c r="CS83" s="428"/>
      <c r="CT83" s="453"/>
      <c r="CU83" s="425"/>
      <c r="CV83" s="428"/>
      <c r="CW83" s="428"/>
      <c r="CX83" s="428"/>
      <c r="CY83" s="428"/>
      <c r="CZ83" s="632"/>
      <c r="DA83" s="726">
        <f>230188+90</f>
        <v>230278</v>
      </c>
      <c r="DB83" s="9"/>
      <c r="DC83" s="9">
        <v>9755</v>
      </c>
      <c r="DD83" s="9">
        <f>SUM(DA83+DB83-DC83)</f>
        <v>220523</v>
      </c>
      <c r="DE83" s="9">
        <v>56</v>
      </c>
      <c r="DF83" s="727"/>
      <c r="DG83" s="472"/>
      <c r="DH83" s="472"/>
      <c r="DI83" s="472"/>
      <c r="DJ83" s="472"/>
      <c r="DK83" s="472"/>
      <c r="DL83" s="472"/>
      <c r="DM83" s="703">
        <v>700040</v>
      </c>
      <c r="DN83" s="428">
        <v>247950</v>
      </c>
      <c r="DO83" s="428">
        <v>362447</v>
      </c>
      <c r="DP83" s="428">
        <f>SUM(DM83+DN83-DO83)</f>
        <v>585543</v>
      </c>
      <c r="DQ83" s="428"/>
      <c r="DR83" s="704"/>
      <c r="DS83" s="617"/>
      <c r="DT83" s="617"/>
      <c r="DU83" s="617"/>
      <c r="DV83" s="617"/>
      <c r="DW83" s="617"/>
      <c r="DX83" s="617"/>
      <c r="DY83" s="672">
        <v>5374589</v>
      </c>
      <c r="DZ83" s="671"/>
      <c r="EA83" s="671"/>
      <c r="EB83" s="428">
        <f>SUM(DY83+DZ83-EA83)</f>
        <v>5374589</v>
      </c>
      <c r="EC83" s="428">
        <v>2513</v>
      </c>
      <c r="ED83" s="453"/>
      <c r="EE83" s="587"/>
      <c r="EF83" s="437"/>
      <c r="EG83" s="437"/>
      <c r="EH83" s="437"/>
      <c r="EI83" s="437"/>
      <c r="EJ83" s="453"/>
      <c r="EK83" s="688">
        <f t="shared" ref="EK83:EP86" si="102">SUM(BW83+CC83+CI83+CO83+CU83+DA83+DG83+DM83+DS83+DY83+EE83)</f>
        <v>7365577</v>
      </c>
      <c r="EL83" s="688">
        <f t="shared" si="102"/>
        <v>360320</v>
      </c>
      <c r="EM83" s="688">
        <f t="shared" si="102"/>
        <v>595998</v>
      </c>
      <c r="EN83" s="688">
        <f t="shared" si="102"/>
        <v>7129899</v>
      </c>
      <c r="EO83" s="688">
        <f t="shared" si="102"/>
        <v>2857</v>
      </c>
      <c r="EP83" s="687">
        <f t="shared" si="102"/>
        <v>0</v>
      </c>
      <c r="EQ83" s="739">
        <f t="shared" ref="EQ83:EV86" si="103">SUM(EK83+BQ83)</f>
        <v>245721574.82000002</v>
      </c>
      <c r="ER83" s="739" t="e">
        <f t="shared" si="103"/>
        <v>#REF!</v>
      </c>
      <c r="ES83" s="739" t="e">
        <f t="shared" si="103"/>
        <v>#REF!</v>
      </c>
      <c r="ET83" s="739" t="e">
        <f t="shared" si="103"/>
        <v>#REF!</v>
      </c>
      <c r="EU83" s="739" t="e">
        <f t="shared" si="103"/>
        <v>#REF!</v>
      </c>
      <c r="EV83" s="740" t="e">
        <f t="shared" si="103"/>
        <v>#REF!</v>
      </c>
      <c r="EW83" s="438" t="e">
        <f>SUM('общ.сводрайон без курсовой '!C83-#REF!-#REF!)</f>
        <v>#REF!</v>
      </c>
      <c r="EX83" s="438" t="e">
        <f>SUM('общ.сводрайон без курсовой '!D83-#REF!-#REF!)</f>
        <v>#REF!</v>
      </c>
      <c r="EY83" s="438" t="e">
        <f>SUM('общ.сводрайон без курсовой '!E83-#REF!-#REF!)</f>
        <v>#REF!</v>
      </c>
      <c r="EZ83" s="438" t="e">
        <f>SUM('общ.сводрайон без курсовой '!F83-#REF!-#REF!)</f>
        <v>#REF!</v>
      </c>
    </row>
    <row r="84" spans="1:156" s="439" customFormat="1" ht="18.95" customHeight="1">
      <c r="A84" s="506">
        <v>66</v>
      </c>
      <c r="B84" s="507" t="s">
        <v>23</v>
      </c>
      <c r="C84" s="425">
        <f>4950533+12183</f>
        <v>4962716</v>
      </c>
      <c r="D84" s="428">
        <v>282834</v>
      </c>
      <c r="E84" s="428">
        <v>398995</v>
      </c>
      <c r="F84" s="428">
        <f>SUM(C84+D84-E84)</f>
        <v>4846555</v>
      </c>
      <c r="G84" s="428">
        <v>5047</v>
      </c>
      <c r="H84" s="453"/>
      <c r="I84" s="425">
        <f>366538215+1277246</f>
        <v>367815461</v>
      </c>
      <c r="J84" s="428">
        <v>30140900.5</v>
      </c>
      <c r="K84" s="428">
        <v>23395446</v>
      </c>
      <c r="L84" s="428">
        <f>SUM(I84+J84-K84)</f>
        <v>374560915.5</v>
      </c>
      <c r="M84" s="508">
        <v>201824.4</v>
      </c>
      <c r="N84" s="453"/>
      <c r="O84" s="425">
        <f>5197800+11929</f>
        <v>5209729</v>
      </c>
      <c r="P84" s="428">
        <v>240628</v>
      </c>
      <c r="Q84" s="428">
        <v>586311</v>
      </c>
      <c r="R84" s="428">
        <f>SUM(O84+P84-Q84)</f>
        <v>4864046</v>
      </c>
      <c r="S84" s="428">
        <v>1329</v>
      </c>
      <c r="T84" s="453"/>
      <c r="U84" s="425"/>
      <c r="V84" s="428"/>
      <c r="W84" s="428"/>
      <c r="X84" s="428"/>
      <c r="Y84" s="428"/>
      <c r="Z84" s="453"/>
      <c r="AA84" s="425">
        <f>8153800.44+6539</f>
        <v>8160339.4400000004</v>
      </c>
      <c r="AB84" s="428">
        <v>75914.210000000006</v>
      </c>
      <c r="AC84" s="428">
        <v>184416</v>
      </c>
      <c r="AD84" s="428">
        <f>SUM(AA84+AB84-AC84)</f>
        <v>8051837.6500000004</v>
      </c>
      <c r="AE84" s="428">
        <v>325</v>
      </c>
      <c r="AF84" s="453"/>
      <c r="AG84" s="425">
        <v>1410634</v>
      </c>
      <c r="AH84" s="428">
        <v>140048</v>
      </c>
      <c r="AI84" s="428">
        <v>377567</v>
      </c>
      <c r="AJ84" s="428">
        <f>SUM(AG84+AH84-AI84)</f>
        <v>1173115</v>
      </c>
      <c r="AK84" s="428"/>
      <c r="AL84" s="453"/>
      <c r="AM84" s="425">
        <f>5856615.53+31839.35</f>
        <v>5888454.8799999999</v>
      </c>
      <c r="AN84" s="428">
        <v>793831.52</v>
      </c>
      <c r="AO84" s="428">
        <v>2897209.07</v>
      </c>
      <c r="AP84" s="428">
        <f>SUM(AM84+AN84-AO84)</f>
        <v>3785077.3300000005</v>
      </c>
      <c r="AQ84" s="428">
        <v>2111.19</v>
      </c>
      <c r="AR84" s="453"/>
      <c r="AS84" s="425">
        <v>578455</v>
      </c>
      <c r="AT84" s="428">
        <v>0</v>
      </c>
      <c r="AU84" s="428">
        <v>76261</v>
      </c>
      <c r="AV84" s="428">
        <f>SUM(AS84+AT84-AU84)</f>
        <v>502194</v>
      </c>
      <c r="AW84" s="508">
        <v>0</v>
      </c>
      <c r="AX84" s="453">
        <v>0</v>
      </c>
      <c r="AY84" s="425">
        <f>637223+932</f>
        <v>638155</v>
      </c>
      <c r="AZ84" s="428">
        <v>107484</v>
      </c>
      <c r="BA84" s="428">
        <v>132179</v>
      </c>
      <c r="BB84" s="428">
        <f>SUM(AY84+AZ84-BA84)</f>
        <v>613460</v>
      </c>
      <c r="BC84" s="428">
        <v>386</v>
      </c>
      <c r="BD84" s="453"/>
      <c r="BE84" s="425">
        <f>2149132-248570</f>
        <v>1900562</v>
      </c>
      <c r="BF84" s="428">
        <v>37104</v>
      </c>
      <c r="BG84" s="428">
        <v>344484</v>
      </c>
      <c r="BH84" s="428">
        <f>SUM(BE84+BF84-BG84)</f>
        <v>1593182</v>
      </c>
      <c r="BI84" s="83">
        <v>7941</v>
      </c>
      <c r="BJ84" s="626">
        <v>-3845</v>
      </c>
      <c r="BK84" s="425">
        <v>35816992.129999995</v>
      </c>
      <c r="BL84" s="428" t="e">
        <f>SUM(#REF!)</f>
        <v>#REF!</v>
      </c>
      <c r="BM84" s="428" t="e">
        <f>SUM(#REF!)</f>
        <v>#REF!</v>
      </c>
      <c r="BN84" s="428" t="e">
        <f>SUM(BK84+BL84-BM84)</f>
        <v>#REF!</v>
      </c>
      <c r="BO84" s="428" t="e">
        <f>SUM(#REF!)</f>
        <v>#REF!</v>
      </c>
      <c r="BP84" s="547" t="e">
        <f>SUM(#REF!)</f>
        <v>#REF!</v>
      </c>
      <c r="BQ84" s="741">
        <f t="shared" si="101"/>
        <v>432381498.44999999</v>
      </c>
      <c r="BR84" s="741" t="e">
        <f t="shared" si="101"/>
        <v>#REF!</v>
      </c>
      <c r="BS84" s="741" t="e">
        <f t="shared" si="101"/>
        <v>#REF!</v>
      </c>
      <c r="BT84" s="741" t="e">
        <f t="shared" si="101"/>
        <v>#REF!</v>
      </c>
      <c r="BU84" s="562" t="e">
        <f t="shared" si="101"/>
        <v>#REF!</v>
      </c>
      <c r="BV84" s="676" t="e">
        <f t="shared" si="101"/>
        <v>#REF!</v>
      </c>
      <c r="BW84" s="425">
        <f>217773+1530</f>
        <v>219303</v>
      </c>
      <c r="BX84" s="428"/>
      <c r="BY84" s="428"/>
      <c r="BZ84" s="428">
        <f>SUM(BW84+BX84-BY84)</f>
        <v>219303</v>
      </c>
      <c r="CA84" s="429">
        <v>203</v>
      </c>
      <c r="CB84" s="430"/>
      <c r="CC84" s="425"/>
      <c r="CD84" s="428"/>
      <c r="CE84" s="428"/>
      <c r="CF84" s="428"/>
      <c r="CG84" s="428"/>
      <c r="CH84" s="453"/>
      <c r="CI84" s="436">
        <f>254320+379</f>
        <v>254699</v>
      </c>
      <c r="CJ84" s="428">
        <v>242731</v>
      </c>
      <c r="CK84" s="428">
        <v>243771</v>
      </c>
      <c r="CL84" s="428">
        <f>SUM(CI84+CJ84-CK84)</f>
        <v>253659</v>
      </c>
      <c r="CM84" s="454">
        <v>48</v>
      </c>
      <c r="CN84" s="460"/>
      <c r="CO84" s="425"/>
      <c r="CP84" s="428"/>
      <c r="CQ84" s="428"/>
      <c r="CR84" s="428">
        <f>SUM(CO84+CP84-CQ84)</f>
        <v>0</v>
      </c>
      <c r="CS84" s="428"/>
      <c r="CT84" s="453"/>
      <c r="CU84" s="425"/>
      <c r="CV84" s="428"/>
      <c r="CW84" s="428"/>
      <c r="CX84" s="428"/>
      <c r="CY84" s="428"/>
      <c r="CZ84" s="632"/>
      <c r="DA84" s="726">
        <f>1247564+180</f>
        <v>1247744</v>
      </c>
      <c r="DB84" s="9"/>
      <c r="DC84" s="423">
        <v>200</v>
      </c>
      <c r="DD84" s="9">
        <f>SUM(DA84+DB84-DC84)</f>
        <v>1247544</v>
      </c>
      <c r="DE84" s="9">
        <v>162</v>
      </c>
      <c r="DF84" s="727"/>
      <c r="DG84" s="472"/>
      <c r="DH84" s="472"/>
      <c r="DI84" s="472"/>
      <c r="DJ84" s="472"/>
      <c r="DK84" s="472"/>
      <c r="DL84" s="472"/>
      <c r="DM84" s="703">
        <v>66248</v>
      </c>
      <c r="DN84" s="428"/>
      <c r="DO84" s="428">
        <v>35000</v>
      </c>
      <c r="DP84" s="428">
        <f>SUM(DM84+DN84-DO84)</f>
        <v>31248</v>
      </c>
      <c r="DQ84" s="428"/>
      <c r="DR84" s="704"/>
      <c r="DS84" s="617"/>
      <c r="DT84" s="617"/>
      <c r="DU84" s="617"/>
      <c r="DV84" s="617"/>
      <c r="DW84" s="617"/>
      <c r="DX84" s="617"/>
      <c r="DY84" s="672">
        <v>407491291</v>
      </c>
      <c r="DZ84" s="671">
        <f>334232</f>
        <v>334232</v>
      </c>
      <c r="EA84" s="671">
        <v>34559</v>
      </c>
      <c r="EB84" s="428">
        <f>SUM(DY84+DZ84-EA84)</f>
        <v>407790964</v>
      </c>
      <c r="EC84" s="428">
        <v>131131</v>
      </c>
      <c r="ED84" s="453"/>
      <c r="EE84" s="587"/>
      <c r="EF84" s="437"/>
      <c r="EG84" s="437"/>
      <c r="EH84" s="437"/>
      <c r="EI84" s="437"/>
      <c r="EJ84" s="453"/>
      <c r="EK84" s="688">
        <f t="shared" si="102"/>
        <v>409279285</v>
      </c>
      <c r="EL84" s="688">
        <f t="shared" si="102"/>
        <v>576963</v>
      </c>
      <c r="EM84" s="688">
        <f t="shared" si="102"/>
        <v>313530</v>
      </c>
      <c r="EN84" s="688">
        <f t="shared" si="102"/>
        <v>409542718</v>
      </c>
      <c r="EO84" s="688">
        <f t="shared" si="102"/>
        <v>131544</v>
      </c>
      <c r="EP84" s="687">
        <f t="shared" si="102"/>
        <v>0</v>
      </c>
      <c r="EQ84" s="739">
        <f t="shared" si="103"/>
        <v>841660783.45000005</v>
      </c>
      <c r="ER84" s="739" t="e">
        <f t="shared" si="103"/>
        <v>#REF!</v>
      </c>
      <c r="ES84" s="739" t="e">
        <f t="shared" si="103"/>
        <v>#REF!</v>
      </c>
      <c r="ET84" s="739" t="e">
        <f t="shared" si="103"/>
        <v>#REF!</v>
      </c>
      <c r="EU84" s="739" t="e">
        <f t="shared" si="103"/>
        <v>#REF!</v>
      </c>
      <c r="EV84" s="740" t="e">
        <f t="shared" si="103"/>
        <v>#REF!</v>
      </c>
      <c r="EW84" s="438" t="e">
        <f>SUM('общ.сводрайон без курсовой '!C84-#REF!-#REF!)</f>
        <v>#REF!</v>
      </c>
      <c r="EX84" s="438" t="e">
        <f>SUM('общ.сводрайон без курсовой '!D84-#REF!-#REF!)</f>
        <v>#REF!</v>
      </c>
      <c r="EY84" s="438" t="e">
        <f>SUM('общ.сводрайон без курсовой '!E84-#REF!-#REF!)</f>
        <v>#REF!</v>
      </c>
      <c r="EZ84" s="438" t="e">
        <f>SUM('общ.сводрайон без курсовой '!F84-#REF!-#REF!)</f>
        <v>#REF!</v>
      </c>
    </row>
    <row r="85" spans="1:156" s="439" customFormat="1" ht="18.95" customHeight="1">
      <c r="A85" s="506">
        <f>A84+1</f>
        <v>67</v>
      </c>
      <c r="B85" s="507" t="s">
        <v>24</v>
      </c>
      <c r="C85" s="425">
        <f>9756454+19517</f>
        <v>9775971</v>
      </c>
      <c r="D85" s="428">
        <v>1169607</v>
      </c>
      <c r="E85" s="428">
        <v>934340</v>
      </c>
      <c r="F85" s="428">
        <f>SUM(C85+D85-E85)</f>
        <v>10011238</v>
      </c>
      <c r="G85" s="428">
        <v>8078</v>
      </c>
      <c r="H85" s="453"/>
      <c r="I85" s="425">
        <v>0</v>
      </c>
      <c r="J85" s="428"/>
      <c r="K85" s="428"/>
      <c r="L85" s="428">
        <f>SUM(I85+J85-K85)</f>
        <v>0</v>
      </c>
      <c r="M85" s="508"/>
      <c r="N85" s="453"/>
      <c r="O85" s="425">
        <f>1961174+2919</f>
        <v>1964093</v>
      </c>
      <c r="P85" s="428">
        <v>99475</v>
      </c>
      <c r="Q85" s="428">
        <v>23500</v>
      </c>
      <c r="R85" s="428">
        <f>SUM(O85+P85-Q85)</f>
        <v>2040068</v>
      </c>
      <c r="S85" s="428"/>
      <c r="T85" s="453">
        <v>149</v>
      </c>
      <c r="U85" s="425">
        <f>4227603+22685</f>
        <v>4250288</v>
      </c>
      <c r="V85" s="428">
        <v>521937.78</v>
      </c>
      <c r="W85" s="428">
        <v>239318.11</v>
      </c>
      <c r="X85" s="428">
        <f>SUM(U85+V85-W85)</f>
        <v>4532907.67</v>
      </c>
      <c r="Y85" s="428">
        <v>1017</v>
      </c>
      <c r="Z85" s="453"/>
      <c r="AA85" s="425">
        <f>5263665.58+3010</f>
        <v>5266675.58</v>
      </c>
      <c r="AB85" s="428">
        <v>302843.58</v>
      </c>
      <c r="AC85" s="508">
        <v>162762.45000000001</v>
      </c>
      <c r="AD85" s="428">
        <f>SUM(AA85+AB85-AC85)</f>
        <v>5406756.71</v>
      </c>
      <c r="AE85" s="428">
        <v>961</v>
      </c>
      <c r="AF85" s="453"/>
      <c r="AG85" s="425">
        <v>7839238</v>
      </c>
      <c r="AH85" s="428">
        <v>763454</v>
      </c>
      <c r="AI85" s="428">
        <v>1315474</v>
      </c>
      <c r="AJ85" s="428">
        <f>SUM(AG85+AH85-AI85)</f>
        <v>7287218</v>
      </c>
      <c r="AK85" s="428"/>
      <c r="AL85" s="453"/>
      <c r="AM85" s="538">
        <f>6511007.38+55365.1</f>
        <v>6566372.4799999995</v>
      </c>
      <c r="AN85" s="529">
        <v>2359941.81</v>
      </c>
      <c r="AO85" s="529">
        <v>808801.03</v>
      </c>
      <c r="AP85" s="428">
        <f>SUM(AM85+AN85-AO85)</f>
        <v>8117513.2599999988</v>
      </c>
      <c r="AQ85" s="428">
        <v>4564.62</v>
      </c>
      <c r="AR85" s="453"/>
      <c r="AS85" s="425">
        <v>0</v>
      </c>
      <c r="AT85" s="428">
        <v>0</v>
      </c>
      <c r="AU85" s="428">
        <v>0</v>
      </c>
      <c r="AV85" s="428">
        <f>SUM(AS85+AT85-AU85)</f>
        <v>0</v>
      </c>
      <c r="AW85" s="508">
        <v>0</v>
      </c>
      <c r="AX85" s="453">
        <v>0</v>
      </c>
      <c r="AY85" s="425">
        <f>1168147+1675</f>
        <v>1169822</v>
      </c>
      <c r="AZ85" s="428">
        <v>72620</v>
      </c>
      <c r="BA85" s="428">
        <v>303404</v>
      </c>
      <c r="BB85" s="428">
        <f>SUM(AY85+AZ85-BA85)</f>
        <v>939038</v>
      </c>
      <c r="BC85" s="428">
        <v>812</v>
      </c>
      <c r="BD85" s="453"/>
      <c r="BE85" s="425">
        <f>4183419+2599505</f>
        <v>6782924</v>
      </c>
      <c r="BF85" s="428">
        <v>637787</v>
      </c>
      <c r="BG85" s="428">
        <v>381114</v>
      </c>
      <c r="BH85" s="428">
        <f>SUM(BE85+BF85-BG85)</f>
        <v>7039597</v>
      </c>
      <c r="BI85" s="83">
        <v>8166</v>
      </c>
      <c r="BJ85" s="626">
        <v>-3460</v>
      </c>
      <c r="BK85" s="425">
        <v>8578667.2400000002</v>
      </c>
      <c r="BL85" s="428" t="e">
        <f>SUM(#REF!)</f>
        <v>#REF!</v>
      </c>
      <c r="BM85" s="428" t="e">
        <f>SUM(#REF!)</f>
        <v>#REF!</v>
      </c>
      <c r="BN85" s="428" t="e">
        <f>SUM(BK85+BL85-BM85)</f>
        <v>#REF!</v>
      </c>
      <c r="BO85" s="428" t="e">
        <f>SUM(#REF!)</f>
        <v>#REF!</v>
      </c>
      <c r="BP85" s="547" t="e">
        <f>SUM(#REF!)</f>
        <v>#REF!</v>
      </c>
      <c r="BQ85" s="741">
        <f t="shared" si="101"/>
        <v>52194051.300000004</v>
      </c>
      <c r="BR85" s="741" t="e">
        <f t="shared" si="101"/>
        <v>#REF!</v>
      </c>
      <c r="BS85" s="741" t="e">
        <f t="shared" si="101"/>
        <v>#REF!</v>
      </c>
      <c r="BT85" s="741" t="e">
        <f t="shared" si="101"/>
        <v>#REF!</v>
      </c>
      <c r="BU85" s="562" t="e">
        <f t="shared" si="101"/>
        <v>#REF!</v>
      </c>
      <c r="BV85" s="676" t="e">
        <f t="shared" si="101"/>
        <v>#REF!</v>
      </c>
      <c r="BW85" s="425">
        <f>41862+474</f>
        <v>42336</v>
      </c>
      <c r="BX85" s="428">
        <v>3500</v>
      </c>
      <c r="BY85" s="428"/>
      <c r="BZ85" s="428">
        <f>SUM(BW85+BX85-BY85)</f>
        <v>45836</v>
      </c>
      <c r="CA85" s="429">
        <v>39</v>
      </c>
      <c r="CB85" s="430"/>
      <c r="CC85" s="425"/>
      <c r="CD85" s="428"/>
      <c r="CE85" s="428"/>
      <c r="CF85" s="428"/>
      <c r="CG85" s="428"/>
      <c r="CH85" s="453"/>
      <c r="CI85" s="436">
        <f>327807+430</f>
        <v>328237</v>
      </c>
      <c r="CJ85" s="428">
        <v>69542</v>
      </c>
      <c r="CK85" s="428">
        <v>3483</v>
      </c>
      <c r="CL85" s="428">
        <v>394296</v>
      </c>
      <c r="CM85" s="454">
        <v>96</v>
      </c>
      <c r="CN85" s="460"/>
      <c r="CO85" s="425"/>
      <c r="CP85" s="428"/>
      <c r="CQ85" s="428"/>
      <c r="CR85" s="428">
        <f>SUM(CO85+CP85-CQ85)</f>
        <v>0</v>
      </c>
      <c r="CS85" s="428"/>
      <c r="CT85" s="453"/>
      <c r="CU85" s="425"/>
      <c r="CV85" s="428"/>
      <c r="CW85" s="428"/>
      <c r="CX85" s="428"/>
      <c r="CY85" s="428"/>
      <c r="CZ85" s="632"/>
      <c r="DA85" s="726">
        <f>86372+60</f>
        <v>86432</v>
      </c>
      <c r="DB85" s="9"/>
      <c r="DC85" s="9">
        <v>807</v>
      </c>
      <c r="DD85" s="9">
        <f>SUM(DA85+DB85-DC85)</f>
        <v>85625</v>
      </c>
      <c r="DE85" s="9">
        <v>24</v>
      </c>
      <c r="DF85" s="727"/>
      <c r="DG85" s="472"/>
      <c r="DH85" s="472"/>
      <c r="DI85" s="472"/>
      <c r="DJ85" s="472"/>
      <c r="DK85" s="472"/>
      <c r="DL85" s="472"/>
      <c r="DM85" s="703">
        <v>0</v>
      </c>
      <c r="DN85" s="428"/>
      <c r="DO85" s="428"/>
      <c r="DP85" s="428">
        <f>SUM(DM85+DN85-DO85)</f>
        <v>0</v>
      </c>
      <c r="DQ85" s="428"/>
      <c r="DR85" s="704"/>
      <c r="DS85" s="617"/>
      <c r="DT85" s="617"/>
      <c r="DU85" s="617"/>
      <c r="DV85" s="617"/>
      <c r="DW85" s="617"/>
      <c r="DX85" s="617"/>
      <c r="DY85" s="672">
        <v>2130419</v>
      </c>
      <c r="DZ85" s="671"/>
      <c r="EA85" s="671">
        <v>28464</v>
      </c>
      <c r="EB85" s="428">
        <f>SUM(DY85+DZ85-EA85)</f>
        <v>2101955</v>
      </c>
      <c r="EC85" s="428">
        <v>1081</v>
      </c>
      <c r="ED85" s="453"/>
      <c r="EE85" s="587"/>
      <c r="EF85" s="437"/>
      <c r="EG85" s="437"/>
      <c r="EH85" s="437"/>
      <c r="EI85" s="437"/>
      <c r="EJ85" s="453"/>
      <c r="EK85" s="688">
        <f t="shared" si="102"/>
        <v>2587424</v>
      </c>
      <c r="EL85" s="688">
        <f t="shared" si="102"/>
        <v>73042</v>
      </c>
      <c r="EM85" s="688">
        <f t="shared" si="102"/>
        <v>32754</v>
      </c>
      <c r="EN85" s="688">
        <f t="shared" si="102"/>
        <v>2627712</v>
      </c>
      <c r="EO85" s="688">
        <f t="shared" si="102"/>
        <v>1240</v>
      </c>
      <c r="EP85" s="687">
        <f t="shared" si="102"/>
        <v>0</v>
      </c>
      <c r="EQ85" s="739">
        <f t="shared" si="103"/>
        <v>54781475.300000004</v>
      </c>
      <c r="ER85" s="739" t="e">
        <f t="shared" si="103"/>
        <v>#REF!</v>
      </c>
      <c r="ES85" s="739" t="e">
        <f t="shared" si="103"/>
        <v>#REF!</v>
      </c>
      <c r="ET85" s="739" t="e">
        <f t="shared" si="103"/>
        <v>#REF!</v>
      </c>
      <c r="EU85" s="739" t="e">
        <f t="shared" si="103"/>
        <v>#REF!</v>
      </c>
      <c r="EV85" s="740" t="e">
        <f t="shared" si="103"/>
        <v>#REF!</v>
      </c>
      <c r="EW85" s="438" t="e">
        <f>SUM('общ.сводрайон без курсовой '!C85-#REF!-#REF!)</f>
        <v>#REF!</v>
      </c>
      <c r="EX85" s="438" t="e">
        <f>SUM('общ.сводрайон без курсовой '!D85-#REF!-#REF!)</f>
        <v>#REF!</v>
      </c>
      <c r="EY85" s="438" t="e">
        <f>SUM('общ.сводрайон без курсовой '!E85-#REF!-#REF!)</f>
        <v>#REF!</v>
      </c>
      <c r="EZ85" s="438" t="e">
        <f>SUM('общ.сводрайон без курсовой '!F85-#REF!-#REF!)</f>
        <v>#REF!</v>
      </c>
    </row>
    <row r="86" spans="1:156" s="439" customFormat="1" ht="18.95" customHeight="1">
      <c r="A86" s="509">
        <f>A85+1</f>
        <v>68</v>
      </c>
      <c r="B86" s="510" t="s">
        <v>25</v>
      </c>
      <c r="C86" s="425">
        <f>4457610+14048</f>
        <v>4471658</v>
      </c>
      <c r="D86" s="428">
        <v>501744</v>
      </c>
      <c r="E86" s="428">
        <v>442015</v>
      </c>
      <c r="F86" s="428">
        <f>SUM(C86+D86-E86)</f>
        <v>4531387</v>
      </c>
      <c r="G86" s="428">
        <v>72820</v>
      </c>
      <c r="H86" s="453"/>
      <c r="I86" s="425">
        <f>4465978+9543</f>
        <v>4475521</v>
      </c>
      <c r="J86" s="428">
        <v>650285</v>
      </c>
      <c r="K86" s="428">
        <v>488604</v>
      </c>
      <c r="L86" s="428">
        <f>SUM(I86+J86-K86)</f>
        <v>4637202</v>
      </c>
      <c r="M86" s="508">
        <v>257</v>
      </c>
      <c r="N86" s="453"/>
      <c r="O86" s="425">
        <f>19464151+44779</f>
        <v>19508930</v>
      </c>
      <c r="P86" s="428">
        <v>1271671</v>
      </c>
      <c r="Q86" s="428">
        <v>1019751</v>
      </c>
      <c r="R86" s="428">
        <f>SUM(O86+P86-Q86)</f>
        <v>19760850</v>
      </c>
      <c r="S86" s="428">
        <v>4255</v>
      </c>
      <c r="T86" s="453"/>
      <c r="U86" s="425">
        <f>188355543+1282382</f>
        <v>189637925</v>
      </c>
      <c r="V86" s="428">
        <v>44455497.539999999</v>
      </c>
      <c r="W86" s="428">
        <v>26101454.170000002</v>
      </c>
      <c r="X86" s="428">
        <f>SUM(U86+V86-W86)</f>
        <v>207991968.37</v>
      </c>
      <c r="Y86" s="428">
        <v>141338.25</v>
      </c>
      <c r="Z86" s="453"/>
      <c r="AA86" s="654">
        <f>6717130.55+5281</f>
        <v>6722411.5499999998</v>
      </c>
      <c r="AB86" s="428">
        <v>66406.28</v>
      </c>
      <c r="AC86" s="428">
        <v>276789.09000000003</v>
      </c>
      <c r="AD86" s="428">
        <f>SUM(AA86+AB86-AC86)</f>
        <v>6512028.7400000002</v>
      </c>
      <c r="AE86" s="428">
        <v>904</v>
      </c>
      <c r="AF86" s="453"/>
      <c r="AG86" s="425">
        <v>780699</v>
      </c>
      <c r="AH86" s="428">
        <v>99710</v>
      </c>
      <c r="AI86" s="428">
        <v>63075</v>
      </c>
      <c r="AJ86" s="428">
        <f>SUM(AG86+AH86-AI86)</f>
        <v>817334</v>
      </c>
      <c r="AK86" s="428"/>
      <c r="AL86" s="453"/>
      <c r="AM86" s="425">
        <f>3096207.56+18615.67</f>
        <v>3114823.23</v>
      </c>
      <c r="AN86" s="428">
        <v>161431.79999999999</v>
      </c>
      <c r="AO86" s="428">
        <v>391042.55</v>
      </c>
      <c r="AP86" s="428">
        <f>SUM(AM86+AN86-AO86)</f>
        <v>2885212.48</v>
      </c>
      <c r="AQ86" s="428">
        <v>1221.95</v>
      </c>
      <c r="AR86" s="453"/>
      <c r="AS86" s="425">
        <v>2129350</v>
      </c>
      <c r="AT86" s="428">
        <v>0</v>
      </c>
      <c r="AU86" s="428">
        <v>0</v>
      </c>
      <c r="AV86" s="428">
        <f>SUM(AS86+AT86-AU86)</f>
        <v>2129350</v>
      </c>
      <c r="AW86" s="508">
        <v>0</v>
      </c>
      <c r="AX86" s="453">
        <v>0</v>
      </c>
      <c r="AY86" s="425">
        <f>450772+700</f>
        <v>451472</v>
      </c>
      <c r="AZ86" s="428">
        <v>0</v>
      </c>
      <c r="BA86" s="428">
        <v>97142</v>
      </c>
      <c r="BB86" s="428">
        <f>SUM(AY86+AZ86-BA86)</f>
        <v>354330</v>
      </c>
      <c r="BC86" s="428">
        <v>335</v>
      </c>
      <c r="BD86" s="453"/>
      <c r="BE86" s="425">
        <f>3364142+132167</f>
        <v>3496309</v>
      </c>
      <c r="BF86" s="428">
        <v>1386914</v>
      </c>
      <c r="BG86" s="428">
        <v>584638</v>
      </c>
      <c r="BH86" s="428">
        <f>SUM(BE86+BF86-BG86)</f>
        <v>4298585</v>
      </c>
      <c r="BI86" s="83">
        <v>4650</v>
      </c>
      <c r="BJ86" s="626">
        <v>-3694</v>
      </c>
      <c r="BK86" s="425">
        <v>95277748.579999998</v>
      </c>
      <c r="BL86" s="428" t="e">
        <f>SUM(#REF!)</f>
        <v>#REF!</v>
      </c>
      <c r="BM86" s="428" t="e">
        <f>SUM(#REF!)</f>
        <v>#REF!</v>
      </c>
      <c r="BN86" s="428" t="e">
        <f>SUM(BK86+BL86-BM86)</f>
        <v>#REF!</v>
      </c>
      <c r="BO86" s="428" t="e">
        <f>SUM(#REF!)</f>
        <v>#REF!</v>
      </c>
      <c r="BP86" s="547" t="e">
        <f>SUM(#REF!)</f>
        <v>#REF!</v>
      </c>
      <c r="BQ86" s="741">
        <f t="shared" si="101"/>
        <v>330066847.36000001</v>
      </c>
      <c r="BR86" s="741" t="e">
        <f t="shared" si="101"/>
        <v>#REF!</v>
      </c>
      <c r="BS86" s="741" t="e">
        <f t="shared" si="101"/>
        <v>#REF!</v>
      </c>
      <c r="BT86" s="741" t="e">
        <f t="shared" si="101"/>
        <v>#REF!</v>
      </c>
      <c r="BU86" s="562" t="e">
        <f t="shared" si="101"/>
        <v>#REF!</v>
      </c>
      <c r="BV86" s="676" t="e">
        <f t="shared" si="101"/>
        <v>#REF!</v>
      </c>
      <c r="BW86" s="425">
        <f>628700+1259</f>
        <v>629959</v>
      </c>
      <c r="BX86" s="428">
        <v>140600</v>
      </c>
      <c r="BY86" s="428">
        <v>33468</v>
      </c>
      <c r="BZ86" s="428">
        <f>SUM(BW86+BX86-BY86)</f>
        <v>737091</v>
      </c>
      <c r="CA86" s="429">
        <v>522</v>
      </c>
      <c r="CB86" s="430"/>
      <c r="CC86" s="425">
        <v>38650</v>
      </c>
      <c r="CD86" s="428">
        <v>0</v>
      </c>
      <c r="CE86" s="428"/>
      <c r="CF86" s="428">
        <f>SUM(CC86+CD86-CE86)</f>
        <v>38650</v>
      </c>
      <c r="CG86" s="428"/>
      <c r="CH86" s="453"/>
      <c r="CI86" s="469">
        <f>528275+1164</f>
        <v>529439</v>
      </c>
      <c r="CJ86" s="470">
        <v>3000</v>
      </c>
      <c r="CK86" s="470">
        <v>24680</v>
      </c>
      <c r="CL86" s="428">
        <f>SUM(CI86+CJ86-CK86)</f>
        <v>507759</v>
      </c>
      <c r="CM86" s="471">
        <v>320</v>
      </c>
      <c r="CN86" s="460"/>
      <c r="CO86" s="425"/>
      <c r="CP86" s="428"/>
      <c r="CQ86" s="428"/>
      <c r="CR86" s="428">
        <f>SUM(CO86+CP86-CQ86)</f>
        <v>0</v>
      </c>
      <c r="CS86" s="428"/>
      <c r="CT86" s="453"/>
      <c r="CU86" s="425"/>
      <c r="CV86" s="428"/>
      <c r="CW86" s="428"/>
      <c r="CX86" s="428"/>
      <c r="CY86" s="428"/>
      <c r="CZ86" s="632"/>
      <c r="DA86" s="726">
        <f>52239+24</f>
        <v>52263</v>
      </c>
      <c r="DB86" s="9"/>
      <c r="DC86" s="9">
        <v>847</v>
      </c>
      <c r="DD86" s="9">
        <f>SUM(DA86+DB86-DC86)</f>
        <v>51416</v>
      </c>
      <c r="DE86" s="9">
        <v>15</v>
      </c>
      <c r="DF86" s="727"/>
      <c r="DG86" s="472"/>
      <c r="DH86" s="472"/>
      <c r="DI86" s="472"/>
      <c r="DJ86" s="472"/>
      <c r="DK86" s="472"/>
      <c r="DL86" s="472"/>
      <c r="DM86" s="703">
        <v>14000</v>
      </c>
      <c r="DN86" s="428"/>
      <c r="DO86" s="428"/>
      <c r="DP86" s="428">
        <f>SUM(DM86+DN86-DO86)</f>
        <v>14000</v>
      </c>
      <c r="DQ86" s="428"/>
      <c r="DR86" s="704"/>
      <c r="DS86" s="617"/>
      <c r="DT86" s="617"/>
      <c r="DU86" s="617"/>
      <c r="DV86" s="617"/>
      <c r="DW86" s="617"/>
      <c r="DX86" s="617"/>
      <c r="DY86" s="672">
        <v>16955991</v>
      </c>
      <c r="DZ86" s="671"/>
      <c r="EA86" s="671">
        <v>301149</v>
      </c>
      <c r="EB86" s="428">
        <f>SUM(DY86+DZ86-EA86)</f>
        <v>16654842</v>
      </c>
      <c r="EC86" s="428">
        <v>8740</v>
      </c>
      <c r="ED86" s="453"/>
      <c r="EE86" s="587"/>
      <c r="EF86" s="437"/>
      <c r="EG86" s="437"/>
      <c r="EH86" s="437"/>
      <c r="EI86" s="437"/>
      <c r="EJ86" s="453"/>
      <c r="EK86" s="688">
        <f t="shared" si="102"/>
        <v>18220302</v>
      </c>
      <c r="EL86" s="688">
        <f t="shared" si="102"/>
        <v>143600</v>
      </c>
      <c r="EM86" s="688">
        <f t="shared" si="102"/>
        <v>360144</v>
      </c>
      <c r="EN86" s="688">
        <f t="shared" si="102"/>
        <v>18003758</v>
      </c>
      <c r="EO86" s="688">
        <f t="shared" si="102"/>
        <v>9597</v>
      </c>
      <c r="EP86" s="687">
        <f t="shared" si="102"/>
        <v>0</v>
      </c>
      <c r="EQ86" s="739">
        <f t="shared" si="103"/>
        <v>348287149.36000001</v>
      </c>
      <c r="ER86" s="739" t="e">
        <f t="shared" si="103"/>
        <v>#REF!</v>
      </c>
      <c r="ES86" s="739" t="e">
        <f t="shared" si="103"/>
        <v>#REF!</v>
      </c>
      <c r="ET86" s="739" t="e">
        <f t="shared" si="103"/>
        <v>#REF!</v>
      </c>
      <c r="EU86" s="739" t="e">
        <f t="shared" si="103"/>
        <v>#REF!</v>
      </c>
      <c r="EV86" s="740" t="e">
        <f t="shared" si="103"/>
        <v>#REF!</v>
      </c>
      <c r="EW86" s="438" t="e">
        <f>SUM('общ.сводрайон без курсовой '!C86-#REF!-#REF!)</f>
        <v>#REF!</v>
      </c>
      <c r="EX86" s="438" t="e">
        <f>SUM('общ.сводрайон без курсовой '!D86-#REF!-#REF!)</f>
        <v>#REF!</v>
      </c>
      <c r="EY86" s="438" t="e">
        <f>SUM('общ.сводрайон без курсовой '!E86-#REF!-#REF!)</f>
        <v>#REF!</v>
      </c>
      <c r="EZ86" s="438" t="e">
        <f>SUM('общ.сводрайон без курсовой '!F86-#REF!-#REF!)</f>
        <v>#REF!</v>
      </c>
    </row>
    <row r="87" spans="1:156" s="499" customFormat="1" ht="18.95" customHeight="1">
      <c r="A87" s="511">
        <v>65</v>
      </c>
      <c r="B87" s="512" t="s">
        <v>26</v>
      </c>
      <c r="C87" s="489">
        <f t="shared" ref="C87:BN87" si="104">SUM(C83:C86)</f>
        <v>212318888</v>
      </c>
      <c r="D87" s="490">
        <f t="shared" si="104"/>
        <v>56512509</v>
      </c>
      <c r="E87" s="490">
        <f t="shared" si="104"/>
        <v>33560921</v>
      </c>
      <c r="F87" s="490">
        <f t="shared" si="104"/>
        <v>235270476</v>
      </c>
      <c r="G87" s="490">
        <f t="shared" si="104"/>
        <v>2257880</v>
      </c>
      <c r="H87" s="491">
        <f t="shared" si="104"/>
        <v>0</v>
      </c>
      <c r="I87" s="489">
        <f t="shared" si="104"/>
        <v>385217092</v>
      </c>
      <c r="J87" s="490">
        <f t="shared" si="104"/>
        <v>32384461.5</v>
      </c>
      <c r="K87" s="490">
        <f t="shared" si="104"/>
        <v>24113729</v>
      </c>
      <c r="L87" s="490">
        <f t="shared" si="104"/>
        <v>393487824.5</v>
      </c>
      <c r="M87" s="530">
        <f t="shared" si="104"/>
        <v>202276.6</v>
      </c>
      <c r="N87" s="491">
        <f t="shared" si="104"/>
        <v>0</v>
      </c>
      <c r="O87" s="489">
        <f t="shared" si="104"/>
        <v>30312832</v>
      </c>
      <c r="P87" s="490">
        <f t="shared" si="104"/>
        <v>1884524</v>
      </c>
      <c r="Q87" s="490">
        <f t="shared" si="104"/>
        <v>1873685</v>
      </c>
      <c r="R87" s="490">
        <f t="shared" si="104"/>
        <v>30323671</v>
      </c>
      <c r="S87" s="490">
        <f t="shared" si="104"/>
        <v>5584</v>
      </c>
      <c r="T87" s="491">
        <f t="shared" si="104"/>
        <v>710</v>
      </c>
      <c r="U87" s="489">
        <f t="shared" si="104"/>
        <v>193888213</v>
      </c>
      <c r="V87" s="490">
        <f t="shared" si="104"/>
        <v>44977435.32</v>
      </c>
      <c r="W87" s="490">
        <f t="shared" si="104"/>
        <v>26340772.280000001</v>
      </c>
      <c r="X87" s="490">
        <f t="shared" si="104"/>
        <v>212524876.03999999</v>
      </c>
      <c r="Y87" s="490">
        <f t="shared" si="104"/>
        <v>142355.25</v>
      </c>
      <c r="Z87" s="491">
        <f t="shared" si="104"/>
        <v>0</v>
      </c>
      <c r="AA87" s="489">
        <f t="shared" si="104"/>
        <v>28020629.559999999</v>
      </c>
      <c r="AB87" s="490">
        <f t="shared" si="104"/>
        <v>975357.29</v>
      </c>
      <c r="AC87" s="490">
        <f t="shared" si="104"/>
        <v>1075268.54</v>
      </c>
      <c r="AD87" s="490">
        <f t="shared" si="104"/>
        <v>27920718.310000002</v>
      </c>
      <c r="AE87" s="490">
        <f t="shared" si="104"/>
        <v>3160</v>
      </c>
      <c r="AF87" s="491">
        <f t="shared" si="104"/>
        <v>0</v>
      </c>
      <c r="AG87" s="489">
        <f t="shared" si="104"/>
        <v>11400570</v>
      </c>
      <c r="AH87" s="490">
        <f t="shared" si="104"/>
        <v>1216697</v>
      </c>
      <c r="AI87" s="490">
        <f t="shared" si="104"/>
        <v>1794859</v>
      </c>
      <c r="AJ87" s="490">
        <f t="shared" si="104"/>
        <v>10822408</v>
      </c>
      <c r="AK87" s="490">
        <f t="shared" si="104"/>
        <v>0</v>
      </c>
      <c r="AL87" s="491">
        <f t="shared" si="104"/>
        <v>0</v>
      </c>
      <c r="AM87" s="489">
        <f t="shared" si="104"/>
        <v>16895324.84</v>
      </c>
      <c r="AN87" s="490">
        <f t="shared" si="104"/>
        <v>5714880.8500000006</v>
      </c>
      <c r="AO87" s="490">
        <f t="shared" si="104"/>
        <v>4240286.4499999993</v>
      </c>
      <c r="AP87" s="490">
        <f t="shared" si="104"/>
        <v>18369919.239999998</v>
      </c>
      <c r="AQ87" s="490">
        <f t="shared" si="104"/>
        <v>9347.5500000000011</v>
      </c>
      <c r="AR87" s="491">
        <f t="shared" si="104"/>
        <v>0</v>
      </c>
      <c r="AS87" s="489">
        <f t="shared" si="104"/>
        <v>2707805</v>
      </c>
      <c r="AT87" s="490">
        <f t="shared" si="104"/>
        <v>0</v>
      </c>
      <c r="AU87" s="490">
        <f t="shared" si="104"/>
        <v>76261</v>
      </c>
      <c r="AV87" s="490">
        <f t="shared" si="104"/>
        <v>2631544</v>
      </c>
      <c r="AW87" s="530">
        <f t="shared" si="104"/>
        <v>0</v>
      </c>
      <c r="AX87" s="491">
        <f t="shared" si="104"/>
        <v>0</v>
      </c>
      <c r="AY87" s="489">
        <f t="shared" si="104"/>
        <v>4612105</v>
      </c>
      <c r="AZ87" s="490">
        <f t="shared" si="104"/>
        <v>540614</v>
      </c>
      <c r="BA87" s="490">
        <f t="shared" si="104"/>
        <v>1107088</v>
      </c>
      <c r="BB87" s="490">
        <f t="shared" si="104"/>
        <v>4045631</v>
      </c>
      <c r="BC87" s="490">
        <f t="shared" si="104"/>
        <v>2991</v>
      </c>
      <c r="BD87" s="491">
        <f t="shared" si="104"/>
        <v>0</v>
      </c>
      <c r="BE87" s="489">
        <f t="shared" si="104"/>
        <v>23737858</v>
      </c>
      <c r="BF87" s="490">
        <f t="shared" si="104"/>
        <v>4410940</v>
      </c>
      <c r="BG87" s="490">
        <f t="shared" si="104"/>
        <v>2404973</v>
      </c>
      <c r="BH87" s="490">
        <f t="shared" si="104"/>
        <v>25743825</v>
      </c>
      <c r="BI87" s="743">
        <f t="shared" si="104"/>
        <v>30109</v>
      </c>
      <c r="BJ87" s="743">
        <f t="shared" si="104"/>
        <v>-15158</v>
      </c>
      <c r="BK87" s="489">
        <f t="shared" si="104"/>
        <v>143887077.53</v>
      </c>
      <c r="BL87" s="490" t="e">
        <f t="shared" si="104"/>
        <v>#REF!</v>
      </c>
      <c r="BM87" s="490" t="e">
        <f t="shared" si="104"/>
        <v>#REF!</v>
      </c>
      <c r="BN87" s="490" t="e">
        <f t="shared" si="104"/>
        <v>#REF!</v>
      </c>
      <c r="BO87" s="490" t="e">
        <f t="shared" ref="BO87:DQ87" si="105">SUM(BO83:BO86)</f>
        <v>#REF!</v>
      </c>
      <c r="BP87" s="491" t="e">
        <f t="shared" si="105"/>
        <v>#REF!</v>
      </c>
      <c r="BQ87" s="554">
        <f t="shared" si="105"/>
        <v>1052998394.9299999</v>
      </c>
      <c r="BR87" s="555" t="e">
        <f t="shared" si="105"/>
        <v>#REF!</v>
      </c>
      <c r="BS87" s="555" t="e">
        <f t="shared" si="105"/>
        <v>#REF!</v>
      </c>
      <c r="BT87" s="555" t="e">
        <f t="shared" si="105"/>
        <v>#REF!</v>
      </c>
      <c r="BU87" s="556" t="e">
        <f t="shared" si="105"/>
        <v>#REF!</v>
      </c>
      <c r="BV87" s="557" t="e">
        <f t="shared" si="105"/>
        <v>#REF!</v>
      </c>
      <c r="BW87" s="489">
        <f t="shared" si="105"/>
        <v>1303271</v>
      </c>
      <c r="BX87" s="490">
        <f t="shared" si="105"/>
        <v>188478</v>
      </c>
      <c r="BY87" s="490">
        <f t="shared" si="105"/>
        <v>153413</v>
      </c>
      <c r="BZ87" s="490">
        <f t="shared" si="105"/>
        <v>1338336</v>
      </c>
      <c r="CA87" s="490">
        <f t="shared" si="105"/>
        <v>987</v>
      </c>
      <c r="CB87" s="491">
        <f t="shared" si="105"/>
        <v>0</v>
      </c>
      <c r="CC87" s="489">
        <f t="shared" si="105"/>
        <v>85350</v>
      </c>
      <c r="CD87" s="490">
        <f t="shared" si="105"/>
        <v>0</v>
      </c>
      <c r="CE87" s="490">
        <f t="shared" si="105"/>
        <v>0</v>
      </c>
      <c r="CF87" s="490">
        <f t="shared" si="105"/>
        <v>85350</v>
      </c>
      <c r="CG87" s="490">
        <f t="shared" si="105"/>
        <v>0</v>
      </c>
      <c r="CH87" s="491">
        <f t="shared" si="105"/>
        <v>0</v>
      </c>
      <c r="CI87" s="492">
        <f t="shared" si="105"/>
        <v>1714672</v>
      </c>
      <c r="CJ87" s="493">
        <f t="shared" si="105"/>
        <v>383265</v>
      </c>
      <c r="CK87" s="493">
        <f t="shared" si="105"/>
        <v>375785</v>
      </c>
      <c r="CL87" s="493">
        <f t="shared" si="105"/>
        <v>1722152</v>
      </c>
      <c r="CM87" s="495">
        <f t="shared" si="105"/>
        <v>529</v>
      </c>
      <c r="CN87" s="494">
        <f t="shared" si="105"/>
        <v>0</v>
      </c>
      <c r="CO87" s="489">
        <f t="shared" si="105"/>
        <v>0</v>
      </c>
      <c r="CP87" s="490">
        <f t="shared" si="105"/>
        <v>0</v>
      </c>
      <c r="CQ87" s="490">
        <f t="shared" si="105"/>
        <v>0</v>
      </c>
      <c r="CR87" s="490">
        <f t="shared" si="105"/>
        <v>0</v>
      </c>
      <c r="CS87" s="490">
        <f t="shared" si="105"/>
        <v>0</v>
      </c>
      <c r="CT87" s="491">
        <f t="shared" si="105"/>
        <v>0</v>
      </c>
      <c r="CU87" s="489">
        <f t="shared" si="105"/>
        <v>0</v>
      </c>
      <c r="CV87" s="490">
        <f t="shared" si="105"/>
        <v>0</v>
      </c>
      <c r="CW87" s="490">
        <f t="shared" si="105"/>
        <v>0</v>
      </c>
      <c r="CX87" s="490">
        <f t="shared" si="105"/>
        <v>0</v>
      </c>
      <c r="CY87" s="490">
        <f t="shared" si="105"/>
        <v>0</v>
      </c>
      <c r="CZ87" s="717">
        <f t="shared" si="105"/>
        <v>0</v>
      </c>
      <c r="DA87" s="732">
        <f t="shared" si="105"/>
        <v>1616717</v>
      </c>
      <c r="DB87" s="579">
        <f t="shared" si="105"/>
        <v>0</v>
      </c>
      <c r="DC87" s="579">
        <f t="shared" si="105"/>
        <v>11609</v>
      </c>
      <c r="DD87" s="579">
        <f t="shared" si="105"/>
        <v>1605108</v>
      </c>
      <c r="DE87" s="579">
        <f t="shared" si="105"/>
        <v>257</v>
      </c>
      <c r="DF87" s="733">
        <f t="shared" si="105"/>
        <v>0</v>
      </c>
      <c r="DG87" s="721"/>
      <c r="DH87" s="685"/>
      <c r="DI87" s="685"/>
      <c r="DJ87" s="685"/>
      <c r="DK87" s="685"/>
      <c r="DL87" s="694"/>
      <c r="DM87" s="707">
        <f t="shared" si="105"/>
        <v>780288</v>
      </c>
      <c r="DN87" s="490">
        <f t="shared" si="105"/>
        <v>247950</v>
      </c>
      <c r="DO87" s="490">
        <f t="shared" si="105"/>
        <v>397447</v>
      </c>
      <c r="DP87" s="490">
        <f t="shared" si="105"/>
        <v>630791</v>
      </c>
      <c r="DQ87" s="490">
        <f t="shared" si="105"/>
        <v>0</v>
      </c>
      <c r="DR87" s="708">
        <f>SUM(DR83:DR86)</f>
        <v>0</v>
      </c>
      <c r="DS87" s="619"/>
      <c r="DT87" s="619"/>
      <c r="DU87" s="619"/>
      <c r="DV87" s="619"/>
      <c r="DW87" s="619"/>
      <c r="DX87" s="619"/>
      <c r="DY87" s="489">
        <f t="shared" ref="DY87:EV87" si="106">SUM(DY83:DY86)</f>
        <v>431952290</v>
      </c>
      <c r="DZ87" s="490">
        <f t="shared" si="106"/>
        <v>334232</v>
      </c>
      <c r="EA87" s="490">
        <f t="shared" si="106"/>
        <v>364172</v>
      </c>
      <c r="EB87" s="490">
        <f t="shared" si="106"/>
        <v>431922350</v>
      </c>
      <c r="EC87" s="490">
        <f t="shared" si="106"/>
        <v>143465</v>
      </c>
      <c r="ED87" s="491">
        <f t="shared" si="106"/>
        <v>0</v>
      </c>
      <c r="EE87" s="489">
        <f t="shared" si="106"/>
        <v>0</v>
      </c>
      <c r="EF87" s="490">
        <f t="shared" si="106"/>
        <v>0</v>
      </c>
      <c r="EG87" s="490">
        <f t="shared" si="106"/>
        <v>0</v>
      </c>
      <c r="EH87" s="490">
        <f t="shared" si="106"/>
        <v>0</v>
      </c>
      <c r="EI87" s="490">
        <f t="shared" si="106"/>
        <v>0</v>
      </c>
      <c r="EJ87" s="491">
        <f t="shared" si="106"/>
        <v>0</v>
      </c>
      <c r="EK87" s="689">
        <f t="shared" ref="EK87:EP87" si="107">SUM(EK83:EK86)</f>
        <v>437452588</v>
      </c>
      <c r="EL87" s="689">
        <f t="shared" si="107"/>
        <v>1153925</v>
      </c>
      <c r="EM87" s="689">
        <f t="shared" si="107"/>
        <v>1302426</v>
      </c>
      <c r="EN87" s="689">
        <f t="shared" si="107"/>
        <v>437304087</v>
      </c>
      <c r="EO87" s="689">
        <f t="shared" si="107"/>
        <v>145238</v>
      </c>
      <c r="EP87" s="619">
        <f t="shared" si="107"/>
        <v>0</v>
      </c>
      <c r="EQ87" s="603">
        <f t="shared" si="106"/>
        <v>1490450982.9299998</v>
      </c>
      <c r="ER87" s="604" t="e">
        <f t="shared" si="106"/>
        <v>#REF!</v>
      </c>
      <c r="ES87" s="604" t="e">
        <f t="shared" si="106"/>
        <v>#REF!</v>
      </c>
      <c r="ET87" s="604" t="e">
        <f t="shared" si="106"/>
        <v>#REF!</v>
      </c>
      <c r="EU87" s="604" t="e">
        <f t="shared" si="106"/>
        <v>#REF!</v>
      </c>
      <c r="EV87" s="605" t="e">
        <f t="shared" si="106"/>
        <v>#REF!</v>
      </c>
      <c r="EW87" s="438" t="e">
        <f>SUM('общ.сводрайон без курсовой '!C87-#REF!-#REF!)</f>
        <v>#REF!</v>
      </c>
      <c r="EX87" s="438" t="e">
        <f>SUM('общ.сводрайон без курсовой '!D87-#REF!-#REF!)</f>
        <v>#REF!</v>
      </c>
      <c r="EY87" s="438" t="e">
        <f>SUM('общ.сводрайон без курсовой '!E87-#REF!-#REF!)</f>
        <v>#REF!</v>
      </c>
      <c r="EZ87" s="438" t="e">
        <f>SUM('общ.сводрайон без курсовой '!F87-#REF!-#REF!)</f>
        <v>#REF!</v>
      </c>
    </row>
    <row r="88" spans="1:156" s="523" customFormat="1" ht="18.95" customHeight="1">
      <c r="A88" s="513"/>
      <c r="B88" s="514"/>
      <c r="C88" s="515"/>
      <c r="D88" s="624"/>
      <c r="E88" s="624"/>
      <c r="F88" s="633">
        <f>SUM(F87+G87)</f>
        <v>237528356</v>
      </c>
      <c r="G88" s="624"/>
      <c r="H88" s="623"/>
      <c r="I88" s="515"/>
      <c r="J88" s="624"/>
      <c r="K88" s="624"/>
      <c r="L88" s="516">
        <f>SUM(L87+M87)</f>
        <v>393690101.10000002</v>
      </c>
      <c r="M88" s="622"/>
      <c r="N88" s="623"/>
      <c r="O88" s="515"/>
      <c r="P88" s="624"/>
      <c r="Q88" s="624"/>
      <c r="R88" s="516">
        <f>SUM(R87+S87-T87)</f>
        <v>30328545</v>
      </c>
      <c r="S88" s="624"/>
      <c r="T88" s="623"/>
      <c r="U88" s="515"/>
      <c r="V88" s="624"/>
      <c r="W88" s="624"/>
      <c r="X88" s="516"/>
      <c r="Y88" s="624"/>
      <c r="Z88" s="623"/>
      <c r="AA88" s="653"/>
      <c r="AB88" s="624"/>
      <c r="AC88" s="624"/>
      <c r="AD88" s="516"/>
      <c r="AE88" s="624"/>
      <c r="AF88" s="623"/>
      <c r="AG88" s="515"/>
      <c r="AH88" s="624"/>
      <c r="AI88" s="624"/>
      <c r="AJ88" s="516"/>
      <c r="AK88" s="624"/>
      <c r="AL88" s="623"/>
      <c r="AM88" s="515"/>
      <c r="AN88" s="624"/>
      <c r="AO88" s="624"/>
      <c r="AP88" s="529">
        <f>SUM(AP87+AQ87-AR87)</f>
        <v>18379266.789999999</v>
      </c>
      <c r="AQ88" s="624"/>
      <c r="AR88" s="623"/>
      <c r="AS88" s="515"/>
      <c r="AT88" s="516"/>
      <c r="AU88" s="516"/>
      <c r="AV88" s="516"/>
      <c r="AW88" s="622"/>
      <c r="AX88" s="623"/>
      <c r="AY88" s="515"/>
      <c r="AZ88" s="624"/>
      <c r="BA88" s="624"/>
      <c r="BB88" s="577">
        <f>SUM(BB87+BC87)</f>
        <v>4048622</v>
      </c>
      <c r="BC88" s="624"/>
      <c r="BD88" s="623"/>
      <c r="BE88" s="515"/>
      <c r="BF88" s="624"/>
      <c r="BG88" s="624"/>
      <c r="BH88" s="630">
        <f>SUM(BH87+BI87)</f>
        <v>25773934</v>
      </c>
      <c r="BI88" s="1"/>
      <c r="BJ88" s="360"/>
      <c r="BK88" s="515"/>
      <c r="BL88" s="516"/>
      <c r="BM88" s="516"/>
      <c r="BN88" s="516"/>
      <c r="BO88" s="516"/>
      <c r="BP88" s="517"/>
      <c r="BQ88" s="558"/>
      <c r="BR88" s="559"/>
      <c r="BS88" s="559"/>
      <c r="BT88" s="559"/>
      <c r="BU88" s="560"/>
      <c r="BV88" s="561"/>
      <c r="BW88" s="515"/>
      <c r="BX88" s="516"/>
      <c r="BY88" s="516"/>
      <c r="BZ88" s="577">
        <f>SUM(BZ87+CA87-CB87)</f>
        <v>1339323</v>
      </c>
      <c r="CA88" s="516"/>
      <c r="CB88" s="517"/>
      <c r="CC88" s="515"/>
      <c r="CD88" s="516"/>
      <c r="CE88" s="516"/>
      <c r="CF88" s="516"/>
      <c r="CG88" s="516"/>
      <c r="CH88" s="517"/>
      <c r="CI88" s="518"/>
      <c r="CJ88" s="519"/>
      <c r="CK88" s="519"/>
      <c r="CL88" s="519"/>
      <c r="CM88" s="520"/>
      <c r="CN88" s="521"/>
      <c r="CO88" s="515"/>
      <c r="CP88" s="516"/>
      <c r="CQ88" s="516"/>
      <c r="CR88" s="516"/>
      <c r="CS88" s="516"/>
      <c r="CT88" s="517"/>
      <c r="CU88" s="515"/>
      <c r="CV88" s="516"/>
      <c r="CW88" s="516"/>
      <c r="CX88" s="516"/>
      <c r="CY88" s="516"/>
      <c r="CZ88" s="718"/>
      <c r="DA88" s="734"/>
      <c r="DB88" s="580"/>
      <c r="DC88" s="580"/>
      <c r="DD88" s="580">
        <f>SUM(DD87+DE87)</f>
        <v>1605365</v>
      </c>
      <c r="DE88" s="580"/>
      <c r="DF88" s="735"/>
      <c r="DG88" s="682"/>
      <c r="DH88" s="682"/>
      <c r="DI88" s="682"/>
      <c r="DJ88" s="682"/>
      <c r="DK88" s="682"/>
      <c r="DL88" s="682"/>
      <c r="DM88" s="709"/>
      <c r="DN88" s="516"/>
      <c r="DO88" s="516"/>
      <c r="DP88" s="516"/>
      <c r="DQ88" s="516"/>
      <c r="DR88" s="710"/>
      <c r="DS88" s="620"/>
      <c r="DT88" s="620"/>
      <c r="DU88" s="620"/>
      <c r="DV88" s="620"/>
      <c r="DW88" s="620"/>
      <c r="DX88" s="620"/>
      <c r="DY88" s="515"/>
      <c r="DZ88" s="516"/>
      <c r="EA88" s="516"/>
      <c r="EB88" s="516"/>
      <c r="EC88" s="516"/>
      <c r="ED88" s="517"/>
      <c r="EE88" s="590"/>
      <c r="EF88" s="591"/>
      <c r="EG88" s="591"/>
      <c r="EH88" s="591"/>
      <c r="EI88" s="591"/>
      <c r="EJ88" s="517"/>
      <c r="EK88" s="620"/>
      <c r="EL88" s="620"/>
      <c r="EM88" s="620"/>
      <c r="EN88" s="620"/>
      <c r="EO88" s="620"/>
      <c r="EP88" s="620"/>
      <c r="EQ88" s="608"/>
      <c r="ER88" s="609"/>
      <c r="ES88" s="609"/>
      <c r="ET88" s="609"/>
      <c r="EU88" s="609"/>
      <c r="EV88" s="610"/>
      <c r="EW88" s="522"/>
      <c r="EX88" s="438"/>
      <c r="EY88" s="438"/>
      <c r="EZ88" s="438"/>
    </row>
    <row r="89" spans="1:156" s="439" customFormat="1" ht="18.95" customHeight="1" thickBot="1">
      <c r="A89" s="1210" t="s">
        <v>77</v>
      </c>
      <c r="B89" s="1211"/>
      <c r="C89" s="524">
        <f t="shared" ref="C89:BN89" si="108">SUM(C87+C81+C61+C34+C17+C24)</f>
        <v>404544893</v>
      </c>
      <c r="D89" s="525">
        <f t="shared" si="108"/>
        <v>81628392</v>
      </c>
      <c r="E89" s="525">
        <f t="shared" si="108"/>
        <v>54046576</v>
      </c>
      <c r="F89" s="525">
        <f t="shared" si="108"/>
        <v>432126709</v>
      </c>
      <c r="G89" s="525">
        <f t="shared" si="108"/>
        <v>2504952</v>
      </c>
      <c r="H89" s="526">
        <f t="shared" si="108"/>
        <v>0</v>
      </c>
      <c r="I89" s="524">
        <f t="shared" si="108"/>
        <v>520057303</v>
      </c>
      <c r="J89" s="525">
        <f t="shared" si="108"/>
        <v>39984965.5</v>
      </c>
      <c r="K89" s="525">
        <f t="shared" si="108"/>
        <v>34920440</v>
      </c>
      <c r="L89" s="525">
        <f t="shared" si="108"/>
        <v>525121828.5</v>
      </c>
      <c r="M89" s="531">
        <f t="shared" si="108"/>
        <v>266073.07</v>
      </c>
      <c r="N89" s="526">
        <f t="shared" si="108"/>
        <v>0</v>
      </c>
      <c r="O89" s="524">
        <f t="shared" si="108"/>
        <v>118841765.23999999</v>
      </c>
      <c r="P89" s="525">
        <f t="shared" si="108"/>
        <v>6493911</v>
      </c>
      <c r="Q89" s="525">
        <f t="shared" si="108"/>
        <v>5429053.2400000002</v>
      </c>
      <c r="R89" s="525">
        <f t="shared" si="108"/>
        <v>119906623</v>
      </c>
      <c r="S89" s="525">
        <f t="shared" si="108"/>
        <v>7209</v>
      </c>
      <c r="T89" s="526">
        <f t="shared" si="108"/>
        <v>711</v>
      </c>
      <c r="U89" s="524">
        <f t="shared" si="108"/>
        <v>260943551</v>
      </c>
      <c r="V89" s="525">
        <f t="shared" si="108"/>
        <v>62824727.969999999</v>
      </c>
      <c r="W89" s="525">
        <f t="shared" si="108"/>
        <v>37655016.130000003</v>
      </c>
      <c r="X89" s="525">
        <f t="shared" si="108"/>
        <v>286113262.84000003</v>
      </c>
      <c r="Y89" s="525">
        <f t="shared" si="108"/>
        <v>177298.03</v>
      </c>
      <c r="Z89" s="526">
        <f t="shared" si="108"/>
        <v>0</v>
      </c>
      <c r="AA89" s="524">
        <f>SUM(AA87+AA81+AA61+AA34+AA17+AA24)</f>
        <v>101239273.48</v>
      </c>
      <c r="AB89" s="525">
        <f>SUM(AB87+AB81+AB61+AB34+AB17+AB24)</f>
        <v>6600239.9950000001</v>
      </c>
      <c r="AC89" s="525">
        <f>SUM(AC87+AC81+AC61+AC34+AC17+AC24)</f>
        <v>5118186.2187519995</v>
      </c>
      <c r="AD89" s="525">
        <f t="shared" si="108"/>
        <v>102721327.256248</v>
      </c>
      <c r="AE89" s="525">
        <f>SUM(AE87+AE81+AE61+AE34+AE17+AE24)</f>
        <v>18562</v>
      </c>
      <c r="AF89" s="526">
        <f>SUM(AF87+AF81+AF61+AF34+AF17+AF24)</f>
        <v>0</v>
      </c>
      <c r="AG89" s="524">
        <f t="shared" si="108"/>
        <v>79189223</v>
      </c>
      <c r="AH89" s="525">
        <f>SUM(AH87+AH81+AH61+AH34+AH17+AH24)</f>
        <v>14067407</v>
      </c>
      <c r="AI89" s="525">
        <f>SUM(AI87+AI81+AI61+AI34+AI17+AI24)</f>
        <v>10605732</v>
      </c>
      <c r="AJ89" s="525">
        <f t="shared" si="108"/>
        <v>82650898</v>
      </c>
      <c r="AK89" s="525">
        <f>SUM(AK87+AK81+AK61+AK34+AK17+AK24)</f>
        <v>196</v>
      </c>
      <c r="AL89" s="526">
        <f>SUM(AL87+AL81+AL61+AL34+AL17+AL24)</f>
        <v>0</v>
      </c>
      <c r="AM89" s="524">
        <f t="shared" si="108"/>
        <v>19017242.32</v>
      </c>
      <c r="AN89" s="525">
        <f t="shared" si="108"/>
        <v>5901424.5500000007</v>
      </c>
      <c r="AO89" s="525">
        <f t="shared" si="108"/>
        <v>4513726.1099999994</v>
      </c>
      <c r="AP89" s="525">
        <f t="shared" si="108"/>
        <v>20404940.759999998</v>
      </c>
      <c r="AQ89" s="525">
        <f t="shared" si="108"/>
        <v>10768.37</v>
      </c>
      <c r="AR89" s="526">
        <f t="shared" si="108"/>
        <v>0</v>
      </c>
      <c r="AS89" s="524">
        <f t="shared" si="108"/>
        <v>33672847</v>
      </c>
      <c r="AT89" s="525">
        <f>SUM(AT87+AT81+AT61+AT34+AT17+AT24)</f>
        <v>8161753</v>
      </c>
      <c r="AU89" s="525">
        <f>SUM(AU87+AU81+AU61+AU34+AU17+AU24)</f>
        <v>5914027</v>
      </c>
      <c r="AV89" s="525">
        <f t="shared" si="108"/>
        <v>35920573</v>
      </c>
      <c r="AW89" s="531">
        <f>SUM(AW87+AW81+AW61+AW34+AW17+AW24)</f>
        <v>203124</v>
      </c>
      <c r="AX89" s="742">
        <f>SUM(AX87+AX81+AX61+AX34+AX17+AX24)</f>
        <v>4312</v>
      </c>
      <c r="AY89" s="524">
        <f t="shared" si="108"/>
        <v>67475384</v>
      </c>
      <c r="AZ89" s="525">
        <f>SUM(AZ87+AZ81+AZ61+AZ34+AZ17+AZ24)</f>
        <v>3757375</v>
      </c>
      <c r="BA89" s="525">
        <f>SUM(BA87+BA81+BA61+BA34+BA17+BA24)</f>
        <v>7635296</v>
      </c>
      <c r="BB89" s="525">
        <f t="shared" si="108"/>
        <v>63597463</v>
      </c>
      <c r="BC89" s="525">
        <f t="shared" ref="BC89:BJ89" si="109">SUM(BC87+BC81+BC61+BC34+BC17+BC24)</f>
        <v>31705</v>
      </c>
      <c r="BD89" s="526">
        <f t="shared" si="109"/>
        <v>0</v>
      </c>
      <c r="BE89" s="524">
        <f t="shared" si="109"/>
        <v>33789265</v>
      </c>
      <c r="BF89" s="525">
        <f t="shared" si="109"/>
        <v>4890718</v>
      </c>
      <c r="BG89" s="525">
        <f t="shared" si="109"/>
        <v>4477225</v>
      </c>
      <c r="BH89" s="525">
        <f t="shared" si="109"/>
        <v>34202758</v>
      </c>
      <c r="BI89" s="612">
        <f t="shared" si="109"/>
        <v>55550</v>
      </c>
      <c r="BJ89" s="631">
        <f t="shared" si="109"/>
        <v>-31850</v>
      </c>
      <c r="BK89" s="524">
        <f t="shared" si="108"/>
        <v>190858342.02000001</v>
      </c>
      <c r="BL89" s="525" t="e">
        <f t="shared" si="108"/>
        <v>#REF!</v>
      </c>
      <c r="BM89" s="525" t="e">
        <f t="shared" si="108"/>
        <v>#REF!</v>
      </c>
      <c r="BN89" s="525" t="e">
        <f t="shared" si="108"/>
        <v>#REF!</v>
      </c>
      <c r="BO89" s="525" t="e">
        <f t="shared" ref="BO89:DZ89" si="110">SUM(BO87+BO81+BO61+BO34+BO17+BO24)</f>
        <v>#REF!</v>
      </c>
      <c r="BP89" s="526" t="e">
        <f t="shared" si="110"/>
        <v>#REF!</v>
      </c>
      <c r="BQ89" s="554">
        <f t="shared" si="110"/>
        <v>1829629089.0599997</v>
      </c>
      <c r="BR89" s="555" t="e">
        <f t="shared" si="110"/>
        <v>#REF!</v>
      </c>
      <c r="BS89" s="555" t="e">
        <f t="shared" si="110"/>
        <v>#REF!</v>
      </c>
      <c r="BT89" s="555" t="e">
        <f t="shared" si="110"/>
        <v>#REF!</v>
      </c>
      <c r="BU89" s="555" t="e">
        <f t="shared" si="110"/>
        <v>#REF!</v>
      </c>
      <c r="BV89" s="557" t="e">
        <f t="shared" si="110"/>
        <v>#REF!</v>
      </c>
      <c r="BW89" s="524">
        <f t="shared" si="110"/>
        <v>2474025</v>
      </c>
      <c r="BX89" s="525">
        <f t="shared" si="110"/>
        <v>464913</v>
      </c>
      <c r="BY89" s="525">
        <f t="shared" si="110"/>
        <v>153413</v>
      </c>
      <c r="BZ89" s="525">
        <f t="shared" si="110"/>
        <v>2785525</v>
      </c>
      <c r="CA89" s="525">
        <f t="shared" si="110"/>
        <v>1475</v>
      </c>
      <c r="CB89" s="526">
        <f t="shared" si="110"/>
        <v>0</v>
      </c>
      <c r="CC89" s="524">
        <f t="shared" si="110"/>
        <v>1362753</v>
      </c>
      <c r="CD89" s="525">
        <f t="shared" si="110"/>
        <v>0</v>
      </c>
      <c r="CE89" s="525">
        <f t="shared" si="110"/>
        <v>26319</v>
      </c>
      <c r="CF89" s="525">
        <f t="shared" si="110"/>
        <v>1336434</v>
      </c>
      <c r="CG89" s="525">
        <f t="shared" si="110"/>
        <v>0</v>
      </c>
      <c r="CH89" s="526">
        <f t="shared" si="110"/>
        <v>0</v>
      </c>
      <c r="CI89" s="492">
        <f>SUM(CI87+CI81+CI61+CI34+CI17+CI24)</f>
        <v>2118230</v>
      </c>
      <c r="CJ89" s="493">
        <f t="shared" si="110"/>
        <v>637807</v>
      </c>
      <c r="CK89" s="493">
        <f t="shared" si="110"/>
        <v>427865</v>
      </c>
      <c r="CL89" s="493">
        <f t="shared" si="110"/>
        <v>2328172</v>
      </c>
      <c r="CM89" s="495">
        <f t="shared" si="110"/>
        <v>644</v>
      </c>
      <c r="CN89" s="494">
        <f t="shared" si="110"/>
        <v>0</v>
      </c>
      <c r="CO89" s="524">
        <f t="shared" si="110"/>
        <v>1182148</v>
      </c>
      <c r="CP89" s="525">
        <f t="shared" si="110"/>
        <v>94500</v>
      </c>
      <c r="CQ89" s="525">
        <f t="shared" si="110"/>
        <v>165585</v>
      </c>
      <c r="CR89" s="525">
        <f t="shared" si="110"/>
        <v>1111063</v>
      </c>
      <c r="CS89" s="525">
        <f t="shared" si="110"/>
        <v>0</v>
      </c>
      <c r="CT89" s="526">
        <f t="shared" si="110"/>
        <v>0</v>
      </c>
      <c r="CU89" s="524">
        <f t="shared" si="110"/>
        <v>2421939</v>
      </c>
      <c r="CV89" s="525">
        <f t="shared" si="110"/>
        <v>189250</v>
      </c>
      <c r="CW89" s="525">
        <f t="shared" si="110"/>
        <v>32276</v>
      </c>
      <c r="CX89" s="525">
        <f t="shared" si="110"/>
        <v>2578913</v>
      </c>
      <c r="CY89" s="525">
        <f t="shared" si="110"/>
        <v>555</v>
      </c>
      <c r="CZ89" s="719">
        <f t="shared" si="110"/>
        <v>0</v>
      </c>
      <c r="DA89" s="736">
        <f t="shared" si="110"/>
        <v>3741293.34</v>
      </c>
      <c r="DB89" s="737">
        <f t="shared" si="110"/>
        <v>4000</v>
      </c>
      <c r="DC89" s="737">
        <f t="shared" si="110"/>
        <v>11709</v>
      </c>
      <c r="DD89" s="737">
        <f t="shared" si="110"/>
        <v>3733584.34</v>
      </c>
      <c r="DE89" s="737">
        <f t="shared" si="110"/>
        <v>353</v>
      </c>
      <c r="DF89" s="738">
        <f t="shared" si="110"/>
        <v>0</v>
      </c>
      <c r="DG89" s="684"/>
      <c r="DH89" s="686"/>
      <c r="DI89" s="686"/>
      <c r="DJ89" s="686"/>
      <c r="DK89" s="686"/>
      <c r="DL89" s="683"/>
      <c r="DM89" s="711">
        <f t="shared" si="110"/>
        <v>878288</v>
      </c>
      <c r="DN89" s="712">
        <f t="shared" si="110"/>
        <v>962950</v>
      </c>
      <c r="DO89" s="712">
        <f t="shared" si="110"/>
        <v>398447</v>
      </c>
      <c r="DP89" s="712">
        <f t="shared" si="110"/>
        <v>1442791</v>
      </c>
      <c r="DQ89" s="712">
        <f t="shared" si="110"/>
        <v>0</v>
      </c>
      <c r="DR89" s="713">
        <f t="shared" si="110"/>
        <v>0</v>
      </c>
      <c r="DS89" s="621"/>
      <c r="DT89" s="621"/>
      <c r="DU89" s="621"/>
      <c r="DV89" s="621"/>
      <c r="DW89" s="621"/>
      <c r="DX89" s="621"/>
      <c r="DY89" s="524">
        <f t="shared" si="110"/>
        <v>1948402599</v>
      </c>
      <c r="DZ89" s="525">
        <f t="shared" si="110"/>
        <v>4149832</v>
      </c>
      <c r="EA89" s="525">
        <f t="shared" ref="EA89:EJ89" si="111">SUM(EA87+EA81+EA61+EA34+EA17+EA24)</f>
        <v>3128840</v>
      </c>
      <c r="EB89" s="525">
        <f t="shared" si="111"/>
        <v>1949423591</v>
      </c>
      <c r="EC89" s="525">
        <f t="shared" si="111"/>
        <v>835603</v>
      </c>
      <c r="ED89" s="526">
        <f t="shared" si="111"/>
        <v>0</v>
      </c>
      <c r="EE89" s="524">
        <f t="shared" si="111"/>
        <v>1187980</v>
      </c>
      <c r="EF89" s="525">
        <f t="shared" si="111"/>
        <v>0</v>
      </c>
      <c r="EG89" s="525">
        <f t="shared" si="111"/>
        <v>0</v>
      </c>
      <c r="EH89" s="525">
        <f t="shared" si="111"/>
        <v>1187980</v>
      </c>
      <c r="EI89" s="525">
        <f t="shared" si="111"/>
        <v>0</v>
      </c>
      <c r="EJ89" s="526">
        <f t="shared" si="111"/>
        <v>0</v>
      </c>
      <c r="EK89" s="692">
        <f t="shared" ref="EK89:EP89" si="112">SUM(EK17+EK24+EK34+EK61+EK81+EK87)</f>
        <v>1963769255.3400002</v>
      </c>
      <c r="EL89" s="692">
        <f t="shared" si="112"/>
        <v>6503252</v>
      </c>
      <c r="EM89" s="692">
        <f t="shared" si="112"/>
        <v>4344454</v>
      </c>
      <c r="EN89" s="692">
        <f t="shared" si="112"/>
        <v>1965928053.3400002</v>
      </c>
      <c r="EO89" s="692">
        <f t="shared" si="112"/>
        <v>838630</v>
      </c>
      <c r="EP89" s="621">
        <f t="shared" si="112"/>
        <v>0</v>
      </c>
      <c r="EQ89" s="611">
        <f t="shared" ref="EQ89:EV89" si="113">SUM(EQ87+EQ81+EQ61+EQ34+EQ17+EQ24)</f>
        <v>3793398344.3999996</v>
      </c>
      <c r="ER89" s="612" t="e">
        <f t="shared" si="113"/>
        <v>#REF!</v>
      </c>
      <c r="ES89" s="612" t="e">
        <f t="shared" si="113"/>
        <v>#REF!</v>
      </c>
      <c r="ET89" s="612" t="e">
        <f t="shared" si="113"/>
        <v>#REF!</v>
      </c>
      <c r="EU89" s="612" t="e">
        <f t="shared" si="113"/>
        <v>#REF!</v>
      </c>
      <c r="EV89" s="613" t="e">
        <f t="shared" si="113"/>
        <v>#REF!</v>
      </c>
      <c r="EW89" s="522"/>
      <c r="EX89" s="438"/>
      <c r="EY89" s="438"/>
      <c r="EZ89" s="438"/>
    </row>
    <row r="90" spans="1:156" ht="18.95" customHeight="1" thickTop="1" thickBot="1">
      <c r="A90" s="17"/>
      <c r="B90" s="18"/>
      <c r="D90" s="10"/>
      <c r="E90" s="10"/>
      <c r="AT90" s="10"/>
      <c r="AU90" s="10"/>
      <c r="AV90" s="10"/>
      <c r="AW90" s="358"/>
      <c r="AX90" s="358"/>
      <c r="BE90"/>
      <c r="BF90"/>
      <c r="BG90"/>
      <c r="BH90"/>
      <c r="BI90"/>
      <c r="BJ90" s="356"/>
      <c r="EQ90" s="592"/>
      <c r="EW90" s="10"/>
      <c r="EX90" s="10"/>
      <c r="EY90" s="10"/>
      <c r="EZ90" s="10"/>
    </row>
    <row r="91" spans="1:156" ht="18.95" customHeight="1">
      <c r="B91" s="14" t="s">
        <v>94</v>
      </c>
      <c r="F91" s="10">
        <f>SUM(G89-H89)</f>
        <v>2504952</v>
      </c>
      <c r="L91" s="10">
        <f>SUM(M89-N89)</f>
        <v>266073.07</v>
      </c>
      <c r="R91" s="26">
        <f>SUM(S89-T89)</f>
        <v>6498</v>
      </c>
      <c r="X91" s="10">
        <f>SUM(Y89-Z89)</f>
        <v>177298.03</v>
      </c>
      <c r="AB91" s="10"/>
      <c r="AD91" s="10">
        <f>SUM(AE89-AF89)</f>
        <v>18562</v>
      </c>
      <c r="AE91" s="10"/>
      <c r="AF91" s="263"/>
      <c r="AI91" s="10"/>
      <c r="AJ91" s="46">
        <f>SUM(AK89-AL89)</f>
        <v>196</v>
      </c>
      <c r="AP91" s="10">
        <f>SUM(AQ89-AR89)</f>
        <v>10768.37</v>
      </c>
      <c r="AT91" s="10"/>
      <c r="AU91" s="10"/>
      <c r="AV91" s="10">
        <f>SUM(AW89-AX89)</f>
        <v>198812</v>
      </c>
      <c r="BB91" s="48">
        <f>SUM(BC89-BD89)</f>
        <v>31705</v>
      </c>
      <c r="BE91"/>
      <c r="BF91"/>
      <c r="BG91"/>
      <c r="BH91" s="10">
        <f>SUM(BI89+BJ89)</f>
        <v>23700</v>
      </c>
      <c r="BI91"/>
      <c r="BJ91" s="356"/>
      <c r="BN91" s="48" t="e">
        <f>SUM(BO89-BP89)</f>
        <v>#REF!</v>
      </c>
      <c r="BZ91" s="10">
        <f>SUM(CA89-CB89)</f>
        <v>1475</v>
      </c>
      <c r="CF91" s="10">
        <f>SUM(CG89-CH89)</f>
        <v>0</v>
      </c>
      <c r="CK91" s="10"/>
      <c r="CL91" s="10">
        <f>SUM(CM89-CN89)</f>
        <v>644</v>
      </c>
      <c r="CR91" s="10">
        <f>SUM(CS89-CT89)</f>
        <v>0</v>
      </c>
      <c r="CX91" s="10">
        <f>SUM(CY89-CZ89)</f>
        <v>555</v>
      </c>
      <c r="DD91" s="10">
        <f>SUM(DE89-DF89)</f>
        <v>353</v>
      </c>
      <c r="DP91" s="10">
        <f>SUM(DQ89-DR89)</f>
        <v>0</v>
      </c>
      <c r="EB91" s="10">
        <f>SUM(EC89-ED89)</f>
        <v>835603</v>
      </c>
      <c r="EC91" s="10"/>
      <c r="ED91" s="263"/>
      <c r="EE91" s="263"/>
      <c r="EF91" s="263"/>
      <c r="EG91" s="263"/>
      <c r="EH91" s="407">
        <f>SUM(EI89-EJ89)</f>
        <v>0</v>
      </c>
      <c r="EI91" s="263"/>
      <c r="EJ91" s="263"/>
      <c r="EK91" s="263"/>
      <c r="EL91" s="263"/>
      <c r="EM91" s="263"/>
      <c r="EN91" s="263"/>
      <c r="EO91" s="263"/>
      <c r="EP91" s="263"/>
      <c r="ET91" s="47" t="e">
        <f>SUM(BH91+DD91+EB91+CX91+CR91+CL91+CF91+BZ91+BB91+AV91+BN91+AP91+AJ91+AD91+X91+R91+L91+F91+DP91)</f>
        <v>#REF!</v>
      </c>
      <c r="EW91" s="10"/>
      <c r="EX91" s="10"/>
      <c r="EY91" s="10"/>
      <c r="EZ91" s="10"/>
    </row>
    <row r="92" spans="1:156" ht="18.95" customHeight="1">
      <c r="B92" s="14" t="s">
        <v>250</v>
      </c>
      <c r="D92" s="10"/>
      <c r="E92" s="10"/>
      <c r="F92" s="10"/>
      <c r="L92" s="10"/>
      <c r="R92" s="187">
        <v>8133850</v>
      </c>
      <c r="X92" s="10"/>
      <c r="AI92" s="10"/>
      <c r="AP92" s="10"/>
      <c r="AT92" s="10"/>
      <c r="AU92" s="10"/>
      <c r="AV92" s="10">
        <f>SUM(AV89+AW89-AX89)</f>
        <v>36119385</v>
      </c>
      <c r="BE92"/>
      <c r="BF92"/>
      <c r="BG92"/>
      <c r="BH92" s="10"/>
      <c r="BI92"/>
      <c r="BJ92" s="356"/>
      <c r="BQ92" s="10"/>
      <c r="BT92" s="10" t="e">
        <f>SUM(BQ89+BR89-BS89)</f>
        <v>#REF!</v>
      </c>
      <c r="BZ92" s="11">
        <f>SUM(BZ91+BZ89)</f>
        <v>2787000</v>
      </c>
      <c r="DY92" t="s">
        <v>253</v>
      </c>
      <c r="EB92" s="10"/>
      <c r="EQ92" s="10">
        <f>SUM(EQ89-[2]Лист1!D88)</f>
        <v>3793398344.3999996</v>
      </c>
      <c r="ER92" s="10" t="e">
        <f>SUM(ER89-[2]Лист1!E88)</f>
        <v>#REF!</v>
      </c>
      <c r="ES92" s="10"/>
      <c r="ET92" s="10"/>
      <c r="EU92" s="10"/>
    </row>
    <row r="93" spans="1:156" ht="18.95" customHeight="1">
      <c r="B93" s="45" t="s">
        <v>133</v>
      </c>
      <c r="F93" s="11">
        <f>F89+F91+F92</f>
        <v>434631661</v>
      </c>
      <c r="L93" s="10">
        <f>SUM(L92+L91+L89)</f>
        <v>525387901.56999999</v>
      </c>
      <c r="R93" s="26">
        <f>SUM(R89+R91+R92)</f>
        <v>128046971</v>
      </c>
      <c r="X93" s="10">
        <f>SUM(X92+X91+X89)-0.87</f>
        <v>286290560</v>
      </c>
      <c r="AD93" s="10">
        <f>SUM(AD92+AD91+AD89)</f>
        <v>102739889.256248</v>
      </c>
      <c r="AJ93" s="10">
        <f>SUM(AJ89:AJ92)</f>
        <v>82651094</v>
      </c>
      <c r="AP93" s="47">
        <f>SUM(AP89:AP92)</f>
        <v>20415709.129999999</v>
      </c>
      <c r="AV93" s="10">
        <f>SUM(AS89+AT91-AU89)</f>
        <v>27758820</v>
      </c>
      <c r="BB93" s="48">
        <f>SUM(BB92+BB91+BB89)</f>
        <v>63629168</v>
      </c>
      <c r="BE93"/>
      <c r="BF93"/>
      <c r="BG93"/>
      <c r="BH93" s="262">
        <f>SUM(BH89:BH91)</f>
        <v>34226458</v>
      </c>
      <c r="BI93" s="10"/>
      <c r="BJ93" s="263"/>
      <c r="BN93" s="48" t="e">
        <f>SUM(BN91+BN89)</f>
        <v>#REF!</v>
      </c>
      <c r="BQ93" s="635">
        <f>SUM(BQ89)</f>
        <v>1829629089.0599997</v>
      </c>
      <c r="BR93" s="635" t="e">
        <f>SUM(BR89+BU89)</f>
        <v>#REF!</v>
      </c>
      <c r="BS93" s="635" t="e">
        <f>SUM(BS89+BV89)</f>
        <v>#REF!</v>
      </c>
      <c r="BT93" s="635" t="e">
        <f>SUM(BQ93+BR93-BS93)</f>
        <v>#REF!</v>
      </c>
      <c r="CF93" s="10">
        <f>SUM(CF92+CF91+CF89)</f>
        <v>1336434</v>
      </c>
      <c r="CL93" s="10">
        <f>SUM(CL89+CL91)</f>
        <v>2328816</v>
      </c>
      <c r="CR93" s="10">
        <f>SUM(CR92+CR91+CR89)</f>
        <v>1111063</v>
      </c>
      <c r="CX93" s="10">
        <f>SUM(CX92+CX91+CX89)</f>
        <v>2579468</v>
      </c>
      <c r="DD93" s="10">
        <f>SUM(DD91+DD89)</f>
        <v>3733937.34</v>
      </c>
      <c r="DP93" s="10">
        <f>SUM(DP89+DP91+DP92)</f>
        <v>1442791</v>
      </c>
      <c r="EB93" s="10"/>
      <c r="EH93" s="407">
        <f>SUM(EH89+EH91)</f>
        <v>1187980</v>
      </c>
      <c r="ET93" s="47" t="e">
        <f>SUM(ET91+ET89)</f>
        <v>#REF!</v>
      </c>
    </row>
    <row r="94" spans="1:156" ht="18.95" customHeight="1" thickBot="1">
      <c r="B94" s="14" t="s">
        <v>370</v>
      </c>
      <c r="F94" s="10"/>
      <c r="R94" s="26"/>
      <c r="AP94" s="10">
        <v>20415709.129999999</v>
      </c>
      <c r="AV94" s="10">
        <v>36119385</v>
      </c>
      <c r="BE94"/>
      <c r="BF94"/>
      <c r="BG94"/>
      <c r="BH94" s="10">
        <v>34258308</v>
      </c>
      <c r="BI94" s="10"/>
      <c r="BJ94" s="263"/>
      <c r="BQ94" s="10"/>
      <c r="BZ94" s="10">
        <v>2474025</v>
      </c>
      <c r="CI94" s="10">
        <f>SUM(CI89-1728816)</f>
        <v>389414</v>
      </c>
      <c r="DB94" s="10">
        <f>SUM(DB89-[2]Лист11!AJ89)</f>
        <v>4000</v>
      </c>
      <c r="DD94" s="10"/>
      <c r="EB94" s="10">
        <f>EB89+EB91+EB92</f>
        <v>1950259194</v>
      </c>
      <c r="EC94" s="10"/>
      <c r="ED94" s="263"/>
      <c r="EE94" s="263"/>
      <c r="EF94" s="263"/>
      <c r="EG94" s="263"/>
      <c r="EH94" s="263"/>
      <c r="EI94" s="263"/>
      <c r="EJ94" s="263"/>
      <c r="EK94" s="263"/>
      <c r="EL94" s="263"/>
      <c r="EM94" s="263"/>
      <c r="EN94" s="263"/>
      <c r="EO94" s="263"/>
      <c r="EP94" s="263"/>
      <c r="EQ94" s="10"/>
      <c r="ER94" s="10"/>
      <c r="ES94" s="10"/>
      <c r="ET94" s="10"/>
      <c r="EU94" s="10"/>
    </row>
    <row r="95" spans="1:156" ht="18.95" customHeight="1" thickBot="1">
      <c r="B95" s="364" t="s">
        <v>379</v>
      </c>
      <c r="D95" s="49"/>
      <c r="F95" s="10">
        <v>434631661</v>
      </c>
      <c r="J95" s="49"/>
      <c r="L95" s="10"/>
      <c r="P95" s="49">
        <f>SUM(P89-[2]Лист11!H89)</f>
        <v>6493911</v>
      </c>
      <c r="R95" s="26">
        <v>118841765.23999999</v>
      </c>
      <c r="V95" s="49">
        <f>SUM(V89-[2]Лист11!J89)</f>
        <v>62824727.969999999</v>
      </c>
      <c r="X95" s="10">
        <v>260943551</v>
      </c>
      <c r="AB95" s="16"/>
      <c r="AD95" s="10"/>
      <c r="AJ95" s="10"/>
      <c r="AN95" s="49"/>
      <c r="AT95" s="49"/>
      <c r="AV95" s="362"/>
      <c r="AZ95" s="186"/>
      <c r="BB95" s="48"/>
      <c r="BQ95" s="10" t="e">
        <f>SUM(BQ83+BR83-BS83)</f>
        <v>#REF!</v>
      </c>
      <c r="BT95" s="10" t="e">
        <f>SUM(BT89-BT92)</f>
        <v>#REF!</v>
      </c>
      <c r="BX95" s="49">
        <f>SUM(BX89-[2]Лист11!Y89)</f>
        <v>464913</v>
      </c>
      <c r="CD95" s="49">
        <f>SUM(CD89-[2]Лист11!AA89)</f>
        <v>0</v>
      </c>
      <c r="CF95" s="10">
        <v>1362753</v>
      </c>
      <c r="CJ95" s="49">
        <f>SUM(CJ89-[2]Лист11!AC89)</f>
        <v>637807</v>
      </c>
      <c r="CL95" s="10">
        <v>2118230</v>
      </c>
      <c r="CP95" s="49">
        <f>SUM(CP89-[2]Лист11!AE89)</f>
        <v>94500</v>
      </c>
      <c r="CR95" s="10">
        <v>1182148</v>
      </c>
      <c r="CV95" s="364"/>
      <c r="CX95" s="10"/>
      <c r="DD95" s="10">
        <v>3741293.34</v>
      </c>
      <c r="DJ95" s="10"/>
      <c r="DK95" s="10"/>
      <c r="DL95" s="263"/>
      <c r="EQ95" s="10"/>
      <c r="ER95" s="10"/>
      <c r="ES95" s="10"/>
      <c r="ET95" s="10"/>
      <c r="EU95" s="10"/>
    </row>
    <row r="96" spans="1:156" ht="18.95" customHeight="1">
      <c r="F96" s="10"/>
      <c r="AB96" s="366"/>
      <c r="BN96" s="48" t="e">
        <f>SUM(#REF!)</f>
        <v>#REF!</v>
      </c>
      <c r="BQ96" s="10"/>
      <c r="DJ96" s="10">
        <f>SUM(BH93-BH94)</f>
        <v>-31850</v>
      </c>
      <c r="DK96" s="10"/>
      <c r="DL96" s="263"/>
      <c r="EQ96" s="1212" t="s">
        <v>409</v>
      </c>
      <c r="ER96" s="1213"/>
      <c r="ES96" s="1213"/>
      <c r="ET96" s="1214"/>
      <c r="EU96" s="10"/>
    </row>
    <row r="97" spans="3:151" ht="18.95" customHeight="1">
      <c r="C97" s="10"/>
      <c r="D97" s="10"/>
      <c r="E97" s="10"/>
      <c r="F97" s="10"/>
      <c r="G97" s="10"/>
      <c r="H97" s="263">
        <f>SUM(H89-'[3]Бонки влож (общий)'!I11)</f>
        <v>0</v>
      </c>
      <c r="I97" s="10"/>
      <c r="J97" s="10"/>
      <c r="K97" s="10"/>
      <c r="L97" s="10"/>
      <c r="M97" s="358"/>
      <c r="N97" s="263"/>
      <c r="O97" s="10">
        <f>SUM(O89-'[3]Бонки влож (общий)'!D7)</f>
        <v>0</v>
      </c>
      <c r="P97" s="10">
        <f>SUM(P89-'[3]Бонки влож (общий)'!E7)</f>
        <v>6493911</v>
      </c>
      <c r="Q97" s="10">
        <f>SUM(Q89-'[3]Бонки влож (общий)'!F7)</f>
        <v>5429053.2400000002</v>
      </c>
      <c r="R97" s="26">
        <f>SUM(R89-'[3]Бонки влож (общий)'!G7)</f>
        <v>1064857.7600000054</v>
      </c>
      <c r="S97" s="10">
        <f>SUM(S89-'[3]Бонки влож (общий)'!H7)</f>
        <v>7209</v>
      </c>
      <c r="T97" s="263">
        <f>SUM(T89-'[3]Бонки влож (общий)'!I7)</f>
        <v>711</v>
      </c>
      <c r="U97" s="10">
        <f>SUM(U89-'[3]Бонки влож (общий)'!D8)</f>
        <v>150514533</v>
      </c>
      <c r="V97" s="10">
        <f>SUM(V89-'[3]Бонки влож (общий)'!E8)</f>
        <v>-237093936.03</v>
      </c>
      <c r="W97" s="10">
        <f>SUM(W89-'[3]Бонки влож (общий)'!F8)</f>
        <v>-111749114.87</v>
      </c>
      <c r="X97" s="10">
        <f>SUM(X89-'[3]Бонки влож (общий)'!G8)</f>
        <v>25169711.840000033</v>
      </c>
      <c r="Y97" s="10">
        <f>SUM(Y89-'[3]Бонки влож (общий)'!H8)</f>
        <v>-1308157.97</v>
      </c>
      <c r="Z97" s="263">
        <f>SUM(Z89-'[3]Бонки влож (общий)'!I8)</f>
        <v>0</v>
      </c>
      <c r="AA97" s="10"/>
      <c r="AB97" s="10"/>
      <c r="AC97" s="10"/>
      <c r="AD97" s="10"/>
      <c r="AE97" s="10"/>
      <c r="AF97" s="263">
        <f>SUM(AF89-'[3]Бонки влож (общий)'!I10)</f>
        <v>0</v>
      </c>
      <c r="AG97" s="10"/>
      <c r="AH97" s="10"/>
      <c r="AI97" s="10"/>
      <c r="AJ97" s="10"/>
      <c r="AK97" s="10"/>
      <c r="AL97" s="263"/>
      <c r="AM97" s="10"/>
      <c r="AN97" s="10"/>
      <c r="AO97" s="10"/>
      <c r="AP97" s="10">
        <f>SUM(AP93-AP94)</f>
        <v>0</v>
      </c>
      <c r="AQ97" s="10"/>
      <c r="AR97" s="263">
        <f>SUM(AR89-'[3]Бонки влож (общий)'!I15)</f>
        <v>0</v>
      </c>
      <c r="AV97" s="10">
        <f>SUM(AV94-AV89)</f>
        <v>198812</v>
      </c>
      <c r="BB97" s="48"/>
      <c r="BK97" s="48" t="e">
        <f>SUM(BK89-#REF!)</f>
        <v>#REF!</v>
      </c>
      <c r="BL97" s="48" t="e">
        <f>SUM(BL89-#REF!)</f>
        <v>#REF!</v>
      </c>
      <c r="BM97" s="48"/>
      <c r="BN97" s="48"/>
      <c r="BO97" s="48" t="e">
        <f>SUM(BO89-#REF!)</f>
        <v>#REF!</v>
      </c>
      <c r="BP97" s="48" t="e">
        <f>SUM(BP89-#REF!)</f>
        <v>#REF!</v>
      </c>
      <c r="BQ97" s="10"/>
      <c r="DA97" s="10">
        <f>SUM(DA89-'[3]Бонки влож (общий)'!D20)</f>
        <v>-1202736.6600000001</v>
      </c>
      <c r="DB97" s="10">
        <f>SUM(DB89-'[3]Бонки влож (общий)'!E20)</f>
        <v>-2046253</v>
      </c>
      <c r="DC97" s="10">
        <f>SUM(DC89-'[3]Бонки влож (общий)'!F20)</f>
        <v>-3241280.66</v>
      </c>
      <c r="DD97" s="10">
        <f>SUM(DD95-DD93)</f>
        <v>7356</v>
      </c>
      <c r="DE97" s="10">
        <f>SUM(DE89-'[3]Бонки влож (общий)'!H20)</f>
        <v>-1055</v>
      </c>
      <c r="DF97" s="10">
        <f>SUM(DF89-'[3]Бонки влож (общий)'!I20)</f>
        <v>0</v>
      </c>
      <c r="EQ97" s="10"/>
      <c r="ER97" s="10"/>
      <c r="ES97" s="10"/>
      <c r="ET97" s="10"/>
      <c r="EU97" s="10"/>
    </row>
    <row r="98" spans="3:151" ht="18.95" customHeight="1">
      <c r="AV98" s="10">
        <f>SUM(AV94-AV93)</f>
        <v>8360565</v>
      </c>
      <c r="BQ98" s="10"/>
      <c r="EH98" s="1215" t="s">
        <v>408</v>
      </c>
      <c r="EI98" s="1216"/>
      <c r="EJ98" s="1216"/>
      <c r="EK98" s="674"/>
      <c r="EL98" s="674"/>
      <c r="EM98" s="674"/>
      <c r="EN98" s="674"/>
      <c r="EO98" s="674"/>
      <c r="EP98" s="674"/>
      <c r="EQ98" s="641">
        <f>SUM(EQ89-BQ93)</f>
        <v>1963769255.3399999</v>
      </c>
      <c r="ER98" s="641" t="e">
        <f>SUM(ER89+EU89-BR93)</f>
        <v>#REF!</v>
      </c>
      <c r="ES98" s="641" t="e">
        <f>SUM(ES89+EV89-BS93)</f>
        <v>#REF!</v>
      </c>
      <c r="ET98" s="642" t="e">
        <f>SUM(ET93-BT93)</f>
        <v>#REF!</v>
      </c>
      <c r="EU98" s="636"/>
    </row>
    <row r="99" spans="3:151">
      <c r="AB99" s="364" t="s">
        <v>379</v>
      </c>
      <c r="BQ99" s="10"/>
      <c r="DK99" s="10"/>
      <c r="DL99" s="263"/>
      <c r="EH99" s="639"/>
      <c r="EI99" s="639"/>
      <c r="EJ99" s="639"/>
      <c r="EK99" s="639"/>
      <c r="EL99" s="639"/>
      <c r="EM99" s="639"/>
      <c r="EN99" s="639"/>
      <c r="EO99" s="639"/>
      <c r="EP99" s="639"/>
      <c r="EQ99" s="640"/>
      <c r="ER99" s="640"/>
      <c r="ES99" s="640"/>
      <c r="ET99" s="640"/>
      <c r="EU99" s="10"/>
    </row>
    <row r="100" spans="3:151">
      <c r="BQ100" s="10"/>
      <c r="EH100" s="1205" t="s">
        <v>406</v>
      </c>
      <c r="EI100" s="1206"/>
      <c r="EJ100" s="1207"/>
      <c r="EK100" s="673"/>
      <c r="EL100" s="673"/>
      <c r="EM100" s="673"/>
      <c r="EN100" s="673"/>
      <c r="EO100" s="673"/>
      <c r="EP100" s="673"/>
      <c r="EQ100" s="637" t="e">
        <f>SUM(EQ98-#REF!)</f>
        <v>#REF!</v>
      </c>
      <c r="ER100" s="637" t="e">
        <f>SUM(ER98-#REF!)</f>
        <v>#REF!</v>
      </c>
      <c r="ES100" s="637" t="e">
        <f>SUM(ES98-#REF!)</f>
        <v>#REF!</v>
      </c>
      <c r="ET100" s="638" t="e">
        <f>SUM(ET98-#REF!)</f>
        <v>#REF!</v>
      </c>
      <c r="EU100" s="10"/>
    </row>
    <row r="101" spans="3:151">
      <c r="BQ101" s="10"/>
      <c r="EH101" s="639"/>
      <c r="EI101" s="639"/>
      <c r="EJ101" s="639"/>
      <c r="EK101" s="639"/>
      <c r="EL101" s="639"/>
      <c r="EM101" s="639"/>
      <c r="EN101" s="639"/>
      <c r="EO101" s="639"/>
      <c r="EP101" s="639"/>
      <c r="EQ101" s="640"/>
      <c r="ER101" s="640"/>
      <c r="ES101" s="640"/>
      <c r="ET101" s="640"/>
      <c r="EU101" s="10"/>
    </row>
    <row r="102" spans="3:151">
      <c r="BQ102" s="10"/>
      <c r="EH102" s="1205" t="s">
        <v>407</v>
      </c>
      <c r="EI102" s="1206"/>
      <c r="EJ102" s="1207"/>
      <c r="EK102" s="673"/>
      <c r="EL102" s="673"/>
      <c r="EM102" s="673"/>
      <c r="EN102" s="673"/>
      <c r="EO102" s="673"/>
      <c r="EP102" s="673"/>
      <c r="EQ102" s="643" t="e">
        <f>SUM(EQ98-EQ100)</f>
        <v>#REF!</v>
      </c>
      <c r="ER102" s="643" t="e">
        <f>SUM(ER98-ER100)</f>
        <v>#REF!</v>
      </c>
      <c r="ES102" s="643" t="e">
        <f>SUM(ES98-ES100)</f>
        <v>#REF!</v>
      </c>
      <c r="ET102" s="644" t="e">
        <f>SUM(ET98-ET100)</f>
        <v>#REF!</v>
      </c>
      <c r="EU102" s="10"/>
    </row>
    <row r="103" spans="3:151">
      <c r="BQ103" s="10"/>
      <c r="EQ103" s="10"/>
      <c r="ER103" s="10"/>
      <c r="ES103" s="10"/>
      <c r="ET103" s="10"/>
      <c r="EU103" s="10"/>
    </row>
    <row r="104" spans="3:151">
      <c r="BQ104" s="10"/>
      <c r="EQ104" s="10" t="e">
        <f>SUM(EQ102-#REF!)</f>
        <v>#REF!</v>
      </c>
      <c r="ER104" s="10" t="e">
        <f>SUM(ER102-#REF!)</f>
        <v>#REF!</v>
      </c>
      <c r="ES104" s="10" t="e">
        <f>SUM(ES102-#REF!)</f>
        <v>#REF!</v>
      </c>
      <c r="ET104" s="10" t="e">
        <f>SUM(ET102-#REF!)</f>
        <v>#REF!</v>
      </c>
      <c r="EU104" s="10"/>
    </row>
    <row r="105" spans="3:151">
      <c r="BQ105" s="10"/>
      <c r="EQ105" s="10"/>
      <c r="ER105" s="10"/>
      <c r="ES105" s="10"/>
      <c r="ET105" s="10"/>
      <c r="EU105" s="10"/>
    </row>
    <row r="106" spans="3:151">
      <c r="BQ106" s="10"/>
      <c r="EQ106" s="10"/>
      <c r="ER106" s="10"/>
      <c r="ES106" s="10"/>
      <c r="ET106" s="10"/>
      <c r="EU106" s="10"/>
    </row>
    <row r="107" spans="3:151">
      <c r="BQ107" s="10"/>
      <c r="EQ107" s="10"/>
      <c r="ER107" s="10"/>
      <c r="ES107" s="10"/>
      <c r="ET107" s="10"/>
      <c r="EU107" s="10"/>
    </row>
    <row r="108" spans="3:151">
      <c r="BQ108" s="10"/>
      <c r="EQ108" s="10"/>
      <c r="ER108" s="10"/>
      <c r="ES108" s="10"/>
      <c r="ET108" s="10"/>
      <c r="EU108" s="10"/>
    </row>
    <row r="109" spans="3:151">
      <c r="BQ109" s="10"/>
      <c r="EQ109" s="10"/>
      <c r="ER109" s="10"/>
      <c r="ES109" s="10"/>
      <c r="ET109" s="10"/>
      <c r="EU109" s="10"/>
    </row>
    <row r="110" spans="3:151">
      <c r="BQ110" s="10"/>
      <c r="EQ110" s="10"/>
      <c r="ER110" s="10"/>
      <c r="ES110" s="10"/>
      <c r="ET110" s="10"/>
      <c r="EU110" s="10"/>
    </row>
    <row r="111" spans="3:151">
      <c r="BQ111" s="10"/>
      <c r="EQ111" s="10"/>
      <c r="ER111" s="10"/>
      <c r="ES111" s="10"/>
      <c r="ET111" s="10"/>
      <c r="EU111" s="10"/>
    </row>
    <row r="112" spans="3:151">
      <c r="BQ112" s="10"/>
      <c r="EQ112" s="10"/>
      <c r="ER112" s="10"/>
      <c r="ES112" s="10"/>
      <c r="ET112" s="10"/>
      <c r="EU112" s="10"/>
    </row>
    <row r="113" spans="69:151">
      <c r="BQ113" s="10"/>
      <c r="EQ113" s="10"/>
      <c r="ER113" s="10"/>
      <c r="ES113" s="10"/>
      <c r="ET113" s="10"/>
      <c r="EU113" s="10"/>
    </row>
    <row r="114" spans="69:151">
      <c r="BQ114" s="10"/>
      <c r="EQ114" s="10"/>
      <c r="ER114" s="10"/>
      <c r="ES114" s="10"/>
      <c r="ET114" s="10"/>
      <c r="EU114" s="10"/>
    </row>
    <row r="115" spans="69:151">
      <c r="BQ115" s="10"/>
      <c r="EQ115" s="10"/>
      <c r="ER115" s="10"/>
      <c r="ES115" s="10"/>
      <c r="ET115" s="10"/>
      <c r="EU115" s="10"/>
    </row>
    <row r="116" spans="69:151">
      <c r="BQ116" s="10"/>
      <c r="EQ116" s="10"/>
      <c r="ER116" s="10"/>
      <c r="ES116" s="10"/>
      <c r="ET116" s="10"/>
      <c r="EU116" s="10"/>
    </row>
    <row r="117" spans="69:151">
      <c r="BQ117" s="10"/>
      <c r="EQ117" s="10"/>
      <c r="ER117" s="10"/>
      <c r="ES117" s="10"/>
      <c r="ET117" s="10"/>
      <c r="EU117" s="10"/>
    </row>
    <row r="118" spans="69:151">
      <c r="BQ118" s="10"/>
      <c r="EQ118" s="10"/>
      <c r="ER118" s="10"/>
      <c r="ES118" s="10"/>
      <c r="ET118" s="10"/>
      <c r="EU118" s="10"/>
    </row>
    <row r="119" spans="69:151">
      <c r="BQ119" s="10"/>
      <c r="EQ119" s="10"/>
      <c r="ER119" s="10"/>
      <c r="ES119" s="10"/>
      <c r="ET119" s="10"/>
      <c r="EU119" s="10"/>
    </row>
    <row r="120" spans="69:151">
      <c r="BQ120" s="10"/>
      <c r="EQ120" s="10"/>
      <c r="ER120" s="10"/>
      <c r="ES120" s="10"/>
      <c r="ET120" s="10"/>
      <c r="EU120" s="10"/>
    </row>
    <row r="121" spans="69:151">
      <c r="BQ121" s="10"/>
      <c r="EQ121" s="10"/>
      <c r="ER121" s="10"/>
      <c r="ES121" s="10"/>
      <c r="ET121" s="10"/>
      <c r="EU121" s="10"/>
    </row>
    <row r="122" spans="69:151">
      <c r="BQ122" s="10"/>
      <c r="EQ122" s="10"/>
      <c r="ER122" s="10"/>
      <c r="ES122" s="10"/>
      <c r="ET122" s="10"/>
      <c r="EU122" s="10"/>
    </row>
    <row r="123" spans="69:151">
      <c r="BQ123" s="10"/>
      <c r="EQ123" s="10"/>
      <c r="ER123" s="10"/>
      <c r="ES123" s="10"/>
      <c r="ET123" s="10"/>
      <c r="EU123" s="10"/>
    </row>
    <row r="124" spans="69:151">
      <c r="BQ124" s="10"/>
      <c r="EQ124" s="10"/>
      <c r="ER124" s="10"/>
      <c r="ES124" s="10"/>
      <c r="ET124" s="10"/>
      <c r="EU124" s="10"/>
    </row>
    <row r="125" spans="69:151">
      <c r="BQ125" s="10"/>
      <c r="EQ125" s="10"/>
      <c r="ER125" s="10"/>
      <c r="ES125" s="10"/>
      <c r="ET125" s="10"/>
      <c r="EU125" s="10"/>
    </row>
    <row r="126" spans="69:151">
      <c r="BQ126" s="10"/>
      <c r="EQ126" s="10"/>
      <c r="ER126" s="10"/>
      <c r="ES126" s="10"/>
      <c r="ET126" s="10"/>
      <c r="EU126" s="10"/>
    </row>
    <row r="127" spans="69:151">
      <c r="BQ127" s="10"/>
      <c r="EQ127" s="10"/>
      <c r="ER127" s="10"/>
      <c r="ES127" s="10"/>
      <c r="ET127" s="10"/>
      <c r="EU127" s="10"/>
    </row>
    <row r="128" spans="69:151">
      <c r="BQ128" s="10"/>
      <c r="EQ128" s="10"/>
      <c r="ER128" s="10"/>
      <c r="ES128" s="10"/>
      <c r="ET128" s="10"/>
      <c r="EU128" s="10"/>
    </row>
    <row r="129" spans="69:151">
      <c r="BQ129" s="10"/>
      <c r="EQ129" s="10"/>
      <c r="ER129" s="10"/>
      <c r="ES129" s="10"/>
      <c r="ET129" s="10"/>
      <c r="EU129" s="10"/>
    </row>
    <row r="130" spans="69:151">
      <c r="BQ130" s="10"/>
      <c r="EQ130" s="10"/>
      <c r="ER130" s="10"/>
      <c r="ES130" s="10"/>
      <c r="ET130" s="10"/>
      <c r="EU130" s="10"/>
    </row>
    <row r="131" spans="69:151">
      <c r="BQ131" s="10"/>
      <c r="EQ131" s="10"/>
      <c r="ER131" s="10"/>
      <c r="ES131" s="10"/>
      <c r="ET131" s="10"/>
      <c r="EU131" s="10"/>
    </row>
    <row r="132" spans="69:151">
      <c r="BQ132" s="10"/>
      <c r="EQ132" s="10"/>
      <c r="ER132" s="10"/>
      <c r="ES132" s="10"/>
      <c r="ET132" s="10"/>
      <c r="EU132" s="10"/>
    </row>
    <row r="133" spans="69:151">
      <c r="BQ133" s="10"/>
      <c r="EQ133" s="10"/>
      <c r="ER133" s="10"/>
      <c r="ES133" s="10"/>
      <c r="ET133" s="10"/>
      <c r="EU133" s="10"/>
    </row>
    <row r="134" spans="69:151">
      <c r="BQ134" s="10"/>
      <c r="EQ134" s="10"/>
      <c r="ER134" s="10"/>
      <c r="ES134" s="10"/>
      <c r="ET134" s="10"/>
      <c r="EU134" s="10"/>
    </row>
    <row r="135" spans="69:151">
      <c r="BQ135" s="10"/>
      <c r="EQ135" s="10"/>
      <c r="ER135" s="10"/>
      <c r="ES135" s="10"/>
      <c r="ET135" s="10"/>
      <c r="EU135" s="10"/>
    </row>
    <row r="136" spans="69:151">
      <c r="BQ136" s="10"/>
      <c r="EQ136" s="10"/>
      <c r="ER136" s="10"/>
      <c r="ES136" s="10"/>
      <c r="ET136" s="10"/>
      <c r="EU136" s="10"/>
    </row>
    <row r="137" spans="69:151">
      <c r="BQ137" s="10"/>
      <c r="EQ137" s="10"/>
      <c r="ER137" s="10"/>
      <c r="ES137" s="10"/>
      <c r="ET137" s="10"/>
      <c r="EU137" s="10"/>
    </row>
    <row r="138" spans="69:151">
      <c r="BQ138" s="10"/>
      <c r="EQ138" s="10"/>
      <c r="ER138" s="10"/>
      <c r="ES138" s="10"/>
      <c r="ET138" s="10"/>
      <c r="EU138" s="10"/>
    </row>
    <row r="139" spans="69:151">
      <c r="BQ139" s="10"/>
      <c r="EQ139" s="10"/>
      <c r="ER139" s="10"/>
      <c r="ES139" s="10"/>
      <c r="ET139" s="10"/>
      <c r="EU139" s="10"/>
    </row>
    <row r="140" spans="69:151">
      <c r="BQ140" s="10"/>
      <c r="EQ140" s="10"/>
      <c r="ER140" s="10"/>
      <c r="ES140" s="10"/>
      <c r="ET140" s="10"/>
      <c r="EU140" s="10"/>
    </row>
    <row r="141" spans="69:151">
      <c r="BQ141" s="10"/>
      <c r="EQ141" s="10"/>
      <c r="ER141" s="10"/>
      <c r="ES141" s="10"/>
      <c r="ET141" s="10"/>
      <c r="EU141" s="10"/>
    </row>
    <row r="142" spans="69:151">
      <c r="BQ142" s="10"/>
      <c r="EQ142" s="10"/>
      <c r="ER142" s="10"/>
      <c r="ES142" s="10"/>
      <c r="ET142" s="10"/>
      <c r="EU142" s="10"/>
    </row>
    <row r="143" spans="69:151">
      <c r="BQ143" s="10"/>
      <c r="EQ143" s="10"/>
      <c r="ER143" s="10"/>
      <c r="ES143" s="10"/>
      <c r="ET143" s="10"/>
      <c r="EU143" s="10"/>
    </row>
    <row r="144" spans="69:151">
      <c r="BQ144" s="10"/>
      <c r="EQ144" s="10"/>
      <c r="ER144" s="10"/>
      <c r="ES144" s="10"/>
      <c r="ET144" s="10"/>
      <c r="EU144" s="10"/>
    </row>
    <row r="145" spans="69:151">
      <c r="BQ145" s="10"/>
      <c r="EQ145" s="10"/>
      <c r="ER145" s="10"/>
      <c r="ES145" s="10"/>
      <c r="ET145" s="10"/>
      <c r="EU145" s="10"/>
    </row>
    <row r="146" spans="69:151">
      <c r="BQ146" s="10"/>
      <c r="EQ146" s="10"/>
      <c r="ER146" s="10"/>
      <c r="ES146" s="10"/>
      <c r="ET146" s="10"/>
      <c r="EU146" s="10"/>
    </row>
    <row r="147" spans="69:151">
      <c r="BQ147" s="10"/>
      <c r="EQ147" s="10"/>
      <c r="ER147" s="10"/>
      <c r="ES147" s="10"/>
      <c r="ET147" s="10"/>
      <c r="EU147" s="10"/>
    </row>
    <row r="148" spans="69:151">
      <c r="BQ148" s="10"/>
      <c r="EQ148" s="10"/>
      <c r="ER148" s="10"/>
      <c r="ES148" s="10"/>
      <c r="ET148" s="10"/>
      <c r="EU148" s="10"/>
    </row>
    <row r="149" spans="69:151">
      <c r="BQ149" s="10"/>
      <c r="EQ149" s="10"/>
      <c r="ER149" s="10"/>
      <c r="ES149" s="10"/>
      <c r="ET149" s="10"/>
      <c r="EU149" s="10"/>
    </row>
    <row r="150" spans="69:151">
      <c r="BQ150" s="10"/>
      <c r="EQ150" s="10"/>
      <c r="ER150" s="10"/>
      <c r="ES150" s="10"/>
      <c r="ET150" s="10"/>
      <c r="EU150" s="10"/>
    </row>
    <row r="151" spans="69:151">
      <c r="BQ151" s="10"/>
      <c r="EQ151" s="10"/>
      <c r="ER151" s="10"/>
      <c r="ES151" s="10"/>
      <c r="ET151" s="10"/>
      <c r="EU151" s="10"/>
    </row>
    <row r="152" spans="69:151">
      <c r="BQ152" s="10"/>
      <c r="EQ152" s="10"/>
      <c r="ER152" s="10"/>
      <c r="ES152" s="10"/>
      <c r="ET152" s="10"/>
      <c r="EU152" s="10"/>
    </row>
    <row r="153" spans="69:151">
      <c r="BQ153" s="10"/>
      <c r="EQ153" s="10"/>
      <c r="ER153" s="10"/>
      <c r="ES153" s="10"/>
      <c r="ET153" s="10"/>
      <c r="EU153" s="10"/>
    </row>
    <row r="154" spans="69:151">
      <c r="BQ154" s="10"/>
      <c r="EQ154" s="10"/>
      <c r="ER154" s="10"/>
      <c r="ES154" s="10"/>
      <c r="ET154" s="10"/>
      <c r="EU154" s="10"/>
    </row>
    <row r="155" spans="69:151">
      <c r="EQ155" s="10"/>
      <c r="ER155" s="10"/>
      <c r="ES155" s="10"/>
      <c r="ET155" s="10"/>
      <c r="EU155" s="10"/>
    </row>
    <row r="156" spans="69:151">
      <c r="EQ156" s="10"/>
      <c r="ER156" s="10"/>
      <c r="ES156" s="10"/>
      <c r="ET156" s="10"/>
      <c r="EU156" s="10"/>
    </row>
    <row r="157" spans="69:151">
      <c r="EQ157" s="10"/>
      <c r="ER157" s="10"/>
      <c r="ES157" s="10"/>
      <c r="ET157" s="10"/>
      <c r="EU157" s="10"/>
    </row>
    <row r="158" spans="69:151">
      <c r="EQ158" s="10"/>
      <c r="ER158" s="10"/>
      <c r="ES158" s="10"/>
      <c r="ET158" s="10"/>
      <c r="EU158" s="10"/>
    </row>
    <row r="159" spans="69:151">
      <c r="EQ159" s="10"/>
      <c r="ER159" s="10"/>
      <c r="ES159" s="10"/>
      <c r="ET159" s="10"/>
      <c r="EU159" s="10"/>
    </row>
    <row r="160" spans="69:151">
      <c r="EQ160" s="10"/>
      <c r="ER160" s="10"/>
      <c r="ES160" s="10"/>
      <c r="ET160" s="10"/>
      <c r="EU160" s="10"/>
    </row>
    <row r="161" spans="147:151">
      <c r="EQ161" s="10"/>
      <c r="ER161" s="10"/>
      <c r="ES161" s="10"/>
      <c r="ET161" s="10"/>
      <c r="EU161" s="10"/>
    </row>
    <row r="162" spans="147:151">
      <c r="EQ162" s="10"/>
      <c r="ER162" s="10"/>
      <c r="ES162" s="10"/>
      <c r="ET162" s="10"/>
      <c r="EU162" s="10"/>
    </row>
    <row r="163" spans="147:151">
      <c r="EQ163" s="10"/>
      <c r="ER163" s="10"/>
      <c r="ES163" s="10"/>
      <c r="ET163" s="10"/>
      <c r="EU163" s="10"/>
    </row>
    <row r="164" spans="147:151">
      <c r="EQ164" s="10"/>
      <c r="ER164" s="10"/>
      <c r="ES164" s="10"/>
      <c r="ET164" s="10"/>
      <c r="EU164" s="10"/>
    </row>
    <row r="165" spans="147:151">
      <c r="EQ165" s="10"/>
      <c r="ER165" s="10"/>
      <c r="ES165" s="10"/>
      <c r="ET165" s="10"/>
      <c r="EU165" s="10"/>
    </row>
    <row r="166" spans="147:151">
      <c r="EQ166" s="10"/>
      <c r="ER166" s="10"/>
      <c r="ES166" s="10"/>
      <c r="ET166" s="10"/>
      <c r="EU166" s="10"/>
    </row>
    <row r="167" spans="147:151">
      <c r="EQ167" s="10"/>
      <c r="ER167" s="10"/>
      <c r="ES167" s="10"/>
      <c r="ET167" s="10"/>
      <c r="EU167" s="10"/>
    </row>
    <row r="168" spans="147:151">
      <c r="EQ168" s="10"/>
      <c r="ER168" s="10"/>
      <c r="ES168" s="10"/>
      <c r="ET168" s="10"/>
      <c r="EU168" s="10"/>
    </row>
    <row r="169" spans="147:151">
      <c r="EQ169" s="10"/>
      <c r="ER169" s="10"/>
      <c r="ES169" s="10"/>
      <c r="ET169" s="10"/>
      <c r="EU169" s="10"/>
    </row>
    <row r="170" spans="147:151">
      <c r="EQ170" s="10"/>
      <c r="ER170" s="10"/>
      <c r="ES170" s="10"/>
      <c r="ET170" s="10"/>
      <c r="EU170" s="10"/>
    </row>
    <row r="171" spans="147:151">
      <c r="EQ171" s="10"/>
      <c r="ER171" s="10"/>
      <c r="ES171" s="10"/>
      <c r="ET171" s="10"/>
      <c r="EU171" s="10"/>
    </row>
    <row r="172" spans="147:151">
      <c r="EQ172" s="10"/>
      <c r="ER172" s="10"/>
      <c r="ES172" s="10"/>
      <c r="ET172" s="10"/>
      <c r="EU172" s="10"/>
    </row>
    <row r="173" spans="147:151">
      <c r="EQ173" s="10"/>
      <c r="ER173" s="10"/>
      <c r="ES173" s="10"/>
      <c r="ET173" s="10"/>
      <c r="EU173" s="10"/>
    </row>
    <row r="174" spans="147:151">
      <c r="EQ174" s="10"/>
      <c r="ER174" s="10"/>
      <c r="ES174" s="10"/>
      <c r="ET174" s="10"/>
      <c r="EU174" s="10"/>
    </row>
    <row r="175" spans="147:151">
      <c r="EQ175" s="10"/>
      <c r="ER175" s="10"/>
      <c r="ES175" s="10"/>
      <c r="ET175" s="10"/>
      <c r="EU175" s="10"/>
    </row>
    <row r="176" spans="147:151">
      <c r="EQ176" s="10"/>
      <c r="ER176" s="10"/>
      <c r="ES176" s="10"/>
      <c r="ET176" s="10"/>
      <c r="EU176" s="10"/>
    </row>
    <row r="177" spans="147:150">
      <c r="EQ177" s="10"/>
      <c r="ER177" s="10"/>
      <c r="ES177" s="10"/>
      <c r="ET177" s="10"/>
    </row>
    <row r="178" spans="147:150">
      <c r="EQ178" s="10"/>
      <c r="ER178" s="10"/>
      <c r="ES178" s="10"/>
      <c r="ET178" s="10"/>
    </row>
    <row r="179" spans="147:150">
      <c r="ES179" s="10"/>
    </row>
  </sheetData>
  <protectedRanges>
    <protectedRange sqref="AV95" name="Диапазон15_1"/>
    <protectedRange sqref="BI9:BJ16" name="Диапазон13_1"/>
    <protectedRange sqref="BI19:BJ23" name="Диапазон12_1"/>
    <protectedRange sqref="BI26:BJ33" name="Диапазон10_1"/>
    <protectedRange sqref="BI36:BJ60" name="Диапазон9_1"/>
    <protectedRange sqref="BI63:BJ80" name="Диапазон8_1"/>
    <protectedRange sqref="BI83:BJ86" name="Диапазон7_1"/>
  </protectedRanges>
  <mergeCells count="43">
    <mergeCell ref="A6:A7"/>
    <mergeCell ref="B6:B7"/>
    <mergeCell ref="C6:H6"/>
    <mergeCell ref="I6:N6"/>
    <mergeCell ref="AM6:AR6"/>
    <mergeCell ref="CC6:CH6"/>
    <mergeCell ref="AS6:AX6"/>
    <mergeCell ref="AY6:BD6"/>
    <mergeCell ref="BE6:BJ6"/>
    <mergeCell ref="O6:T6"/>
    <mergeCell ref="U6:Z6"/>
    <mergeCell ref="AA6:AF6"/>
    <mergeCell ref="AG6:AL6"/>
    <mergeCell ref="EE6:EJ6"/>
    <mergeCell ref="EK6:EP6"/>
    <mergeCell ref="EQ6:EV6"/>
    <mergeCell ref="A8:C8"/>
    <mergeCell ref="EQ8:EU8"/>
    <mergeCell ref="DG6:DL6"/>
    <mergeCell ref="DM6:DR6"/>
    <mergeCell ref="DS6:DX6"/>
    <mergeCell ref="DY6:ED6"/>
    <mergeCell ref="CI6:CN6"/>
    <mergeCell ref="CO6:CT6"/>
    <mergeCell ref="CU6:CZ6"/>
    <mergeCell ref="DA6:DF6"/>
    <mergeCell ref="BK6:BP6"/>
    <mergeCell ref="BQ6:BV6"/>
    <mergeCell ref="BW6:CB6"/>
    <mergeCell ref="A25:B25"/>
    <mergeCell ref="A34:B34"/>
    <mergeCell ref="EQ35:EU35"/>
    <mergeCell ref="EQ62:EU62"/>
    <mergeCell ref="A17:B17"/>
    <mergeCell ref="A18:B18"/>
    <mergeCell ref="EQ18:EU18"/>
    <mergeCell ref="A24:B24"/>
    <mergeCell ref="EH100:EJ100"/>
    <mergeCell ref="EH102:EJ102"/>
    <mergeCell ref="A81:B81"/>
    <mergeCell ref="A89:B89"/>
    <mergeCell ref="EQ96:ET96"/>
    <mergeCell ref="EH98:EJ98"/>
  </mergeCells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18">
    <tabColor indexed="34"/>
  </sheetPr>
  <dimension ref="A1:S44"/>
  <sheetViews>
    <sheetView zoomScale="75" workbookViewId="0">
      <pane xSplit="3" ySplit="8" topLeftCell="D9" activePane="bottomRight" state="frozen"/>
      <selection pane="topRight" activeCell="D1" sqref="D1"/>
      <selection pane="bottomLeft" activeCell="A10" sqref="A10"/>
      <selection pane="bottomRight" activeCell="D10" sqref="D10"/>
    </sheetView>
  </sheetViews>
  <sheetFormatPr defaultColWidth="9.140625" defaultRowHeight="21"/>
  <cols>
    <col min="1" max="1" width="1.28515625" style="1" hidden="1" customWidth="1"/>
    <col min="2" max="2" width="5.5703125" style="43" bestFit="1" customWidth="1"/>
    <col min="3" max="3" width="48" style="1" customWidth="1"/>
    <col min="4" max="4" width="15.42578125" style="114" customWidth="1"/>
    <col min="5" max="5" width="14.7109375" style="114" customWidth="1"/>
    <col min="6" max="6" width="14.7109375" style="1" customWidth="1"/>
    <col min="7" max="7" width="14.7109375" style="8" customWidth="1"/>
    <col min="8" max="13" width="14.7109375" style="1" customWidth="1"/>
    <col min="14" max="14" width="13.5703125" style="1" customWidth="1"/>
    <col min="15" max="15" width="13.7109375" style="1" customWidth="1"/>
    <col min="16" max="16" width="17.28515625" style="1" customWidth="1"/>
    <col min="17" max="17" width="9.140625" style="1"/>
    <col min="18" max="18" width="22" style="1" bestFit="1" customWidth="1"/>
    <col min="19" max="19" width="17" style="1" customWidth="1"/>
    <col min="20" max="16384" width="9.140625" style="1"/>
  </cols>
  <sheetData>
    <row r="1" spans="1:19">
      <c r="B1" s="1264" t="s">
        <v>128</v>
      </c>
      <c r="C1" s="1264"/>
      <c r="D1" s="1264"/>
      <c r="E1" s="1264"/>
      <c r="F1" s="1264"/>
      <c r="G1" s="1264"/>
      <c r="H1" s="1264"/>
      <c r="I1" s="1264"/>
      <c r="J1" s="1264"/>
      <c r="K1" s="1264"/>
      <c r="L1" s="1264"/>
      <c r="M1" s="1264"/>
      <c r="N1" s="1264"/>
      <c r="O1" s="1264"/>
      <c r="P1" s="1264"/>
    </row>
    <row r="2" spans="1:19">
      <c r="B2" s="1264" t="s">
        <v>411</v>
      </c>
      <c r="C2" s="1264"/>
      <c r="D2" s="1264"/>
      <c r="E2" s="1264"/>
      <c r="F2" s="1264"/>
      <c r="G2" s="1264"/>
      <c r="H2" s="1264"/>
      <c r="I2" s="1264"/>
      <c r="J2" s="1264"/>
      <c r="K2" s="1264"/>
      <c r="L2" s="1264"/>
      <c r="M2" s="1264"/>
      <c r="N2" s="1264"/>
      <c r="O2" s="1264"/>
      <c r="P2" s="1264"/>
    </row>
    <row r="3" spans="1:19">
      <c r="B3" s="1265"/>
      <c r="C3" s="1265"/>
      <c r="D3" s="1265"/>
      <c r="E3" s="1265"/>
      <c r="F3" s="1265"/>
      <c r="G3" s="193"/>
      <c r="P3" s="87" t="s">
        <v>218</v>
      </c>
    </row>
    <row r="4" spans="1:19" ht="22.5">
      <c r="B4" s="1266" t="s">
        <v>80</v>
      </c>
      <c r="C4" s="1268" t="s">
        <v>219</v>
      </c>
      <c r="D4" s="1271" t="s">
        <v>220</v>
      </c>
      <c r="E4" s="1271"/>
      <c r="F4" s="1271"/>
      <c r="G4" s="1271"/>
      <c r="H4" s="1271"/>
      <c r="I4" s="1271"/>
      <c r="J4" s="1271"/>
      <c r="K4" s="1271"/>
      <c r="L4" s="1271"/>
      <c r="M4" s="1271"/>
      <c r="N4" s="1271"/>
      <c r="O4" s="1271"/>
      <c r="P4" s="1272" t="s">
        <v>118</v>
      </c>
    </row>
    <row r="5" spans="1:19" ht="21" customHeight="1">
      <c r="B5" s="1267"/>
      <c r="C5" s="1269"/>
      <c r="D5" s="1274" t="s">
        <v>221</v>
      </c>
      <c r="E5" s="1274" t="s">
        <v>222</v>
      </c>
      <c r="F5" s="1274" t="s">
        <v>223</v>
      </c>
      <c r="G5" s="1286" t="s">
        <v>224</v>
      </c>
      <c r="H5" s="1262" t="s">
        <v>225</v>
      </c>
      <c r="I5" s="1262" t="s">
        <v>226</v>
      </c>
      <c r="J5" s="1262" t="s">
        <v>227</v>
      </c>
      <c r="K5" s="1262" t="s">
        <v>228</v>
      </c>
      <c r="L5" s="1262" t="s">
        <v>229</v>
      </c>
      <c r="M5" s="1262" t="s">
        <v>230</v>
      </c>
      <c r="N5" s="1262" t="s">
        <v>231</v>
      </c>
      <c r="O5" s="1260" t="s">
        <v>232</v>
      </c>
      <c r="P5" s="1273"/>
      <c r="R5" s="1">
        <v>1000</v>
      </c>
    </row>
    <row r="6" spans="1:19" ht="12.75" customHeight="1">
      <c r="B6" s="1267"/>
      <c r="C6" s="1270"/>
      <c r="D6" s="1274"/>
      <c r="E6" s="1274"/>
      <c r="F6" s="1274"/>
      <c r="G6" s="1286"/>
      <c r="H6" s="1262"/>
      <c r="I6" s="1262"/>
      <c r="J6" s="1262"/>
      <c r="K6" s="1262"/>
      <c r="L6" s="1262"/>
      <c r="M6" s="1262"/>
      <c r="N6" s="1262"/>
      <c r="O6" s="1261"/>
      <c r="P6" s="1273"/>
    </row>
    <row r="7" spans="1:19" s="106" customFormat="1" ht="12" customHeight="1">
      <c r="B7" s="107">
        <v>1</v>
      </c>
      <c r="C7" s="108">
        <v>2</v>
      </c>
      <c r="D7" s="108">
        <v>5</v>
      </c>
      <c r="E7" s="108">
        <v>5</v>
      </c>
      <c r="F7" s="108">
        <v>6</v>
      </c>
      <c r="G7" s="148">
        <v>7</v>
      </c>
      <c r="H7" s="108">
        <v>8</v>
      </c>
      <c r="I7" s="108">
        <v>9</v>
      </c>
      <c r="J7" s="108">
        <v>10</v>
      </c>
      <c r="K7" s="108">
        <v>11</v>
      </c>
      <c r="L7" s="108">
        <v>12</v>
      </c>
      <c r="M7" s="108">
        <v>13</v>
      </c>
      <c r="N7" s="108">
        <v>14</v>
      </c>
      <c r="O7" s="108">
        <v>15</v>
      </c>
      <c r="P7" s="108">
        <v>16</v>
      </c>
    </row>
    <row r="8" spans="1:19" ht="22.5">
      <c r="A8" s="32"/>
      <c r="B8" s="1275" t="s">
        <v>130</v>
      </c>
      <c r="C8" s="1275"/>
      <c r="D8" s="1275"/>
      <c r="E8" s="1275"/>
      <c r="F8" s="1275"/>
      <c r="G8" s="33"/>
    </row>
    <row r="9" spans="1:19" ht="22.5">
      <c r="B9" s="137">
        <v>1</v>
      </c>
      <c r="C9" s="205" t="s">
        <v>122</v>
      </c>
      <c r="D9" s="196">
        <v>6501.12</v>
      </c>
      <c r="E9" s="195">
        <v>24409.976460000002</v>
      </c>
      <c r="F9" s="195"/>
      <c r="G9" s="196"/>
      <c r="H9" s="196"/>
      <c r="I9" s="196"/>
      <c r="J9" s="206"/>
      <c r="K9" s="206"/>
      <c r="L9" s="206"/>
      <c r="M9" s="206"/>
      <c r="N9" s="206"/>
      <c r="O9" s="206"/>
      <c r="P9" s="760">
        <f t="shared" ref="P9:P17" si="0">SUM(E9+D9+F9+G9+H9+I9+J9+K9+L9+M9+N9+O9)</f>
        <v>30911.096460000001</v>
      </c>
      <c r="R9" s="193"/>
    </row>
    <row r="10" spans="1:19" ht="22.5">
      <c r="B10" s="138">
        <v>2</v>
      </c>
      <c r="C10" s="204" t="s">
        <v>86</v>
      </c>
      <c r="D10" s="193">
        <v>63002.025999999998</v>
      </c>
      <c r="E10" s="192">
        <v>26778.774703342991</v>
      </c>
      <c r="F10" s="192"/>
      <c r="G10" s="193"/>
      <c r="H10" s="193"/>
      <c r="I10" s="193"/>
      <c r="J10" s="193"/>
      <c r="K10" s="194"/>
      <c r="L10" s="194"/>
      <c r="M10" s="194"/>
      <c r="N10" s="194"/>
      <c r="O10" s="194"/>
      <c r="P10" s="757">
        <f t="shared" si="0"/>
        <v>89780.800703342989</v>
      </c>
      <c r="R10" s="193"/>
      <c r="S10" s="8"/>
    </row>
    <row r="11" spans="1:19" ht="22.5">
      <c r="B11" s="138">
        <v>3</v>
      </c>
      <c r="C11" s="204" t="s">
        <v>84</v>
      </c>
      <c r="D11" s="193">
        <v>40251.038569999997</v>
      </c>
      <c r="E11" s="192">
        <v>67773.790500000003</v>
      </c>
      <c r="F11" s="192"/>
      <c r="G11" s="193"/>
      <c r="H11" s="193"/>
      <c r="I11" s="193"/>
      <c r="J11" s="194"/>
      <c r="K11" s="194"/>
      <c r="L11" s="194"/>
      <c r="M11" s="194"/>
      <c r="N11" s="194"/>
      <c r="O11" s="194"/>
      <c r="P11" s="757">
        <f t="shared" si="0"/>
        <v>108024.82907000001</v>
      </c>
      <c r="R11" s="193"/>
    </row>
    <row r="12" spans="1:19" ht="21.75" customHeight="1">
      <c r="B12" s="138">
        <v>4</v>
      </c>
      <c r="C12" s="204" t="s">
        <v>123</v>
      </c>
      <c r="D12" s="193">
        <v>6618.8019949999998</v>
      </c>
      <c r="E12" s="192">
        <v>21175.736004999999</v>
      </c>
      <c r="F12" s="192"/>
      <c r="G12" s="193"/>
      <c r="H12" s="193"/>
      <c r="I12" s="193"/>
      <c r="J12" s="194"/>
      <c r="K12" s="194"/>
      <c r="L12" s="194"/>
      <c r="M12" s="194"/>
      <c r="N12" s="194"/>
      <c r="O12" s="194"/>
      <c r="P12" s="757">
        <f t="shared" si="0"/>
        <v>27794.538</v>
      </c>
      <c r="R12" s="193"/>
    </row>
    <row r="13" spans="1:19" ht="22.5">
      <c r="B13" s="138">
        <v>5</v>
      </c>
      <c r="C13" s="204" t="s">
        <v>121</v>
      </c>
      <c r="D13" s="193">
        <v>84133.343999999997</v>
      </c>
      <c r="E13" s="192">
        <v>113336.11099999999</v>
      </c>
      <c r="F13" s="192"/>
      <c r="G13" s="193"/>
      <c r="H13" s="193"/>
      <c r="I13" s="193"/>
      <c r="J13" s="194"/>
      <c r="K13" s="194"/>
      <c r="L13" s="194"/>
      <c r="M13" s="194"/>
      <c r="N13" s="194"/>
      <c r="O13" s="194"/>
      <c r="P13" s="757">
        <f t="shared" si="0"/>
        <v>197469.45499999999</v>
      </c>
      <c r="R13" s="193"/>
    </row>
    <row r="14" spans="1:19" ht="22.5">
      <c r="B14" s="138">
        <v>6</v>
      </c>
      <c r="C14" s="204" t="s">
        <v>124</v>
      </c>
      <c r="D14" s="193">
        <v>14067.602999999999</v>
      </c>
      <c r="E14" s="192">
        <v>16882.177</v>
      </c>
      <c r="F14" s="192"/>
      <c r="G14" s="193"/>
      <c r="H14" s="193"/>
      <c r="I14" s="193"/>
      <c r="J14" s="194"/>
      <c r="K14" s="194"/>
      <c r="L14" s="194"/>
      <c r="M14" s="194"/>
      <c r="N14" s="194"/>
      <c r="O14" s="194"/>
      <c r="P14" s="757">
        <f t="shared" si="0"/>
        <v>30949.78</v>
      </c>
      <c r="R14" s="193"/>
    </row>
    <row r="15" spans="1:19" ht="23.25" customHeight="1">
      <c r="B15" s="138">
        <v>7</v>
      </c>
      <c r="C15" s="204" t="s">
        <v>102</v>
      </c>
      <c r="D15" s="193">
        <v>3789.08</v>
      </c>
      <c r="E15" s="192">
        <v>13057.813</v>
      </c>
      <c r="F15" s="192"/>
      <c r="G15" s="193"/>
      <c r="H15" s="193"/>
      <c r="I15" s="193"/>
      <c r="J15" s="194"/>
      <c r="K15" s="194"/>
      <c r="L15" s="194"/>
      <c r="M15" s="194"/>
      <c r="N15" s="194"/>
      <c r="O15" s="194"/>
      <c r="P15" s="756">
        <f t="shared" si="0"/>
        <v>16846.893</v>
      </c>
      <c r="R15" s="193"/>
    </row>
    <row r="16" spans="1:19" ht="22.5">
      <c r="B16" s="138">
        <v>8</v>
      </c>
      <c r="C16" s="204" t="s">
        <v>125</v>
      </c>
      <c r="D16" s="193">
        <v>2977.962</v>
      </c>
      <c r="E16" s="192">
        <v>5549.719000000001</v>
      </c>
      <c r="F16" s="192"/>
      <c r="G16" s="193"/>
      <c r="H16" s="193"/>
      <c r="I16" s="193"/>
      <c r="J16" s="194"/>
      <c r="K16" s="194"/>
      <c r="L16" s="194"/>
      <c r="M16" s="194"/>
      <c r="N16" s="194"/>
      <c r="O16" s="194"/>
      <c r="P16" s="756">
        <f t="shared" si="0"/>
        <v>8527.6810000000005</v>
      </c>
      <c r="R16" s="193"/>
    </row>
    <row r="17" spans="1:18" ht="25.5" customHeight="1">
      <c r="B17" s="138">
        <v>9</v>
      </c>
      <c r="C17" s="204" t="s">
        <v>127</v>
      </c>
      <c r="D17" s="193">
        <v>5912.1929200000004</v>
      </c>
      <c r="E17" s="192">
        <v>6007.3067199999996</v>
      </c>
      <c r="F17" s="192"/>
      <c r="G17" s="193"/>
      <c r="H17" s="193"/>
      <c r="I17" s="193"/>
      <c r="J17" s="194"/>
      <c r="K17" s="194"/>
      <c r="L17" s="194"/>
      <c r="M17" s="194"/>
      <c r="N17" s="194"/>
      <c r="O17" s="194"/>
      <c r="P17" s="756">
        <f t="shared" si="0"/>
        <v>11919.49964</v>
      </c>
      <c r="R17" s="193"/>
    </row>
    <row r="18" spans="1:18" ht="22.5">
      <c r="A18" s="32"/>
      <c r="B18" s="138">
        <v>11</v>
      </c>
      <c r="C18" s="135" t="s">
        <v>437</v>
      </c>
      <c r="D18" s="193">
        <v>4946.268</v>
      </c>
      <c r="E18" s="192">
        <v>5768.5409999999993</v>
      </c>
      <c r="F18" s="192"/>
      <c r="G18" s="193"/>
      <c r="H18" s="193"/>
      <c r="I18" s="193"/>
      <c r="J18" s="750"/>
      <c r="K18" s="750"/>
      <c r="L18" s="750"/>
      <c r="M18" s="750"/>
      <c r="N18" s="750"/>
      <c r="O18" s="750"/>
      <c r="P18" s="756">
        <f>SUM(E19+D19+F18+G18+H18+I18+J18+K18+L18+M18+N18+O18)</f>
        <v>1700.35</v>
      </c>
      <c r="R18" s="748"/>
    </row>
    <row r="19" spans="1:18" ht="22.5">
      <c r="A19" s="32"/>
      <c r="B19" s="138">
        <v>10</v>
      </c>
      <c r="C19" s="749" t="s">
        <v>237</v>
      </c>
      <c r="D19" s="193">
        <v>1700.35</v>
      </c>
      <c r="E19" s="192">
        <v>0</v>
      </c>
      <c r="F19" s="192"/>
      <c r="G19" s="193"/>
      <c r="H19" s="193"/>
      <c r="I19" s="193"/>
      <c r="J19" s="750"/>
      <c r="K19" s="750"/>
      <c r="L19" s="750"/>
      <c r="M19" s="750"/>
      <c r="N19" s="750"/>
      <c r="O19" s="750"/>
      <c r="P19" s="756">
        <f>SUM(E18+D18+F19+G19+H19+I19+J19+K19+L19+M19+N19+O19)</f>
        <v>10714.808999999999</v>
      </c>
      <c r="R19" s="193"/>
    </row>
    <row r="20" spans="1:18" ht="22.5">
      <c r="B20" s="1276" t="s">
        <v>126</v>
      </c>
      <c r="C20" s="1277"/>
      <c r="D20" s="751">
        <f>SUM(D9:D19)</f>
        <v>233899.78648499999</v>
      </c>
      <c r="E20" s="751">
        <f>SUM(E9:E18)</f>
        <v>300739.94538834301</v>
      </c>
      <c r="F20" s="751">
        <f>SUM(F9:F19)</f>
        <v>0</v>
      </c>
      <c r="G20" s="751">
        <f>SUM(G9:G19)</f>
        <v>0</v>
      </c>
      <c r="H20" s="751">
        <f>SUM(H9:H19)</f>
        <v>0</v>
      </c>
      <c r="I20" s="751">
        <f>SUM(I9:I19)</f>
        <v>0</v>
      </c>
      <c r="J20" s="752">
        <f>SUM(J9:J17)</f>
        <v>0</v>
      </c>
      <c r="K20" s="753"/>
      <c r="L20" s="753"/>
      <c r="M20" s="753"/>
      <c r="N20" s="753"/>
      <c r="O20" s="753"/>
      <c r="P20" s="754">
        <f>SUM(P9:P19)</f>
        <v>534639.731873343</v>
      </c>
      <c r="R20" s="8"/>
    </row>
    <row r="21" spans="1:18" ht="22.5">
      <c r="A21" s="32"/>
      <c r="B21" s="1263" t="s">
        <v>154</v>
      </c>
      <c r="C21" s="1263"/>
      <c r="D21" s="1263"/>
      <c r="E21" s="1263"/>
      <c r="F21" s="1263"/>
      <c r="G21" s="1263"/>
      <c r="R21" s="193"/>
    </row>
    <row r="22" spans="1:18" ht="22.5">
      <c r="B22" s="758">
        <v>12</v>
      </c>
      <c r="C22" s="759" t="s">
        <v>90</v>
      </c>
      <c r="D22" s="195">
        <v>4.3529999999999998</v>
      </c>
      <c r="E22" s="195">
        <v>0</v>
      </c>
      <c r="F22" s="195"/>
      <c r="G22" s="195"/>
      <c r="H22" s="196"/>
      <c r="I22" s="206"/>
      <c r="J22" s="206"/>
      <c r="K22" s="206"/>
      <c r="L22" s="206"/>
      <c r="M22" s="206"/>
      <c r="N22" s="206"/>
      <c r="O22" s="206"/>
      <c r="P22" s="755">
        <f>SUM(E22+D22+F22+G22+H22)</f>
        <v>4.3529999999999998</v>
      </c>
      <c r="R22" s="8"/>
    </row>
    <row r="23" spans="1:18" ht="22.5">
      <c r="B23" s="134">
        <v>13</v>
      </c>
      <c r="C23" s="135" t="s">
        <v>100</v>
      </c>
      <c r="D23" s="192">
        <v>94.5</v>
      </c>
      <c r="E23" s="192">
        <v>172.9</v>
      </c>
      <c r="F23" s="192"/>
      <c r="G23" s="192"/>
      <c r="H23" s="193"/>
      <c r="I23" s="194"/>
      <c r="J23" s="194"/>
      <c r="K23" s="194"/>
      <c r="L23" s="194"/>
      <c r="M23" s="194"/>
      <c r="N23" s="194"/>
      <c r="O23" s="194"/>
      <c r="P23" s="756">
        <f t="shared" ref="P23:P29" si="1">SUM(E23+D23+F23+G23+H23)</f>
        <v>267.39999999999998</v>
      </c>
      <c r="R23" s="8"/>
    </row>
    <row r="24" spans="1:18" ht="22.5">
      <c r="B24" s="134">
        <v>14</v>
      </c>
      <c r="C24" s="135" t="s">
        <v>93</v>
      </c>
      <c r="D24" s="192">
        <v>638.45100000000002</v>
      </c>
      <c r="E24" s="192">
        <v>787.43200000000002</v>
      </c>
      <c r="F24" s="192"/>
      <c r="G24" s="192"/>
      <c r="H24" s="193"/>
      <c r="I24" s="194"/>
      <c r="J24" s="194"/>
      <c r="K24" s="194"/>
      <c r="L24" s="194"/>
      <c r="M24" s="194"/>
      <c r="N24" s="194"/>
      <c r="O24" s="194"/>
      <c r="P24" s="756">
        <f t="shared" si="1"/>
        <v>1425.883</v>
      </c>
      <c r="R24" s="8"/>
    </row>
    <row r="25" spans="1:18" ht="22.5">
      <c r="B25" s="134">
        <v>15</v>
      </c>
      <c r="C25" s="135" t="s">
        <v>155</v>
      </c>
      <c r="D25" s="192">
        <v>189.80500000000001</v>
      </c>
      <c r="E25" s="192">
        <v>219.5</v>
      </c>
      <c r="F25" s="192"/>
      <c r="G25" s="192"/>
      <c r="H25" s="193"/>
      <c r="I25" s="194"/>
      <c r="J25" s="194"/>
      <c r="K25" s="194"/>
      <c r="L25" s="194"/>
      <c r="M25" s="194"/>
      <c r="N25" s="194"/>
      <c r="O25" s="194"/>
      <c r="P25" s="756">
        <f t="shared" si="1"/>
        <v>409.30500000000001</v>
      </c>
      <c r="R25" s="8"/>
    </row>
    <row r="26" spans="1:18" ht="22.5">
      <c r="B26" s="134">
        <v>16</v>
      </c>
      <c r="C26" s="135" t="s">
        <v>91</v>
      </c>
      <c r="D26" s="192">
        <v>466.38799999999998</v>
      </c>
      <c r="E26" s="192">
        <v>232.93</v>
      </c>
      <c r="F26" s="192"/>
      <c r="G26" s="192"/>
      <c r="H26" s="193"/>
      <c r="I26" s="194"/>
      <c r="J26" s="194"/>
      <c r="K26" s="194"/>
      <c r="L26" s="194"/>
      <c r="M26" s="194"/>
      <c r="N26" s="194"/>
      <c r="O26" s="194"/>
      <c r="P26" s="756">
        <f t="shared" si="1"/>
        <v>699.31799999999998</v>
      </c>
      <c r="R26" s="8"/>
    </row>
    <row r="27" spans="1:18" ht="22.5">
      <c r="B27" s="134">
        <v>17</v>
      </c>
      <c r="C27" s="136" t="s">
        <v>134</v>
      </c>
      <c r="D27" s="192">
        <v>962.95</v>
      </c>
      <c r="E27" s="192">
        <v>268.5</v>
      </c>
      <c r="F27" s="192"/>
      <c r="G27" s="192"/>
      <c r="H27" s="193"/>
      <c r="I27" s="201"/>
      <c r="J27" s="201"/>
      <c r="K27" s="201"/>
      <c r="L27" s="201"/>
      <c r="M27" s="201"/>
      <c r="N27" s="201"/>
      <c r="O27" s="201"/>
      <c r="P27" s="756">
        <f t="shared" si="1"/>
        <v>1231.45</v>
      </c>
      <c r="R27" s="8"/>
    </row>
    <row r="28" spans="1:18" ht="21" customHeight="1">
      <c r="B28" s="134">
        <v>18</v>
      </c>
      <c r="C28" s="135" t="s">
        <v>97</v>
      </c>
      <c r="D28" s="192">
        <v>0</v>
      </c>
      <c r="E28" s="192">
        <v>0</v>
      </c>
      <c r="F28" s="192"/>
      <c r="G28" s="192"/>
      <c r="H28" s="193"/>
      <c r="I28" s="194"/>
      <c r="J28" s="194"/>
      <c r="K28" s="194"/>
      <c r="L28" s="194"/>
      <c r="M28" s="194"/>
      <c r="N28" s="194"/>
      <c r="O28" s="194"/>
      <c r="P28" s="756">
        <f t="shared" si="1"/>
        <v>0</v>
      </c>
      <c r="R28" s="8"/>
    </row>
    <row r="29" spans="1:18" ht="21" customHeight="1">
      <c r="B29" s="134">
        <v>19</v>
      </c>
      <c r="C29" s="363" t="s">
        <v>412</v>
      </c>
      <c r="D29" s="192">
        <v>0</v>
      </c>
      <c r="E29" s="192">
        <v>72</v>
      </c>
      <c r="F29" s="192"/>
      <c r="G29" s="192"/>
      <c r="H29" s="193"/>
      <c r="I29" s="194"/>
      <c r="J29" s="194"/>
      <c r="K29" s="194"/>
      <c r="L29" s="194"/>
      <c r="M29" s="194"/>
      <c r="N29" s="194"/>
      <c r="O29" s="194"/>
      <c r="P29" s="756">
        <f t="shared" si="1"/>
        <v>72</v>
      </c>
      <c r="R29" s="8"/>
    </row>
    <row r="30" spans="1:18" ht="24" customHeight="1">
      <c r="B30" s="1282" t="s">
        <v>217</v>
      </c>
      <c r="C30" s="1283"/>
      <c r="D30" s="752">
        <f t="shared" ref="D30:P30" si="2">SUM(D22:D29)</f>
        <v>2356.4470000000001</v>
      </c>
      <c r="E30" s="752">
        <f t="shared" si="2"/>
        <v>1753.2619999999999</v>
      </c>
      <c r="F30" s="752">
        <f t="shared" si="2"/>
        <v>0</v>
      </c>
      <c r="G30" s="752">
        <f t="shared" si="2"/>
        <v>0</v>
      </c>
      <c r="H30" s="752">
        <f t="shared" si="2"/>
        <v>0</v>
      </c>
      <c r="I30" s="752">
        <f t="shared" si="2"/>
        <v>0</v>
      </c>
      <c r="J30" s="752">
        <f t="shared" si="2"/>
        <v>0</v>
      </c>
      <c r="K30" s="752">
        <f t="shared" si="2"/>
        <v>0</v>
      </c>
      <c r="L30" s="752">
        <f t="shared" si="2"/>
        <v>0</v>
      </c>
      <c r="M30" s="752">
        <f t="shared" si="2"/>
        <v>0</v>
      </c>
      <c r="N30" s="752">
        <f t="shared" si="2"/>
        <v>0</v>
      </c>
      <c r="O30" s="752">
        <f t="shared" si="2"/>
        <v>0</v>
      </c>
      <c r="P30" s="765">
        <f t="shared" si="2"/>
        <v>4109.7089999999998</v>
      </c>
      <c r="R30" s="8"/>
    </row>
    <row r="31" spans="1:18" s="140" customFormat="1" ht="25.5" customHeight="1">
      <c r="A31" s="139"/>
      <c r="B31" s="1285" t="s">
        <v>131</v>
      </c>
      <c r="C31" s="1285"/>
      <c r="D31" s="1285"/>
      <c r="E31" s="1285"/>
      <c r="F31" s="1285"/>
      <c r="G31" s="1285"/>
      <c r="H31" s="139"/>
    </row>
    <row r="32" spans="1:18" s="97" customFormat="1" ht="21.75" customHeight="1">
      <c r="A32" s="98"/>
      <c r="B32" s="370">
        <v>20</v>
      </c>
      <c r="C32" s="374" t="s">
        <v>215</v>
      </c>
      <c r="D32" s="762">
        <v>4985.4350000000004</v>
      </c>
      <c r="E32" s="195">
        <v>265</v>
      </c>
      <c r="F32" s="762"/>
      <c r="G32" s="762"/>
      <c r="H32" s="763"/>
      <c r="I32" s="764"/>
      <c r="J32" s="764"/>
      <c r="K32" s="764"/>
      <c r="L32" s="764"/>
      <c r="M32" s="764"/>
      <c r="N32" s="764"/>
      <c r="O32" s="764"/>
      <c r="P32" s="767">
        <f>SUM(E32+D32+F32+G32+H32)</f>
        <v>5250.4350000000004</v>
      </c>
    </row>
    <row r="33" spans="1:16" s="97" customFormat="1" ht="41.25" customHeight="1">
      <c r="A33" s="98"/>
      <c r="B33" s="1282" t="s">
        <v>158</v>
      </c>
      <c r="C33" s="1283"/>
      <c r="D33" s="396">
        <f t="shared" ref="D33:P33" si="3">SUM(D32:D32)</f>
        <v>4985.4350000000004</v>
      </c>
      <c r="E33" s="396">
        <f t="shared" si="3"/>
        <v>265</v>
      </c>
      <c r="F33" s="396">
        <f t="shared" si="3"/>
        <v>0</v>
      </c>
      <c r="G33" s="396">
        <f t="shared" si="3"/>
        <v>0</v>
      </c>
      <c r="H33" s="396">
        <f t="shared" si="3"/>
        <v>0</v>
      </c>
      <c r="I33" s="396">
        <f t="shared" si="3"/>
        <v>0</v>
      </c>
      <c r="J33" s="396">
        <f t="shared" si="3"/>
        <v>0</v>
      </c>
      <c r="K33" s="396">
        <f t="shared" si="3"/>
        <v>0</v>
      </c>
      <c r="L33" s="396">
        <f t="shared" si="3"/>
        <v>0</v>
      </c>
      <c r="M33" s="396">
        <f t="shared" si="3"/>
        <v>0</v>
      </c>
      <c r="N33" s="396">
        <f t="shared" si="3"/>
        <v>0</v>
      </c>
      <c r="O33" s="396">
        <f t="shared" si="3"/>
        <v>0</v>
      </c>
      <c r="P33" s="397">
        <f t="shared" si="3"/>
        <v>5250.4350000000004</v>
      </c>
    </row>
    <row r="34" spans="1:16" s="141" customFormat="1" ht="18.75" customHeight="1">
      <c r="B34" s="1284" t="s">
        <v>233</v>
      </c>
      <c r="C34" s="1284"/>
      <c r="D34" s="1284"/>
      <c r="E34" s="1284"/>
      <c r="F34" s="1284"/>
      <c r="G34" s="142"/>
      <c r="H34" s="143"/>
      <c r="I34" s="143"/>
      <c r="J34" s="143"/>
      <c r="K34" s="143"/>
      <c r="L34" s="143"/>
      <c r="M34" s="143"/>
      <c r="N34" s="143"/>
      <c r="O34" s="143"/>
      <c r="P34" s="144"/>
    </row>
    <row r="35" spans="1:16" s="141" customFormat="1" ht="29.25" customHeight="1">
      <c r="B35" s="1280" t="s">
        <v>132</v>
      </c>
      <c r="C35" s="1281"/>
      <c r="D35" s="198">
        <v>31126.014999999999</v>
      </c>
      <c r="E35" s="198">
        <v>34742.354999999996</v>
      </c>
      <c r="F35" s="197"/>
      <c r="G35" s="198"/>
      <c r="H35" s="198"/>
      <c r="I35" s="199"/>
      <c r="J35" s="199"/>
      <c r="K35" s="199"/>
      <c r="L35" s="199"/>
      <c r="M35" s="199"/>
      <c r="N35" s="199"/>
      <c r="O35" s="199"/>
      <c r="P35" s="200">
        <f>SUM(E35+D35+F35+G35+H35)</f>
        <v>65868.37</v>
      </c>
    </row>
    <row r="36" spans="1:16">
      <c r="B36" s="109"/>
      <c r="C36" s="110"/>
      <c r="D36" s="111"/>
      <c r="E36" s="111"/>
      <c r="F36" s="112"/>
      <c r="G36" s="33"/>
      <c r="H36" s="32"/>
      <c r="I36" s="32"/>
      <c r="J36" s="32"/>
      <c r="K36" s="32"/>
      <c r="L36" s="32"/>
      <c r="M36" s="32"/>
      <c r="N36" s="32"/>
      <c r="O36" s="32"/>
      <c r="P36" s="113"/>
    </row>
    <row r="37" spans="1:16" s="141" customFormat="1" ht="26.25" customHeight="1">
      <c r="B37" s="1278" t="s">
        <v>77</v>
      </c>
      <c r="C37" s="1279"/>
      <c r="D37" s="766">
        <f t="shared" ref="D37:P37" si="4">SUM(D35+D30+D20+D33)</f>
        <v>272367.68348499999</v>
      </c>
      <c r="E37" s="766">
        <f t="shared" si="4"/>
        <v>337500.56238834304</v>
      </c>
      <c r="F37" s="761">
        <f t="shared" si="4"/>
        <v>0</v>
      </c>
      <c r="G37" s="761">
        <f t="shared" si="4"/>
        <v>0</v>
      </c>
      <c r="H37" s="761">
        <f t="shared" si="4"/>
        <v>0</v>
      </c>
      <c r="I37" s="761">
        <f t="shared" si="4"/>
        <v>0</v>
      </c>
      <c r="J37" s="761">
        <f t="shared" si="4"/>
        <v>0</v>
      </c>
      <c r="K37" s="761">
        <f t="shared" si="4"/>
        <v>0</v>
      </c>
      <c r="L37" s="761">
        <f t="shared" si="4"/>
        <v>0</v>
      </c>
      <c r="M37" s="761">
        <f t="shared" si="4"/>
        <v>0</v>
      </c>
      <c r="N37" s="761">
        <f t="shared" si="4"/>
        <v>0</v>
      </c>
      <c r="O37" s="761">
        <f t="shared" si="4"/>
        <v>0</v>
      </c>
      <c r="P37" s="202">
        <f t="shared" si="4"/>
        <v>609868.24587334308</v>
      </c>
    </row>
    <row r="38" spans="1:16">
      <c r="E38" s="115"/>
    </row>
    <row r="39" spans="1:16">
      <c r="D39" s="8"/>
      <c r="E39" s="8" t="e">
        <f>SUM(E37-#REF!)</f>
        <v>#REF!</v>
      </c>
      <c r="F39" s="8"/>
      <c r="H39" s="8"/>
      <c r="P39" s="116"/>
    </row>
    <row r="40" spans="1:16">
      <c r="D40" s="117"/>
      <c r="E40" s="117"/>
      <c r="P40" s="8" t="e">
        <f>SUM(P37-#REF!)</f>
        <v>#REF!</v>
      </c>
    </row>
    <row r="41" spans="1:16">
      <c r="D41" s="203"/>
      <c r="E41" s="115"/>
      <c r="F41" s="116"/>
      <c r="P41" s="8"/>
    </row>
    <row r="43" spans="1:16">
      <c r="F43" s="116"/>
    </row>
    <row r="44" spans="1:16">
      <c r="F44" s="116"/>
    </row>
  </sheetData>
  <mergeCells count="28">
    <mergeCell ref="M5:M6"/>
    <mergeCell ref="N5:N6"/>
    <mergeCell ref="G5:G6"/>
    <mergeCell ref="H5:H6"/>
    <mergeCell ref="L5:L6"/>
    <mergeCell ref="K5:K6"/>
    <mergeCell ref="B37:C37"/>
    <mergeCell ref="B35:C35"/>
    <mergeCell ref="B30:C30"/>
    <mergeCell ref="B34:F34"/>
    <mergeCell ref="B31:G31"/>
    <mergeCell ref="B33:C33"/>
    <mergeCell ref="O5:O6"/>
    <mergeCell ref="J5:J6"/>
    <mergeCell ref="B21:G21"/>
    <mergeCell ref="B1:P1"/>
    <mergeCell ref="B2:P2"/>
    <mergeCell ref="B3:F3"/>
    <mergeCell ref="B4:B6"/>
    <mergeCell ref="C4:C6"/>
    <mergeCell ref="D4:O4"/>
    <mergeCell ref="P4:P6"/>
    <mergeCell ref="D5:D6"/>
    <mergeCell ref="B8:F8"/>
    <mergeCell ref="B20:C20"/>
    <mergeCell ref="E5:E6"/>
    <mergeCell ref="F5:F6"/>
    <mergeCell ref="I5:I6"/>
  </mergeCells>
  <phoneticPr fontId="10" type="noConversion"/>
  <printOptions horizontalCentered="1"/>
  <pageMargins left="0.19685039370078741" right="0.15748031496062992" top="0.17" bottom="0.16" header="0.17" footer="0.19"/>
  <pageSetup paperSize="9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23</vt:i4>
      </vt:variant>
      <vt:variant>
        <vt:lpstr>Именованные диапазоны</vt:lpstr>
      </vt:variant>
      <vt:variant>
        <vt:i4>27</vt:i4>
      </vt:variant>
    </vt:vector>
  </HeadingPairs>
  <TitlesOfParts>
    <vt:vector size="50" baseType="lpstr">
      <vt:lpstr>Саидахмад МКР</vt:lpstr>
      <vt:lpstr>Бонки влож(без курс разн)</vt:lpstr>
      <vt:lpstr>Общ свод район (пог+выд)сомони</vt:lpstr>
      <vt:lpstr>район без курсовой</vt:lpstr>
      <vt:lpstr>общ.сводрайон без курсовой </vt:lpstr>
      <vt:lpstr>Кредит Инвест(карзи хурд)</vt:lpstr>
      <vt:lpstr>Чужие</vt:lpstr>
      <vt:lpstr>Черновики</vt:lpstr>
      <vt:lpstr>По месяцам</vt:lpstr>
      <vt:lpstr>СВОД по банк,ТМГ, чамъият, ТМХ</vt:lpstr>
      <vt:lpstr>Свод куҳистон(хурд)</vt:lpstr>
      <vt:lpstr>хамаги обший ва хурд</vt:lpstr>
      <vt:lpstr>без курсовой обш и карзи хурд</vt:lpstr>
      <vt:lpstr>сверкаКарзи хурд (пог+выд)</vt:lpstr>
      <vt:lpstr>Маълумот бонк ҷам қарз</vt:lpstr>
      <vt:lpstr>2015 Кӯҳистон(Общ)</vt:lpstr>
      <vt:lpstr>Лист1</vt:lpstr>
      <vt:lpstr>по районам с 2010 бе курб</vt:lpstr>
      <vt:lpstr>аз руи ВИЛОЯТХО 2016</vt:lpstr>
      <vt:lpstr>Кӯҳистон</vt:lpstr>
      <vt:lpstr>Кӯҳистон (Общий)</vt:lpstr>
      <vt:lpstr>Лист4</vt:lpstr>
      <vt:lpstr>Минтақа Ҷумҳурӣ</vt:lpstr>
      <vt:lpstr>Кӯҳистон!Заголовки_для_печати</vt:lpstr>
      <vt:lpstr>Лист1!Заголовки_для_печати</vt:lpstr>
      <vt:lpstr>'Маълумот бонк ҷам қарз'!Заголовки_для_печати</vt:lpstr>
      <vt:lpstr>'Общ свод район (пог+выд)сомони'!Заголовки_для_печати</vt:lpstr>
      <vt:lpstr>'общ.сводрайон без курсовой '!Заголовки_для_печати</vt:lpstr>
      <vt:lpstr>'по районам с 2010 бе курб'!Заголовки_для_печати</vt:lpstr>
      <vt:lpstr>'район без курсовой'!Заголовки_для_печати</vt:lpstr>
      <vt:lpstr>'сверкаКарзи хурд (пог+выд)'!Заголовки_для_печати</vt:lpstr>
      <vt:lpstr>'СВОД по банк,ТМГ, чамъият, ТМХ'!Заголовки_для_печати</vt:lpstr>
      <vt:lpstr>'аз руи ВИЛОЯТХО 2016'!Область_печати</vt:lpstr>
      <vt:lpstr>'без курсовой обш и карзи хурд'!Область_печати</vt:lpstr>
      <vt:lpstr>'Бонки влож(без курс разн)'!Область_печати</vt:lpstr>
      <vt:lpstr>Кӯҳистон!Область_печати</vt:lpstr>
      <vt:lpstr>'Кӯҳистон (Общий)'!Область_печати</vt:lpstr>
      <vt:lpstr>Лист1!Область_печати</vt:lpstr>
      <vt:lpstr>Лист4!Область_печати</vt:lpstr>
      <vt:lpstr>'Маълумот бонк ҷам қарз'!Область_печати</vt:lpstr>
      <vt:lpstr>'Минтақа Ҷумҳурӣ'!Область_печати</vt:lpstr>
      <vt:lpstr>'Общ свод район (пог+выд)сомони'!Область_печати</vt:lpstr>
      <vt:lpstr>'общ.сводрайон без курсовой '!Область_печати</vt:lpstr>
      <vt:lpstr>'По месяцам'!Область_печати</vt:lpstr>
      <vt:lpstr>'по районам с 2010 бе курб'!Область_печати</vt:lpstr>
      <vt:lpstr>'район без курсовой'!Область_печати</vt:lpstr>
      <vt:lpstr>'сверкаКарзи хурд (пог+выд)'!Область_печати</vt:lpstr>
      <vt:lpstr>'Свод куҳистон(хурд)'!Область_печати</vt:lpstr>
      <vt:lpstr>'СВОД по банк,ТМГ, чамъият, ТМХ'!Область_печати</vt:lpstr>
      <vt:lpstr>'хамаги обший ва хурд'!Область_печати</vt:lpstr>
    </vt:vector>
  </TitlesOfParts>
  <Company>NBT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R_Ergashev</dc:creator>
  <cp:lastModifiedBy>nhasanov</cp:lastModifiedBy>
  <cp:lastPrinted>2022-01-11T05:57:09Z</cp:lastPrinted>
  <dcterms:created xsi:type="dcterms:W3CDTF">2006-02-14T04:57:17Z</dcterms:created>
  <dcterms:modified xsi:type="dcterms:W3CDTF">2022-01-11T06:31:21Z</dcterms:modified>
</cp:coreProperties>
</file>