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Serenatto\"/>
    </mc:Choice>
  </mc:AlternateContent>
  <xr:revisionPtr revIDLastSave="0" documentId="13_ncr:1_{970B4FB2-39FE-4E83-BD56-2320F1B22917}" xr6:coauthVersionLast="47" xr6:coauthVersionMax="47" xr10:uidLastSave="{00000000-0000-0000-0000-000000000000}"/>
  <bookViews>
    <workbookView xWindow="38280" yWindow="-120" windowWidth="20640" windowHeight="11760" tabRatio="781" activeTab="10" xr2:uid="{87BE7180-3E81-4FE5-B433-FFDBA552102C}"/>
  </bookViews>
  <sheets>
    <sheet name="Productos" sheetId="2" r:id="rId1"/>
    <sheet name="Top 5 Productos" sheetId="13" r:id="rId2"/>
    <sheet name="Ranking Facturacion" sheetId="15" r:id="rId3"/>
    <sheet name="Facturacion vs Gastos" sheetId="25" r:id="rId4"/>
    <sheet name="Proveedor" sheetId="3" r:id="rId5"/>
    <sheet name="Entradas" sheetId="4" r:id="rId6"/>
    <sheet name="Salidas" sheetId="5" r:id="rId7"/>
    <sheet name="Consulta" sheetId="6" state="hidden" r:id="rId8"/>
    <sheet name="Control de Stock" sheetId="7" state="hidden" r:id="rId9"/>
    <sheet name="Cuadro Resumen" sheetId="9" state="hidden" r:id="rId10"/>
    <sheet name="Dashboard" sheetId="11" r:id="rId11"/>
  </sheets>
  <definedNames>
    <definedName name="_xlnm._FilterDatabase" localSheetId="2" hidden="1">'Ranking Facturacion'!$D$1:$F$6</definedName>
    <definedName name="_xlnm._FilterDatabase" localSheetId="1" hidden="1">'Top 5 Productos'!$D$1:$G$6</definedName>
    <definedName name="CriteriosProducto">'Cuadro Resumen'!$AM$6:$AM$7</definedName>
    <definedName name="Lista_Productos">TB_Producto[Producto]</definedName>
    <definedName name="Lista_Proveedores">TB_Proveedor[Empresa]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5" l="1"/>
  <c r="D4" i="25"/>
  <c r="D5" i="25"/>
  <c r="D6" i="25"/>
  <c r="D7" i="25"/>
  <c r="D8" i="25"/>
  <c r="D9" i="25"/>
  <c r="D10" i="25"/>
  <c r="D11" i="25"/>
  <c r="D12" i="25"/>
  <c r="D13" i="25"/>
  <c r="D2" i="25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3" i="25"/>
  <c r="C4" i="25"/>
  <c r="C5" i="25"/>
  <c r="C6" i="25"/>
  <c r="C7" i="25"/>
  <c r="C8" i="25"/>
  <c r="C9" i="25"/>
  <c r="C10" i="25"/>
  <c r="C11" i="25"/>
  <c r="C12" i="25"/>
  <c r="C13" i="25"/>
  <c r="C2" i="25"/>
  <c r="B3" i="25"/>
  <c r="B4" i="25"/>
  <c r="B5" i="25"/>
  <c r="B6" i="25"/>
  <c r="B7" i="25"/>
  <c r="B8" i="25"/>
  <c r="B9" i="25"/>
  <c r="B10" i="25"/>
  <c r="B11" i="25"/>
  <c r="B12" i="25"/>
  <c r="B13" i="25"/>
  <c r="B2" i="2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B13" i="15"/>
  <c r="B25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A2" i="15" a="1"/>
  <c r="B14" i="15" s="1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2" i="13"/>
  <c r="F4" i="13" s="1"/>
  <c r="E4" i="13" s="1"/>
  <c r="G4" i="13" s="1"/>
  <c r="A2" i="13" a="1"/>
  <c r="A2" i="13" s="1"/>
  <c r="F33" i="5"/>
  <c r="G33" i="5" s="1"/>
  <c r="F34" i="5"/>
  <c r="F35" i="5"/>
  <c r="G35" i="5" s="1"/>
  <c r="F36" i="5"/>
  <c r="F37" i="5"/>
  <c r="F38" i="5"/>
  <c r="G38" i="5" s="1"/>
  <c r="F39" i="5"/>
  <c r="G39" i="5" s="1"/>
  <c r="F40" i="5"/>
  <c r="G40" i="5" s="1"/>
  <c r="F41" i="5"/>
  <c r="G41" i="5" s="1"/>
  <c r="F42" i="5"/>
  <c r="G42" i="5" s="1"/>
  <c r="F43" i="5"/>
  <c r="G43" i="5" s="1"/>
  <c r="F44" i="5"/>
  <c r="G44" i="5" s="1"/>
  <c r="F45" i="5"/>
  <c r="G45" i="5" s="1"/>
  <c r="F46" i="5"/>
  <c r="G46" i="5" s="1"/>
  <c r="F47" i="5"/>
  <c r="G47" i="5" s="1"/>
  <c r="F48" i="5"/>
  <c r="F49" i="5"/>
  <c r="G49" i="5" s="1"/>
  <c r="F50" i="5"/>
  <c r="G50" i="5" s="1"/>
  <c r="F51" i="5"/>
  <c r="G51" i="5" s="1"/>
  <c r="F52" i="5"/>
  <c r="G52" i="5" s="1"/>
  <c r="F53" i="5"/>
  <c r="G53" i="5" s="1"/>
  <c r="F54" i="5"/>
  <c r="G54" i="5" s="1"/>
  <c r="F55" i="5"/>
  <c r="G55" i="5" s="1"/>
  <c r="F56" i="5"/>
  <c r="G56" i="5" s="1"/>
  <c r="F57" i="5"/>
  <c r="G57" i="5" s="1"/>
  <c r="F58" i="5"/>
  <c r="G58" i="5" s="1"/>
  <c r="F59" i="5"/>
  <c r="G59" i="5" s="1"/>
  <c r="F60" i="5"/>
  <c r="G60" i="5" s="1"/>
  <c r="F61" i="5"/>
  <c r="G61" i="5" s="1"/>
  <c r="G34" i="5"/>
  <c r="G36" i="5"/>
  <c r="G37" i="5"/>
  <c r="G48" i="5"/>
  <c r="N7" i="9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H56" i="4" s="1"/>
  <c r="G57" i="4"/>
  <c r="H57" i="4" s="1"/>
  <c r="G58" i="4"/>
  <c r="H58" i="4" s="1"/>
  <c r="G59" i="4"/>
  <c r="H59" i="4" s="1"/>
  <c r="F5" i="13" l="1"/>
  <c r="E5" i="13" s="1"/>
  <c r="G5" i="13" s="1"/>
  <c r="F6" i="13"/>
  <c r="E6" i="13" s="1"/>
  <c r="G6" i="13" s="1"/>
  <c r="F2" i="13"/>
  <c r="E2" i="13" s="1"/>
  <c r="G2" i="13" s="1"/>
  <c r="F3" i="13"/>
  <c r="E3" i="13" s="1"/>
  <c r="G3" i="13" s="1"/>
  <c r="B24" i="15"/>
  <c r="B11" i="15"/>
  <c r="B22" i="15"/>
  <c r="B10" i="15"/>
  <c r="B21" i="15"/>
  <c r="B9" i="15"/>
  <c r="B20" i="15"/>
  <c r="B8" i="15"/>
  <c r="B7" i="15"/>
  <c r="B6" i="15"/>
  <c r="B29" i="15"/>
  <c r="B5" i="15"/>
  <c r="B16" i="15"/>
  <c r="B27" i="15"/>
  <c r="B15" i="15"/>
  <c r="B3" i="15"/>
  <c r="B26" i="15"/>
  <c r="A2" i="15"/>
  <c r="F6" i="7"/>
  <c r="F7" i="7"/>
  <c r="F8" i="7"/>
  <c r="F9" i="7"/>
  <c r="F10" i="7"/>
  <c r="F11" i="7"/>
  <c r="F12" i="7"/>
  <c r="F13" i="7"/>
  <c r="F14" i="7"/>
  <c r="F15" i="7"/>
  <c r="F16" i="7"/>
  <c r="F17" i="7"/>
  <c r="D6" i="7"/>
  <c r="C6" i="7"/>
  <c r="C7" i="7"/>
  <c r="C8" i="7"/>
  <c r="C9" i="7"/>
  <c r="C10" i="7"/>
  <c r="C11" i="7"/>
  <c r="C12" i="7"/>
  <c r="C13" i="7"/>
  <c r="C14" i="7"/>
  <c r="C15" i="7"/>
  <c r="C16" i="7"/>
  <c r="C17" i="7"/>
  <c r="D7" i="7"/>
  <c r="D8" i="7"/>
  <c r="D9" i="7"/>
  <c r="D10" i="7"/>
  <c r="D11" i="7"/>
  <c r="D12" i="7"/>
  <c r="D13" i="7"/>
  <c r="D14" i="7"/>
  <c r="D15" i="7"/>
  <c r="D16" i="7"/>
  <c r="D17" i="7"/>
  <c r="E16" i="7" l="1"/>
  <c r="E15" i="7"/>
  <c r="G15" i="7" s="1" a="1"/>
  <c r="G15" i="7" s="1"/>
  <c r="E14" i="7"/>
  <c r="E13" i="7"/>
  <c r="G13" i="7" s="1" a="1"/>
  <c r="G13" i="7" s="1"/>
  <c r="E12" i="7"/>
  <c r="G12" i="7" s="1" a="1"/>
  <c r="G12" i="7" s="1"/>
  <c r="E11" i="7"/>
  <c r="G11" i="7" s="1" a="1"/>
  <c r="G11" i="7" s="1"/>
  <c r="E10" i="7"/>
  <c r="G10" i="7" s="1" a="1"/>
  <c r="G10" i="7" s="1"/>
  <c r="E9" i="7"/>
  <c r="G9" i="7" s="1" a="1"/>
  <c r="G9" i="7" s="1"/>
  <c r="E17" i="7"/>
  <c r="G17" i="7" s="1" a="1"/>
  <c r="G17" i="7" s="1"/>
  <c r="E8" i="7"/>
  <c r="AM10" i="9" s="1"/>
  <c r="E7" i="7"/>
  <c r="G7" i="7" s="1" a="1"/>
  <c r="G7" i="7" s="1"/>
  <c r="E6" i="7"/>
  <c r="G16" i="7" a="1"/>
  <c r="G16" i="7" s="1"/>
  <c r="G14" i="7" a="1"/>
  <c r="G14" i="7" s="1"/>
  <c r="F8" i="6"/>
  <c r="F10" i="6" s="1"/>
  <c r="F6" i="6"/>
  <c r="N10" i="9" l="1"/>
  <c r="G6" i="7" a="1"/>
  <c r="G6" i="7" s="1"/>
  <c r="G8" i="7" a="1"/>
  <c r="G8" i="7" s="1"/>
  <c r="F5" i="5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B28" i="1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20" i="5"/>
  <c r="G20" i="5" s="1"/>
  <c r="B23" i="15" s="1"/>
  <c r="F21" i="5"/>
  <c r="G21" i="5" s="1"/>
  <c r="H16" i="7" s="1"/>
  <c r="F22" i="5"/>
  <c r="G22" i="5" s="1"/>
  <c r="F23" i="5"/>
  <c r="G23" i="5" s="1"/>
  <c r="F24" i="5"/>
  <c r="G24" i="5" s="1"/>
  <c r="B19" i="15" s="1"/>
  <c r="F25" i="5"/>
  <c r="G25" i="5" s="1"/>
  <c r="H15" i="7" s="1"/>
  <c r="F26" i="5"/>
  <c r="G26" i="5" s="1"/>
  <c r="F27" i="5"/>
  <c r="G27" i="5" s="1"/>
  <c r="F28" i="5"/>
  <c r="G28" i="5" s="1"/>
  <c r="F29" i="5"/>
  <c r="G29" i="5" s="1"/>
  <c r="F30" i="5"/>
  <c r="G30" i="5" s="1"/>
  <c r="F31" i="5"/>
  <c r="G31" i="5" s="1"/>
  <c r="F32" i="5"/>
  <c r="G32" i="5" s="1"/>
  <c r="B18" i="15" s="1"/>
  <c r="G6" i="4"/>
  <c r="G7" i="4"/>
  <c r="H7" i="4" s="1"/>
  <c r="G8" i="4"/>
  <c r="H8" i="4" s="1"/>
  <c r="I7" i="7" s="1"/>
  <c r="G9" i="4"/>
  <c r="H9" i="4" s="1"/>
  <c r="I10" i="7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I9" i="7" s="1"/>
  <c r="G23" i="4"/>
  <c r="H23" i="4" s="1"/>
  <c r="I16" i="7" s="1"/>
  <c r="G24" i="4"/>
  <c r="H24" i="4" s="1"/>
  <c r="G25" i="4"/>
  <c r="H25" i="4" s="1"/>
  <c r="G26" i="4"/>
  <c r="H26" i="4" s="1"/>
  <c r="G27" i="4"/>
  <c r="H27" i="4" s="1"/>
  <c r="I15" i="7" s="1"/>
  <c r="G28" i="4"/>
  <c r="H28" i="4" s="1"/>
  <c r="G29" i="4"/>
  <c r="H29" i="4" s="1"/>
  <c r="G30" i="4"/>
  <c r="H30" i="4" s="1"/>
  <c r="G31" i="4"/>
  <c r="H31" i="4" s="1"/>
  <c r="H10" i="7" l="1"/>
  <c r="B12" i="15"/>
  <c r="H7" i="7"/>
  <c r="B17" i="15"/>
  <c r="B2" i="15"/>
  <c r="H6" i="7"/>
  <c r="G5" i="5"/>
  <c r="H17" i="7"/>
  <c r="H9" i="7"/>
  <c r="J9" i="7" s="1"/>
  <c r="H12" i="7"/>
  <c r="H13" i="7"/>
  <c r="I12" i="7"/>
  <c r="I13" i="7"/>
  <c r="I14" i="7"/>
  <c r="I17" i="7"/>
  <c r="H6" i="4"/>
  <c r="AX4" i="11" s="1"/>
  <c r="J15" i="7"/>
  <c r="I8" i="7"/>
  <c r="AM16" i="9" s="1"/>
  <c r="J16" i="7"/>
  <c r="H11" i="7"/>
  <c r="I6" i="7"/>
  <c r="J10" i="7"/>
  <c r="J7" i="7"/>
  <c r="F14" i="6"/>
  <c r="H8" i="7"/>
  <c r="I11" i="7"/>
  <c r="H14" i="7"/>
  <c r="F12" i="6"/>
  <c r="AF4" i="11" l="1"/>
  <c r="B4" i="15"/>
  <c r="F2" i="15" s="1"/>
  <c r="BP4" i="11"/>
  <c r="J12" i="7"/>
  <c r="J17" i="7"/>
  <c r="J13" i="7"/>
  <c r="J14" i="7"/>
  <c r="J11" i="7"/>
  <c r="N16" i="9"/>
  <c r="AM13" i="9"/>
  <c r="J8" i="7"/>
  <c r="AM19" i="9" s="1"/>
  <c r="AM22" i="9" s="1"/>
  <c r="J6" i="7"/>
  <c r="N13" i="9"/>
  <c r="Q31" i="11" l="1"/>
  <c r="E2" i="15"/>
  <c r="G31" i="11" s="1"/>
  <c r="F4" i="15"/>
  <c r="F6" i="15"/>
  <c r="F3" i="15"/>
  <c r="F5" i="15"/>
  <c r="N9" i="7"/>
  <c r="P9" i="7" s="1"/>
  <c r="N19" i="9"/>
  <c r="N22" i="9" s="1"/>
  <c r="E5" i="15" l="1"/>
  <c r="G40" i="11" s="1"/>
  <c r="Q40" i="11"/>
  <c r="E3" i="15"/>
  <c r="G34" i="11" s="1"/>
  <c r="Q34" i="11"/>
  <c r="E6" i="15"/>
  <c r="G43" i="11" s="1"/>
  <c r="Q43" i="11"/>
  <c r="E4" i="15"/>
  <c r="G37" i="11" s="1"/>
  <c r="Q3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<sst xmlns="http://schemas.openxmlformats.org/spreadsheetml/2006/main" count="344" uniqueCount="111">
  <si>
    <t>Mercado Express</t>
  </si>
  <si>
    <t>Frigorífico Z</t>
  </si>
  <si>
    <t>Producto</t>
  </si>
  <si>
    <t>Proveedor</t>
  </si>
  <si>
    <t>Aperitivos La Grande</t>
  </si>
  <si>
    <t>Café</t>
  </si>
  <si>
    <t>Kg</t>
  </si>
  <si>
    <t>Té</t>
  </si>
  <si>
    <t>Croissant</t>
  </si>
  <si>
    <t>Unidad</t>
  </si>
  <si>
    <t>Chocolate</t>
  </si>
  <si>
    <t>Pastel</t>
  </si>
  <si>
    <t>Mini Pizza</t>
  </si>
  <si>
    <t>Quiche</t>
  </si>
  <si>
    <t>Wrap</t>
  </si>
  <si>
    <t>Omelettes</t>
  </si>
  <si>
    <t>Cupcake</t>
  </si>
  <si>
    <t>Quesadilla</t>
  </si>
  <si>
    <t>Cappuccino</t>
  </si>
  <si>
    <t>Tostadas</t>
  </si>
  <si>
    <t>Churros</t>
  </si>
  <si>
    <t>Caja</t>
  </si>
  <si>
    <t>Arepas</t>
  </si>
  <si>
    <t>Nuggets</t>
  </si>
  <si>
    <t>Empanada</t>
  </si>
  <si>
    <t>Alfajor</t>
  </si>
  <si>
    <t>Zumo de Naranja</t>
  </si>
  <si>
    <t>Gaseosa</t>
  </si>
  <si>
    <t>Agua</t>
  </si>
  <si>
    <t>Ensalada</t>
  </si>
  <si>
    <t>Embalaje</t>
  </si>
  <si>
    <t>Hamburguesa</t>
  </si>
  <si>
    <t>Sándwiche de pollo</t>
  </si>
  <si>
    <t>Registro de Productos</t>
  </si>
  <si>
    <t>Unidad de Medida</t>
  </si>
  <si>
    <t>Stock Mínimo</t>
  </si>
  <si>
    <t>Costo Unitario</t>
  </si>
  <si>
    <t>Precio Unitario</t>
  </si>
  <si>
    <t>Palitos de Queso</t>
  </si>
  <si>
    <t>Tarta</t>
  </si>
  <si>
    <t>Enrollado</t>
  </si>
  <si>
    <t>Registro de Proveedores</t>
  </si>
  <si>
    <t>Empresa</t>
  </si>
  <si>
    <t>Teléfono</t>
  </si>
  <si>
    <t>Responsable</t>
  </si>
  <si>
    <t>E-mail</t>
  </si>
  <si>
    <t>(11) 1122-4422</t>
  </si>
  <si>
    <t>Maria</t>
  </si>
  <si>
    <t>maria@mercadoexpress.com</t>
  </si>
  <si>
    <t>(11) 1001-2022</t>
  </si>
  <si>
    <t>Carlos</t>
  </si>
  <si>
    <t>carlos@frigoríficoz.com</t>
  </si>
  <si>
    <t>Distribuídora KS</t>
  </si>
  <si>
    <t>(11) 1300-4033</t>
  </si>
  <si>
    <t>Eduardo</t>
  </si>
  <si>
    <t>eduardo@distribuídoraks.com</t>
  </si>
  <si>
    <t xml:space="preserve"> </t>
  </si>
  <si>
    <t>(11) 1400-3022</t>
  </si>
  <si>
    <t>Claudia</t>
  </si>
  <si>
    <t>claudia@aperitivoslagrande.com</t>
  </si>
  <si>
    <t>Registro de Entradas</t>
  </si>
  <si>
    <t>Fecha</t>
  </si>
  <si>
    <t>Cantidad Comprada</t>
  </si>
  <si>
    <t>Registro de Salidas</t>
  </si>
  <si>
    <t>Cantidad Vendida</t>
  </si>
  <si>
    <t>Valor de Venta</t>
  </si>
  <si>
    <t>Alfajor Chocolate</t>
  </si>
  <si>
    <t>Valor de Compra</t>
  </si>
  <si>
    <t>Cantidad en Stock</t>
  </si>
  <si>
    <t/>
  </si>
  <si>
    <t>&lt;10/05/2022</t>
  </si>
  <si>
    <t>Consulta de Stock</t>
  </si>
  <si>
    <t>Control de Stock</t>
  </si>
  <si>
    <t>Entradas</t>
  </si>
  <si>
    <t>Salidas</t>
  </si>
  <si>
    <t>Status de Stock</t>
  </si>
  <si>
    <t>Costo Total</t>
  </si>
  <si>
    <t>Ganancias</t>
  </si>
  <si>
    <t>Producto más rentable</t>
  </si>
  <si>
    <t>Cuadro resumen</t>
  </si>
  <si>
    <t>Datos 2022</t>
  </si>
  <si>
    <t>Consulta por Producto</t>
  </si>
  <si>
    <t xml:space="preserve">Productos Vendidos: </t>
  </si>
  <si>
    <t>Datos:</t>
  </si>
  <si>
    <t>Cantidad en Stock:</t>
  </si>
  <si>
    <t>Facturación:</t>
  </si>
  <si>
    <t>Gastos:</t>
  </si>
  <si>
    <t>Ganancias:</t>
  </si>
  <si>
    <t xml:space="preserve">% Ganancias: </t>
  </si>
  <si>
    <t>DASHBOARD</t>
  </si>
  <si>
    <t>FACTURACIÓN</t>
  </si>
  <si>
    <t>GASTOS</t>
  </si>
  <si>
    <t>GANANCIA</t>
  </si>
  <si>
    <t>TOP 5 PRODUCTOS MÁS VENDIDOS</t>
  </si>
  <si>
    <t>FACTURACIÓN X GASTOS</t>
  </si>
  <si>
    <t>ENTRADA X SALIDA MENSUAL</t>
  </si>
  <si>
    <t>ENTRADA X SALIDA ANUAL</t>
  </si>
  <si>
    <t>RANKING FACTURACIÓN</t>
  </si>
  <si>
    <t>1º</t>
  </si>
  <si>
    <t>2º</t>
  </si>
  <si>
    <t>3º</t>
  </si>
  <si>
    <t>4º</t>
  </si>
  <si>
    <t>5º</t>
  </si>
  <si>
    <t>Productos</t>
  </si>
  <si>
    <t>P</t>
  </si>
  <si>
    <t>Valor Venta</t>
  </si>
  <si>
    <t>Mês</t>
  </si>
  <si>
    <t>Mes</t>
  </si>
  <si>
    <t>N.Mes</t>
  </si>
  <si>
    <t>Gastos</t>
  </si>
  <si>
    <t>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</si>
</sst>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$&quot;\ * #,##0.00_-;\-&quot;$&quot;\ * #,##0.00_-;_-&quot;$&quot;\ 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_-[$$-409]* #,##0.00_ ;_-[$$-409]* \-#,##0.00\ ;_-[$$-409]* &quot;-&quot;??_ ;_-@_ "/>
    <numFmt numFmtId="167" formatCode="mmm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0"/>
      <name val="Barlow ExtraBold"/>
    </font>
    <font>
      <sz val="11"/>
      <name val="Barlow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0"/>
      <name val="Barlow"/>
    </font>
    <font>
      <b/>
      <sz val="11"/>
      <color theme="1"/>
      <name val="Barlow"/>
    </font>
    <font>
      <sz val="11"/>
      <color rgb="FF4472C4"/>
      <name val="Barlow"/>
    </font>
    <font>
      <b/>
      <sz val="12"/>
      <color theme="0"/>
      <name val="Barlow"/>
    </font>
    <font>
      <sz val="11"/>
      <color theme="0"/>
      <name val="Barlow"/>
    </font>
    <font>
      <sz val="11"/>
      <color theme="1"/>
      <name val="Barlow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Barlow"/>
    </font>
    <font>
      <b/>
      <sz val="18"/>
      <color theme="0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b/>
      <sz val="18"/>
      <color rgb="FF093364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24"/>
      <color rgb="FF002060"/>
      <name val="Barlow"/>
    </font>
    <font>
      <sz val="24"/>
      <color rgb="FF002060"/>
      <name val="Barlow"/>
    </font>
    <font>
      <sz val="24"/>
      <color rgb="FF1A261A"/>
      <name val="Barlow"/>
    </font>
    <font>
      <sz val="35"/>
      <color rgb="FF764600"/>
      <name val="JasmineUPC"/>
      <family val="1"/>
    </font>
    <font>
      <b/>
      <sz val="16"/>
      <color theme="0"/>
      <name val="Barlow"/>
    </font>
    <font>
      <b/>
      <sz val="22"/>
      <color theme="7" tint="-0.499984740745262"/>
      <name val="Calibri"/>
      <family val="2"/>
      <scheme val="minor"/>
    </font>
    <font>
      <b/>
      <sz val="26"/>
      <name val="Barlow"/>
    </font>
    <font>
      <b/>
      <sz val="28"/>
      <name val="Calibri"/>
      <family val="2"/>
      <scheme val="minor"/>
    </font>
    <font>
      <b/>
      <sz val="28"/>
      <color rgb="FF030303"/>
      <name val="Calibri"/>
      <family val="2"/>
      <scheme val="minor"/>
    </font>
    <font>
      <sz val="11"/>
      <color rgb="FF030303"/>
      <name val="Calibri"/>
      <family val="2"/>
      <scheme val="minor"/>
    </font>
    <font>
      <b/>
      <sz val="16"/>
      <color rgb="FFFFFFFF"/>
      <name val="Calibri"/>
      <family val="2"/>
    </font>
    <font>
      <b/>
      <sz val="11"/>
      <color theme="0"/>
      <name val="Arial Rounded MT Bold"/>
      <family val="2"/>
    </font>
    <font>
      <b/>
      <sz val="16"/>
      <color theme="0"/>
      <name val="Calibri"/>
      <family val="2"/>
      <scheme val="minor"/>
    </font>
    <font>
      <b/>
      <sz val="26"/>
      <color rgb="FF030303"/>
      <name val="Calibri"/>
      <family val="2"/>
      <scheme val="minor"/>
    </font>
    <font>
      <b/>
      <sz val="25"/>
      <color rgb="FF03030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.5"/>
      <color theme="0"/>
      <name val="Arial Rounded MT Bold"/>
      <family val="2"/>
    </font>
    <font>
      <b/>
      <sz val="13"/>
      <color theme="0"/>
      <name val="Barlow"/>
    </font>
    <font>
      <b/>
      <sz val="13"/>
      <color rgb="FF002060"/>
      <name val="Barlow"/>
    </font>
    <font>
      <b/>
      <sz val="14"/>
      <color theme="0"/>
      <name val="Barlow"/>
    </font>
    <font>
      <b/>
      <sz val="12"/>
      <color rgb="FF002060"/>
      <name val="Barlow"/>
    </font>
    <font>
      <b/>
      <sz val="13.5"/>
      <color rgb="FF002060"/>
      <name val="Barlow"/>
    </font>
    <font>
      <b/>
      <sz val="18"/>
      <color theme="4"/>
      <name val="Calibri"/>
      <family val="2"/>
      <scheme val="minor"/>
    </font>
    <font>
      <b/>
      <sz val="14"/>
      <color theme="0"/>
      <name val="Arial Rounded MT Bold"/>
      <family val="2"/>
    </font>
    <font>
      <b/>
      <sz val="28"/>
      <color rgb="FF09336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61C3B"/>
        <bgColor indexed="64"/>
      </patternFill>
    </fill>
    <fill>
      <patternFill patternType="solid">
        <fgColor rgb="FF041833"/>
        <bgColor indexed="64"/>
      </patternFill>
    </fill>
    <fill>
      <patternFill patternType="solid">
        <fgColor rgb="FF072349"/>
        <bgColor indexed="64"/>
      </patternFill>
    </fill>
    <fill>
      <patternFill patternType="solid">
        <fgColor rgb="FF041833"/>
        <bgColor rgb="FF041833"/>
      </patternFill>
    </fill>
    <fill>
      <patternFill patternType="solid">
        <fgColor rgb="FF092E5F"/>
        <bgColor theme="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092E5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3" tint="0.39994506668294322"/>
      </left>
      <right/>
      <top style="medium">
        <color theme="3" tint="0.39994506668294322"/>
      </top>
      <bottom/>
      <diagonal/>
    </border>
    <border>
      <left/>
      <right/>
      <top style="medium">
        <color theme="3" tint="0.39994506668294322"/>
      </top>
      <bottom/>
      <diagonal/>
    </border>
    <border>
      <left/>
      <right style="medium">
        <color theme="3" tint="0.39994506668294322"/>
      </right>
      <top style="medium">
        <color theme="3" tint="0.39994506668294322"/>
      </top>
      <bottom/>
      <diagonal/>
    </border>
    <border>
      <left style="medium">
        <color theme="3" tint="0.39994506668294322"/>
      </left>
      <right/>
      <top/>
      <bottom style="medium">
        <color theme="3" tint="0.39991454817346722"/>
      </bottom>
      <diagonal/>
    </border>
    <border>
      <left/>
      <right/>
      <top/>
      <bottom style="medium">
        <color theme="3" tint="0.39991454817346722"/>
      </bottom>
      <diagonal/>
    </border>
    <border>
      <left/>
      <right style="medium">
        <color theme="3" tint="0.39994506668294322"/>
      </right>
      <top/>
      <bottom style="medium">
        <color theme="3" tint="0.39991454817346722"/>
      </bottom>
      <diagonal/>
    </border>
    <border>
      <left style="medium">
        <color theme="3" tint="0.39994506668294322"/>
      </left>
      <right/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 style="medium">
        <color theme="3" tint="0.39994506668294322"/>
      </bottom>
      <diagonal/>
    </border>
    <border>
      <left/>
      <right/>
      <top/>
      <bottom style="medium">
        <color theme="3" tint="0.39994506668294322"/>
      </bottom>
      <diagonal/>
    </border>
    <border>
      <left/>
      <right style="medium">
        <color theme="3" tint="0.39994506668294322"/>
      </right>
      <top/>
      <bottom style="medium">
        <color theme="3" tint="0.39994506668294322"/>
      </bottom>
      <diagonal/>
    </border>
    <border>
      <left style="medium">
        <color rgb="FF8497B0"/>
      </left>
      <right/>
      <top style="medium">
        <color rgb="FF8497B0"/>
      </top>
      <bottom/>
      <diagonal/>
    </border>
    <border>
      <left/>
      <right/>
      <top style="medium">
        <color rgb="FF8497B0"/>
      </top>
      <bottom/>
      <diagonal/>
    </border>
    <border>
      <left/>
      <right style="medium">
        <color rgb="FF8497B0"/>
      </right>
      <top style="medium">
        <color rgb="FF8497B0"/>
      </top>
      <bottom/>
      <diagonal/>
    </border>
    <border>
      <left style="medium">
        <color rgb="FF8497B0"/>
      </left>
      <right/>
      <top/>
      <bottom style="medium">
        <color rgb="FF8497B0"/>
      </bottom>
      <diagonal/>
    </border>
    <border>
      <left/>
      <right/>
      <top/>
      <bottom style="medium">
        <color rgb="FF8497B0"/>
      </bottom>
      <diagonal/>
    </border>
    <border>
      <left/>
      <right style="medium">
        <color rgb="FF8497B0"/>
      </right>
      <top/>
      <bottom style="medium">
        <color rgb="FF8497B0"/>
      </bottom>
      <diagonal/>
    </border>
    <border>
      <left style="medium">
        <color rgb="FF8497B0"/>
      </left>
      <right/>
      <top/>
      <bottom/>
      <diagonal/>
    </border>
    <border>
      <left/>
      <right style="medium">
        <color rgb="FF8497B0"/>
      </right>
      <top/>
      <bottom/>
      <diagonal/>
    </border>
    <border>
      <left style="thick">
        <color rgb="FF8497B0"/>
      </left>
      <right/>
      <top/>
      <bottom/>
      <diagonal/>
    </border>
    <border>
      <left style="medium">
        <color rgb="FF8497B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rgb="FF8497B0"/>
      </right>
      <top/>
      <bottom style="medium">
        <color theme="0"/>
      </bottom>
      <diagonal/>
    </border>
    <border>
      <left style="thick">
        <color rgb="FF8497B0"/>
      </left>
      <right/>
      <top/>
      <bottom style="medium">
        <color rgb="FF8497B0"/>
      </bottom>
      <diagonal/>
    </border>
    <border>
      <left style="thick">
        <color rgb="FF8497B0"/>
      </left>
      <right/>
      <top style="medium">
        <color rgb="FF8497B0"/>
      </top>
      <bottom/>
      <diagonal/>
    </border>
    <border>
      <left style="medium">
        <color rgb="FF8497B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rgb="FF8497B0"/>
      </right>
      <top style="medium">
        <color theme="0"/>
      </top>
      <bottom/>
      <diagonal/>
    </border>
    <border>
      <left/>
      <right style="thick">
        <color rgb="FF8497B0"/>
      </right>
      <top style="medium">
        <color rgb="FF8497B0"/>
      </top>
      <bottom/>
      <diagonal/>
    </border>
    <border>
      <left/>
      <right style="thick">
        <color rgb="FF8497B0"/>
      </right>
      <top/>
      <bottom/>
      <diagonal/>
    </border>
    <border>
      <left/>
      <right style="thick">
        <color rgb="FF8497B0"/>
      </right>
      <top/>
      <bottom style="medium">
        <color rgb="FF8497B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09">
    <xf numFmtId="0" fontId="0" fillId="0" borderId="0" xfId="0"/>
    <xf numFmtId="16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/>
    <xf numFmtId="0" fontId="5" fillId="3" borderId="0" xfId="0" applyFont="1" applyFill="1" applyAlignment="1">
      <alignment vertical="center"/>
    </xf>
    <xf numFmtId="164" fontId="0" fillId="3" borderId="0" xfId="1" applyFont="1" applyFill="1" applyAlignment="1"/>
    <xf numFmtId="0" fontId="0" fillId="4" borderId="0" xfId="0" applyFill="1"/>
    <xf numFmtId="164" fontId="0" fillId="4" borderId="0" xfId="1" applyFont="1" applyFill="1"/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/>
    <xf numFmtId="165" fontId="7" fillId="0" borderId="4" xfId="1" applyNumberFormat="1" applyFont="1" applyFill="1" applyBorder="1"/>
    <xf numFmtId="0" fontId="7" fillId="0" borderId="5" xfId="0" applyFont="1" applyBorder="1"/>
    <xf numFmtId="165" fontId="7" fillId="0" borderId="6" xfId="1" applyNumberFormat="1" applyFont="1" applyFill="1" applyBorder="1"/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166" fontId="9" fillId="0" borderId="6" xfId="0" applyNumberFormat="1" applyFont="1" applyBorder="1" applyAlignment="1">
      <alignment horizontal="center" vertical="center"/>
    </xf>
    <xf numFmtId="14" fontId="8" fillId="2" borderId="0" xfId="0" applyNumberFormat="1" applyFont="1" applyFill="1" applyAlignment="1">
      <alignment horizont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166" fontId="9" fillId="0" borderId="7" xfId="1" applyNumberFormat="1" applyFont="1" applyFill="1" applyBorder="1" applyAlignment="1">
      <alignment horizontal="center" vertical="center"/>
    </xf>
    <xf numFmtId="166" fontId="9" fillId="0" borderId="9" xfId="1" applyNumberFormat="1" applyFont="1" applyFill="1" applyBorder="1" applyAlignment="1">
      <alignment horizontal="center" vertical="center"/>
    </xf>
    <xf numFmtId="14" fontId="2" fillId="5" borderId="0" xfId="0" applyNumberFormat="1" applyFont="1" applyFill="1" applyAlignment="1">
      <alignment horizontal="center"/>
    </xf>
    <xf numFmtId="0" fontId="7" fillId="0" borderId="8" xfId="0" applyFont="1" applyBorder="1"/>
    <xf numFmtId="0" fontId="7" fillId="0" borderId="7" xfId="0" applyFont="1" applyBorder="1" applyAlignment="1">
      <alignment horizontal="center"/>
    </xf>
    <xf numFmtId="0" fontId="7" fillId="0" borderId="9" xfId="0" applyFont="1" applyBorder="1"/>
    <xf numFmtId="14" fontId="2" fillId="4" borderId="10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44" fontId="10" fillId="0" borderId="0" xfId="0" applyNumberFormat="1" applyFont="1"/>
    <xf numFmtId="14" fontId="2" fillId="4" borderId="0" xfId="0" applyNumberFormat="1" applyFont="1" applyFill="1" applyAlignment="1">
      <alignment horizontal="center" vertical="center" wrapText="1"/>
    </xf>
    <xf numFmtId="14" fontId="2" fillId="4" borderId="1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44" fontId="10" fillId="0" borderId="0" xfId="1" applyNumberFormat="1" applyFont="1"/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166" fontId="12" fillId="7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right" vertical="center"/>
    </xf>
    <xf numFmtId="1" fontId="12" fillId="7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1" fillId="8" borderId="0" xfId="0" applyFont="1" applyFill="1" applyAlignment="1">
      <alignment horizontal="center"/>
    </xf>
    <xf numFmtId="1" fontId="13" fillId="8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2" fillId="7" borderId="0" xfId="0" quotePrefix="1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5" fillId="8" borderId="0" xfId="0" applyFont="1" applyFill="1"/>
    <xf numFmtId="0" fontId="2" fillId="0" borderId="0" xfId="0" applyFont="1" applyAlignment="1">
      <alignment horizontal="center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6" fontId="16" fillId="0" borderId="0" xfId="0" applyNumberFormat="1" applyFont="1" applyAlignment="1">
      <alignment horizontal="right" vertical="center"/>
    </xf>
    <xf numFmtId="166" fontId="16" fillId="0" borderId="0" xfId="0" applyNumberFormat="1" applyFont="1" applyAlignment="1">
      <alignment vertical="center"/>
    </xf>
    <xf numFmtId="0" fontId="11" fillId="8" borderId="0" xfId="0" applyFont="1" applyFill="1" applyAlignment="1">
      <alignment horizontal="center" vertical="center"/>
    </xf>
    <xf numFmtId="0" fontId="0" fillId="8" borderId="0" xfId="0" applyFill="1"/>
    <xf numFmtId="0" fontId="15" fillId="8" borderId="16" xfId="0" applyFont="1" applyFill="1" applyBorder="1"/>
    <xf numFmtId="0" fontId="22" fillId="8" borderId="0" xfId="0" applyFont="1" applyFill="1" applyAlignment="1">
      <alignment vertical="top"/>
    </xf>
    <xf numFmtId="0" fontId="22" fillId="8" borderId="17" xfId="0" applyFont="1" applyFill="1" applyBorder="1" applyAlignment="1">
      <alignment vertical="top"/>
    </xf>
    <xf numFmtId="0" fontId="23" fillId="8" borderId="0" xfId="0" applyFont="1" applyFill="1" applyAlignment="1">
      <alignment vertical="top"/>
    </xf>
    <xf numFmtId="0" fontId="23" fillId="8" borderId="17" xfId="0" applyFont="1" applyFill="1" applyBorder="1" applyAlignment="1">
      <alignment vertical="top"/>
    </xf>
    <xf numFmtId="0" fontId="0" fillId="8" borderId="17" xfId="0" applyFill="1" applyBorder="1"/>
    <xf numFmtId="0" fontId="19" fillId="8" borderId="0" xfId="0" applyFont="1" applyFill="1"/>
    <xf numFmtId="0" fontId="24" fillId="8" borderId="0" xfId="0" applyFont="1" applyFill="1"/>
    <xf numFmtId="0" fontId="20" fillId="8" borderId="0" xfId="0" applyFont="1" applyFill="1"/>
    <xf numFmtId="0" fontId="15" fillId="8" borderId="18" xfId="0" applyFont="1" applyFill="1" applyBorder="1"/>
    <xf numFmtId="0" fontId="19" fillId="8" borderId="19" xfId="0" applyFont="1" applyFill="1" applyBorder="1"/>
    <xf numFmtId="0" fontId="0" fillId="8" borderId="19" xfId="0" applyFill="1" applyBorder="1"/>
    <xf numFmtId="0" fontId="0" fillId="8" borderId="20" xfId="0" applyFill="1" applyBorder="1"/>
    <xf numFmtId="0" fontId="25" fillId="10" borderId="0" xfId="0" applyFont="1" applyFill="1" applyAlignment="1">
      <alignment vertical="top"/>
    </xf>
    <xf numFmtId="14" fontId="7" fillId="0" borderId="0" xfId="0" applyNumberFormat="1" applyFont="1" applyAlignment="1">
      <alignment horizont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4" fontId="33" fillId="0" borderId="0" xfId="0" applyNumberFormat="1" applyFont="1" applyAlignment="1">
      <alignment vertical="center"/>
    </xf>
    <xf numFmtId="4" fontId="34" fillId="0" borderId="0" xfId="0" applyNumberFormat="1" applyFont="1" applyAlignment="1">
      <alignment vertical="center"/>
    </xf>
    <xf numFmtId="0" fontId="35" fillId="0" borderId="0" xfId="0" applyFont="1"/>
    <xf numFmtId="0" fontId="36" fillId="0" borderId="0" xfId="0" applyFont="1" applyAlignment="1">
      <alignment vertical="center"/>
    </xf>
    <xf numFmtId="0" fontId="37" fillId="0" borderId="0" xfId="0" applyFont="1"/>
    <xf numFmtId="0" fontId="38" fillId="0" borderId="0" xfId="0" applyFont="1" applyAlignment="1">
      <alignment vertical="center"/>
    </xf>
    <xf numFmtId="4" fontId="39" fillId="0" borderId="0" xfId="0" applyNumberFormat="1" applyFont="1" applyAlignment="1">
      <alignment vertical="center"/>
    </xf>
    <xf numFmtId="4" fontId="40" fillId="0" borderId="0" xfId="0" applyNumberFormat="1" applyFont="1" applyAlignment="1">
      <alignment vertical="center"/>
    </xf>
    <xf numFmtId="0" fontId="34" fillId="0" borderId="0" xfId="0" applyFont="1" applyAlignment="1">
      <alignment vertical="center"/>
    </xf>
    <xf numFmtId="0" fontId="41" fillId="0" borderId="0" xfId="0" applyFont="1"/>
    <xf numFmtId="0" fontId="42" fillId="0" borderId="0" xfId="0" applyFont="1"/>
    <xf numFmtId="0" fontId="43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38" xfId="0" applyBorder="1"/>
    <xf numFmtId="0" fontId="0" fillId="0" borderId="39" xfId="0" applyBorder="1"/>
    <xf numFmtId="0" fontId="49" fillId="0" borderId="0" xfId="0" applyFont="1" applyAlignment="1">
      <alignment vertical="center"/>
    </xf>
    <xf numFmtId="0" fontId="52" fillId="0" borderId="0" xfId="0" applyFont="1" applyAlignment="1">
      <alignment horizontal="center"/>
    </xf>
    <xf numFmtId="44" fontId="0" fillId="0" borderId="0" xfId="0" applyNumberFormat="1"/>
    <xf numFmtId="167" fontId="0" fillId="0" borderId="0" xfId="0" applyNumberFormat="1" applyAlignment="1">
      <alignment horizontal="center"/>
    </xf>
    <xf numFmtId="0" fontId="14" fillId="8" borderId="0" xfId="0" applyFont="1" applyFill="1" applyAlignment="1">
      <alignment horizontal="center"/>
    </xf>
    <xf numFmtId="166" fontId="18" fillId="9" borderId="7" xfId="0" applyNumberFormat="1" applyFont="1" applyFill="1" applyBorder="1" applyAlignment="1">
      <alignment horizontal="center" vertical="center"/>
    </xf>
    <xf numFmtId="166" fontId="18" fillId="9" borderId="12" xfId="0" applyNumberFormat="1" applyFont="1" applyFill="1" applyBorder="1" applyAlignment="1">
      <alignment horizontal="center" vertical="center"/>
    </xf>
    <xf numFmtId="0" fontId="18" fillId="9" borderId="7" xfId="0" applyFont="1" applyFill="1" applyBorder="1" applyAlignment="1">
      <alignment horizontal="center" vertical="center"/>
    </xf>
    <xf numFmtId="0" fontId="18" fillId="9" borderId="12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right" vertical="center"/>
    </xf>
    <xf numFmtId="10" fontId="20" fillId="9" borderId="0" xfId="3" applyNumberFormat="1" applyFont="1" applyFill="1" applyBorder="1" applyAlignment="1">
      <alignment horizontal="center" vertical="center"/>
    </xf>
    <xf numFmtId="166" fontId="20" fillId="9" borderId="0" xfId="0" applyNumberFormat="1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1" fillId="8" borderId="13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/>
    </xf>
    <xf numFmtId="0" fontId="21" fillId="8" borderId="16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1" fillId="8" borderId="17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6" fillId="0" borderId="0" xfId="0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30" fillId="3" borderId="21" xfId="0" applyFont="1" applyFill="1" applyBorder="1" applyAlignment="1">
      <alignment horizontal="center" vertical="center"/>
    </xf>
    <xf numFmtId="0" fontId="30" fillId="3" borderId="22" xfId="0" applyFont="1" applyFill="1" applyBorder="1" applyAlignment="1">
      <alignment horizontal="center" vertical="center"/>
    </xf>
    <xf numFmtId="0" fontId="30" fillId="3" borderId="23" xfId="0" applyFont="1" applyFill="1" applyBorder="1" applyAlignment="1">
      <alignment horizontal="center" vertical="center"/>
    </xf>
    <xf numFmtId="0" fontId="30" fillId="3" borderId="24" xfId="0" applyFont="1" applyFill="1" applyBorder="1" applyAlignment="1">
      <alignment horizontal="center" vertical="center"/>
    </xf>
    <xf numFmtId="0" fontId="30" fillId="3" borderId="25" xfId="0" applyFont="1" applyFill="1" applyBorder="1" applyAlignment="1">
      <alignment horizontal="center" vertical="center"/>
    </xf>
    <xf numFmtId="0" fontId="30" fillId="3" borderId="26" xfId="0" applyFont="1" applyFill="1" applyBorder="1" applyAlignment="1">
      <alignment horizontal="center" vertical="center"/>
    </xf>
    <xf numFmtId="9" fontId="30" fillId="3" borderId="21" xfId="3" applyFont="1" applyFill="1" applyBorder="1" applyAlignment="1">
      <alignment horizontal="center" vertical="center"/>
    </xf>
    <xf numFmtId="9" fontId="30" fillId="3" borderId="22" xfId="3" applyFont="1" applyFill="1" applyBorder="1" applyAlignment="1">
      <alignment horizontal="center" vertical="center"/>
    </xf>
    <xf numFmtId="9" fontId="30" fillId="3" borderId="23" xfId="3" applyFont="1" applyFill="1" applyBorder="1" applyAlignment="1">
      <alignment horizontal="center" vertical="center"/>
    </xf>
    <xf numFmtId="9" fontId="30" fillId="3" borderId="24" xfId="3" applyFont="1" applyFill="1" applyBorder="1" applyAlignment="1">
      <alignment horizontal="center" vertical="center"/>
    </xf>
    <xf numFmtId="9" fontId="30" fillId="3" borderId="25" xfId="3" applyFont="1" applyFill="1" applyBorder="1" applyAlignment="1">
      <alignment horizontal="center" vertical="center"/>
    </xf>
    <xf numFmtId="9" fontId="30" fillId="3" borderId="26" xfId="3" applyFont="1" applyFill="1" applyBorder="1" applyAlignment="1">
      <alignment horizontal="center" vertical="center"/>
    </xf>
    <xf numFmtId="166" fontId="32" fillId="9" borderId="27" xfId="0" applyNumberFormat="1" applyFont="1" applyFill="1" applyBorder="1" applyAlignment="1">
      <alignment horizontal="center" vertical="center"/>
    </xf>
    <xf numFmtId="166" fontId="32" fillId="9" borderId="0" xfId="0" applyNumberFormat="1" applyFont="1" applyFill="1" applyAlignment="1">
      <alignment horizontal="center" vertical="center"/>
    </xf>
    <xf numFmtId="166" fontId="32" fillId="9" borderId="28" xfId="0" applyNumberFormat="1" applyFont="1" applyFill="1" applyBorder="1" applyAlignment="1">
      <alignment horizontal="center" vertical="center"/>
    </xf>
    <xf numFmtId="166" fontId="32" fillId="9" borderId="29" xfId="0" applyNumberFormat="1" applyFont="1" applyFill="1" applyBorder="1" applyAlignment="1">
      <alignment horizontal="center" vertical="center"/>
    </xf>
    <xf numFmtId="166" fontId="32" fillId="9" borderId="30" xfId="0" applyNumberFormat="1" applyFont="1" applyFill="1" applyBorder="1" applyAlignment="1">
      <alignment horizontal="center" vertical="center"/>
    </xf>
    <xf numFmtId="166" fontId="32" fillId="9" borderId="31" xfId="0" applyNumberFormat="1" applyFont="1" applyFill="1" applyBorder="1" applyAlignment="1">
      <alignment horizontal="center" vertical="center"/>
    </xf>
    <xf numFmtId="9" fontId="32" fillId="9" borderId="27" xfId="3" applyFont="1" applyFill="1" applyBorder="1" applyAlignment="1">
      <alignment horizontal="center" vertical="center"/>
    </xf>
    <xf numFmtId="9" fontId="32" fillId="9" borderId="0" xfId="3" applyFont="1" applyFill="1" applyBorder="1" applyAlignment="1">
      <alignment horizontal="center" vertical="center"/>
    </xf>
    <xf numFmtId="9" fontId="32" fillId="9" borderId="28" xfId="3" applyFont="1" applyFill="1" applyBorder="1" applyAlignment="1">
      <alignment horizontal="center" vertical="center"/>
    </xf>
    <xf numFmtId="9" fontId="32" fillId="9" borderId="29" xfId="3" applyFont="1" applyFill="1" applyBorder="1" applyAlignment="1">
      <alignment horizontal="center" vertical="center"/>
    </xf>
    <xf numFmtId="9" fontId="32" fillId="9" borderId="30" xfId="3" applyFont="1" applyFill="1" applyBorder="1" applyAlignment="1">
      <alignment horizontal="center" vertical="center"/>
    </xf>
    <xf numFmtId="9" fontId="32" fillId="9" borderId="31" xfId="3" applyFont="1" applyFill="1" applyBorder="1" applyAlignment="1">
      <alignment horizontal="center" vertical="center"/>
    </xf>
    <xf numFmtId="0" fontId="30" fillId="3" borderId="32" xfId="0" applyFont="1" applyFill="1" applyBorder="1" applyAlignment="1">
      <alignment horizontal="center" vertical="center"/>
    </xf>
    <xf numFmtId="0" fontId="30" fillId="3" borderId="33" xfId="0" applyFont="1" applyFill="1" applyBorder="1" applyAlignment="1">
      <alignment horizontal="center" vertical="center"/>
    </xf>
    <xf numFmtId="0" fontId="30" fillId="3" borderId="34" xfId="0" applyFont="1" applyFill="1" applyBorder="1" applyAlignment="1">
      <alignment horizontal="center" vertical="center"/>
    </xf>
    <xf numFmtId="0" fontId="30" fillId="3" borderId="35" xfId="0" applyFont="1" applyFill="1" applyBorder="1" applyAlignment="1">
      <alignment horizontal="center" vertical="center"/>
    </xf>
    <xf numFmtId="0" fontId="30" fillId="3" borderId="36" xfId="0" applyFont="1" applyFill="1" applyBorder="1" applyAlignment="1">
      <alignment horizontal="center" vertical="center"/>
    </xf>
    <xf numFmtId="0" fontId="30" fillId="3" borderId="37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4" fillId="3" borderId="32" xfId="0" applyFont="1" applyFill="1" applyBorder="1" applyAlignment="1">
      <alignment horizontal="center" vertical="center"/>
    </xf>
    <xf numFmtId="0" fontId="44" fillId="3" borderId="33" xfId="0" applyFont="1" applyFill="1" applyBorder="1" applyAlignment="1">
      <alignment horizontal="center" vertical="center"/>
    </xf>
    <xf numFmtId="0" fontId="44" fillId="3" borderId="34" xfId="0" applyFont="1" applyFill="1" applyBorder="1" applyAlignment="1">
      <alignment horizontal="center" vertical="center"/>
    </xf>
    <xf numFmtId="0" fontId="44" fillId="3" borderId="35" xfId="0" applyFont="1" applyFill="1" applyBorder="1" applyAlignment="1">
      <alignment horizontal="center" vertical="center"/>
    </xf>
    <xf numFmtId="0" fontId="44" fillId="3" borderId="36" xfId="0" applyFont="1" applyFill="1" applyBorder="1" applyAlignment="1">
      <alignment horizontal="center" vertical="center"/>
    </xf>
    <xf numFmtId="0" fontId="44" fillId="3" borderId="37" xfId="0" applyFont="1" applyFill="1" applyBorder="1" applyAlignment="1">
      <alignment horizontal="center" vertical="center"/>
    </xf>
    <xf numFmtId="0" fontId="45" fillId="9" borderId="0" xfId="0" applyFont="1" applyFill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46" fillId="3" borderId="38" xfId="0" applyFont="1" applyFill="1" applyBorder="1" applyAlignment="1">
      <alignment horizontal="center" vertical="center"/>
    </xf>
    <xf numFmtId="0" fontId="46" fillId="3" borderId="0" xfId="0" applyFont="1" applyFill="1" applyAlignment="1">
      <alignment horizontal="center" vertical="center"/>
    </xf>
    <xf numFmtId="0" fontId="46" fillId="3" borderId="39" xfId="0" applyFont="1" applyFill="1" applyBorder="1" applyAlignment="1">
      <alignment horizontal="center" vertical="center"/>
    </xf>
    <xf numFmtId="0" fontId="46" fillId="3" borderId="41" xfId="0" applyFont="1" applyFill="1" applyBorder="1" applyAlignment="1">
      <alignment horizontal="center" vertical="center"/>
    </xf>
    <xf numFmtId="0" fontId="46" fillId="3" borderId="42" xfId="0" applyFont="1" applyFill="1" applyBorder="1" applyAlignment="1">
      <alignment horizontal="center" vertical="center"/>
    </xf>
    <xf numFmtId="0" fontId="46" fillId="3" borderId="43" xfId="0" applyFont="1" applyFill="1" applyBorder="1" applyAlignment="1">
      <alignment horizontal="center" vertical="center"/>
    </xf>
    <xf numFmtId="0" fontId="47" fillId="0" borderId="0" xfId="0" applyFont="1" applyAlignment="1">
      <alignment horizontal="left" vertical="center"/>
    </xf>
    <xf numFmtId="0" fontId="47" fillId="0" borderId="36" xfId="0" applyFont="1" applyBorder="1" applyAlignment="1">
      <alignment horizontal="left" vertical="center"/>
    </xf>
    <xf numFmtId="166" fontId="48" fillId="0" borderId="40" xfId="0" applyNumberFormat="1" applyFont="1" applyBorder="1" applyAlignment="1">
      <alignment horizontal="center" vertical="center"/>
    </xf>
    <xf numFmtId="166" fontId="48" fillId="0" borderId="0" xfId="0" applyNumberFormat="1" applyFont="1" applyAlignment="1">
      <alignment horizontal="center" vertical="center"/>
    </xf>
    <xf numFmtId="166" fontId="48" fillId="0" borderId="39" xfId="0" applyNumberFormat="1" applyFont="1" applyBorder="1" applyAlignment="1">
      <alignment horizontal="center" vertical="center"/>
    </xf>
    <xf numFmtId="166" fontId="48" fillId="0" borderId="44" xfId="0" applyNumberFormat="1" applyFont="1" applyBorder="1" applyAlignment="1">
      <alignment horizontal="center" vertical="center"/>
    </xf>
    <xf numFmtId="166" fontId="48" fillId="0" borderId="36" xfId="0" applyNumberFormat="1" applyFont="1" applyBorder="1" applyAlignment="1">
      <alignment horizontal="center" vertical="center"/>
    </xf>
    <xf numFmtId="166" fontId="48" fillId="0" borderId="37" xfId="0" applyNumberFormat="1" applyFont="1" applyBorder="1" applyAlignment="1">
      <alignment horizontal="center" vertical="center"/>
    </xf>
    <xf numFmtId="0" fontId="47" fillId="0" borderId="32" xfId="0" applyFont="1" applyBorder="1" applyAlignment="1">
      <alignment horizontal="left" vertical="center"/>
    </xf>
    <xf numFmtId="0" fontId="47" fillId="0" borderId="33" xfId="0" applyFont="1" applyBorder="1" applyAlignment="1">
      <alignment horizontal="left" vertical="center"/>
    </xf>
    <xf numFmtId="0" fontId="47" fillId="0" borderId="49" xfId="0" applyFont="1" applyBorder="1" applyAlignment="1">
      <alignment horizontal="left" vertical="center"/>
    </xf>
    <xf numFmtId="0" fontId="47" fillId="0" borderId="38" xfId="0" applyFont="1" applyBorder="1" applyAlignment="1">
      <alignment horizontal="left" vertical="center"/>
    </xf>
    <xf numFmtId="0" fontId="47" fillId="0" borderId="50" xfId="0" applyFont="1" applyBorder="1" applyAlignment="1">
      <alignment horizontal="left" vertical="center"/>
    </xf>
    <xf numFmtId="0" fontId="47" fillId="0" borderId="35" xfId="0" applyFont="1" applyBorder="1" applyAlignment="1">
      <alignment horizontal="left" vertical="center"/>
    </xf>
    <xf numFmtId="0" fontId="47" fillId="0" borderId="51" xfId="0" applyFont="1" applyBorder="1" applyAlignment="1">
      <alignment horizontal="left" vertical="center"/>
    </xf>
    <xf numFmtId="166" fontId="48" fillId="0" borderId="45" xfId="0" applyNumberFormat="1" applyFont="1" applyBorder="1" applyAlignment="1">
      <alignment horizontal="center" vertical="center"/>
    </xf>
    <xf numFmtId="166" fontId="48" fillId="0" borderId="33" xfId="0" applyNumberFormat="1" applyFont="1" applyBorder="1" applyAlignment="1">
      <alignment horizontal="center" vertical="center"/>
    </xf>
    <xf numFmtId="166" fontId="48" fillId="0" borderId="34" xfId="0" applyNumberFormat="1" applyFont="1" applyBorder="1" applyAlignment="1">
      <alignment horizontal="center" vertical="center"/>
    </xf>
    <xf numFmtId="4" fontId="51" fillId="0" borderId="0" xfId="0" applyNumberFormat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6" fillId="3" borderId="46" xfId="0" applyFont="1" applyFill="1" applyBorder="1" applyAlignment="1">
      <alignment horizontal="center" vertical="center"/>
    </xf>
    <xf numFmtId="0" fontId="46" fillId="3" borderId="47" xfId="0" applyFont="1" applyFill="1" applyBorder="1" applyAlignment="1">
      <alignment horizontal="center" vertical="center"/>
    </xf>
    <xf numFmtId="0" fontId="46" fillId="3" borderId="48" xfId="0" applyFont="1" applyFill="1" applyBorder="1" applyAlignment="1">
      <alignment horizontal="center" vertical="center"/>
    </xf>
    <xf numFmtId="0" fontId="46" fillId="3" borderId="35" xfId="0" applyFont="1" applyFill="1" applyBorder="1" applyAlignment="1">
      <alignment horizontal="center" vertical="center"/>
    </xf>
    <xf numFmtId="0" fontId="46" fillId="3" borderId="36" xfId="0" applyFont="1" applyFill="1" applyBorder="1" applyAlignment="1">
      <alignment horizontal="center" vertical="center"/>
    </xf>
    <xf numFmtId="0" fontId="46" fillId="3" borderId="37" xfId="0" applyFont="1" applyFill="1" applyBorder="1" applyAlignment="1">
      <alignment horizontal="center" vertical="center"/>
    </xf>
    <xf numFmtId="0" fontId="50" fillId="0" borderId="0" xfId="0" applyFont="1" applyAlignment="1">
      <alignment horizontal="center"/>
    </xf>
  </cellXfs>
  <cellStyles count="4">
    <cellStyle name="Hyperlink" xfId="2" xr:uid="{00000000-000B-0000-0000-000008000000}"/>
    <cellStyle name="Moneda" xfId="1" builtinId="4"/>
    <cellStyle name="Normal" xfId="0" builtinId="0"/>
    <cellStyle name="Porcentaje" xfId="3" builtinId="5"/>
  </cellStyles>
  <dxfs count="71"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9" formatCode="dd/mm/yyyy"/>
      <fill>
        <patternFill patternType="solid">
          <fgColor indexed="64"/>
          <bgColor rgb="FF061C3B"/>
        </patternFill>
      </fill>
      <alignment horizontal="center" vertical="bottom" textRotation="0" wrapText="0" indent="0" justifyLastLine="0" shrinkToFit="0" readingOrder="0"/>
    </dxf>
    <dxf>
      <font>
        <color theme="0"/>
      </font>
    </dxf>
    <dxf>
      <font>
        <b val="0"/>
        <i val="0"/>
        <color auto="1"/>
      </font>
      <fill>
        <patternFill patternType="solid">
          <fgColor theme="2"/>
          <bgColor theme="2"/>
        </patternFill>
      </fill>
      <border>
        <top style="thick">
          <color auto="1"/>
        </top>
        <bottom style="thick">
          <color auto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i val="0"/>
        <color theme="0"/>
      </font>
      <fill>
        <patternFill patternType="solid">
          <fgColor rgb="FF041833"/>
          <bgColor rgb="FF041833"/>
        </patternFill>
      </fill>
      <border>
        <bottom style="medium">
          <color theme="1"/>
        </bottom>
      </border>
    </dxf>
    <dxf>
      <font>
        <b val="0"/>
        <i val="0"/>
        <color auto="1"/>
      </font>
      <border>
        <top style="medium">
          <color theme="1"/>
        </top>
        <bottom style="medium">
          <color theme="1"/>
        </bottom>
      </border>
    </dxf>
    <dxf>
      <font>
        <color theme="0"/>
      </font>
    </dxf>
    <dxf>
      <fill>
        <patternFill>
          <fgColor theme="0"/>
          <bgColor rgb="FFFFFFFF"/>
        </patternFill>
      </fill>
    </dxf>
    <dxf>
      <fill>
        <patternFill>
          <fgColor theme="2"/>
          <bgColor theme="2"/>
        </patternFill>
      </fill>
    </dxf>
    <dxf>
      <font>
        <b/>
        <i val="0"/>
        <color theme="0"/>
      </font>
      <fill>
        <patternFill>
          <fgColor rgb="FF041833"/>
          <bgColor rgb="FF041833"/>
        </patternFill>
      </fill>
    </dxf>
    <dxf>
      <font>
        <color auto="1"/>
      </font>
      <border>
        <top style="thick">
          <color auto="1"/>
        </top>
        <bottom style="thick">
          <color auto="1"/>
        </bottom>
      </border>
    </dxf>
  </dxfs>
  <tableStyles count="2" defaultTableStyle="Serenatto Café e Bistrô" defaultPivotStyle="PivotStyleLight16">
    <tableStyle name="Serenatto" pivot="0" count="5" xr9:uid="{E8ABCD3D-CC1D-4995-B9AB-9AF6E5F5CB11}">
      <tableStyleElement type="wholeTable" dxfId="70"/>
      <tableStyleElement type="headerRow" dxfId="69"/>
      <tableStyleElement type="firstRowStripe" dxfId="68"/>
      <tableStyleElement type="firstColumnStripe" dxfId="67"/>
      <tableStyleElement type="firstHeaderCell" dxfId="66"/>
    </tableStyle>
    <tableStyle name="Serenatto Café e Bistrô" pivot="0" count="8" xr9:uid="{8893930E-E468-4850-879C-C0078EFF5D52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firstRowStripe" dxfId="60"/>
      <tableStyleElement type="firstColumnStripe" dxfId="59"/>
      <tableStyleElement type="firstHeaderCell" dxfId="58"/>
    </tableStyle>
  </tableStyles>
  <colors>
    <mruColors>
      <color rgb="FF041833"/>
      <color rgb="FF629FF0"/>
      <color rgb="FF072349"/>
      <color rgb="FF061D3C"/>
      <color rgb="FF061C3B"/>
      <color rgb="FF051934"/>
      <color rgb="FF082950"/>
      <color rgb="FF0A305E"/>
      <color rgb="FF0B3362"/>
      <color rgb="FF1344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8461084084235"/>
          <c:y val="3.3485548361209594E-2"/>
          <c:w val="0.8513524026057252"/>
          <c:h val="0.8871433950894412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'Top 5 Productos'!$F$1</c:f>
              <c:strCache>
                <c:ptCount val="1"/>
                <c:pt idx="0">
                  <c:v>Salidas</c:v>
                </c:pt>
              </c:strCache>
            </c:strRef>
          </c:tx>
          <c:spPr>
            <a:solidFill>
              <a:srgbClr val="629FF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'Top 5 Productos'!$E$2:$E$6</c:f>
              <c:strCache>
                <c:ptCount val="5"/>
                <c:pt idx="0">
                  <c:v>Gaseosa</c:v>
                </c:pt>
                <c:pt idx="1">
                  <c:v>Churros</c:v>
                </c:pt>
                <c:pt idx="2">
                  <c:v>Sándwiche de pollo</c:v>
                </c:pt>
                <c:pt idx="3">
                  <c:v>Cappuccino</c:v>
                </c:pt>
                <c:pt idx="4">
                  <c:v>Café</c:v>
                </c:pt>
              </c:strCache>
            </c:strRef>
          </c:cat>
          <c:val>
            <c:numRef>
              <c:f>'Top 5 Productos'!$F$2:$F$6</c:f>
              <c:numCache>
                <c:formatCode>General</c:formatCode>
                <c:ptCount val="5"/>
                <c:pt idx="0">
                  <c:v>210</c:v>
                </c:pt>
                <c:pt idx="1">
                  <c:v>349</c:v>
                </c:pt>
                <c:pt idx="2">
                  <c:v>450</c:v>
                </c:pt>
                <c:pt idx="3">
                  <c:v>510</c:v>
                </c:pt>
                <c:pt idx="4">
                  <c:v>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C-4A3F-BF8F-DDC9A336DE43}"/>
            </c:ext>
          </c:extLst>
        </c:ser>
        <c:ser>
          <c:idx val="1"/>
          <c:order val="1"/>
          <c:tx>
            <c:strRef>
              <c:f>'Top 5 Productos'!$G$1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04183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'Top 5 Productos'!$E$2:$E$6</c:f>
              <c:strCache>
                <c:ptCount val="5"/>
                <c:pt idx="0">
                  <c:v>Gaseosa</c:v>
                </c:pt>
                <c:pt idx="1">
                  <c:v>Churros</c:v>
                </c:pt>
                <c:pt idx="2">
                  <c:v>Sándwiche de pollo</c:v>
                </c:pt>
                <c:pt idx="3">
                  <c:v>Cappuccino</c:v>
                </c:pt>
                <c:pt idx="4">
                  <c:v>Café</c:v>
                </c:pt>
              </c:strCache>
            </c:strRef>
          </c:cat>
          <c:val>
            <c:numRef>
              <c:f>'Top 5 Productos'!$G$2:$G$6</c:f>
              <c:numCache>
                <c:formatCode>General</c:formatCode>
                <c:ptCount val="5"/>
                <c:pt idx="0">
                  <c:v>300</c:v>
                </c:pt>
                <c:pt idx="1">
                  <c:v>404</c:v>
                </c:pt>
                <c:pt idx="2">
                  <c:v>450</c:v>
                </c:pt>
                <c:pt idx="3">
                  <c:v>564</c:v>
                </c:pt>
                <c:pt idx="4">
                  <c:v>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7C-4A3F-BF8F-DDC9A336D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519777103"/>
        <c:axId val="1519768943"/>
      </c:barChart>
      <c:catAx>
        <c:axId val="1519777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19768943"/>
        <c:crosses val="autoZero"/>
        <c:auto val="1"/>
        <c:lblAlgn val="ctr"/>
        <c:lblOffset val="100"/>
        <c:noMultiLvlLbl val="0"/>
      </c:catAx>
      <c:valAx>
        <c:axId val="151976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1977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6033933672067"/>
          <c:y val="0.23630082726322874"/>
          <c:w val="0.23521885457796451"/>
          <c:h val="0.251651687045851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24834860840105"/>
          <c:y val="2.9962617505954185E-2"/>
          <c:w val="0.88175165139159895"/>
          <c:h val="0.60372079087154651"/>
        </c:manualLayout>
      </c:layout>
      <c:lineChart>
        <c:grouping val="standard"/>
        <c:varyColors val="0"/>
        <c:ser>
          <c:idx val="0"/>
          <c:order val="0"/>
          <c:tx>
            <c:strRef>
              <c:f>'Facturacion vs Gastos'!$C$1</c:f>
              <c:strCache>
                <c:ptCount val="1"/>
                <c:pt idx="0">
                  <c:v>Facturación</c:v>
                </c:pt>
              </c:strCache>
            </c:strRef>
          </c:tx>
          <c:spPr>
            <a:ln w="34925" cap="rnd">
              <a:solidFill>
                <a:srgbClr val="629FF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'Facturacion vs Gastos'!$B$2:$B$13</c:f>
              <c:numCache>
                <c:formatCode>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'Facturacion vs Gastos'!$C$2:$C$13</c:f>
              <c:numCache>
                <c:formatCode>_("$"* #,##0.00_);_("$"* \(#,##0.00\);_("$"* "-"??_);_(@_)</c:formatCode>
                <c:ptCount val="12"/>
                <c:pt idx="0">
                  <c:v>1178.5</c:v>
                </c:pt>
                <c:pt idx="1">
                  <c:v>1450</c:v>
                </c:pt>
                <c:pt idx="2">
                  <c:v>1223.5</c:v>
                </c:pt>
                <c:pt idx="3">
                  <c:v>962.5</c:v>
                </c:pt>
                <c:pt idx="4">
                  <c:v>959.5</c:v>
                </c:pt>
                <c:pt idx="5">
                  <c:v>971.5</c:v>
                </c:pt>
                <c:pt idx="6">
                  <c:v>1405.5</c:v>
                </c:pt>
                <c:pt idx="7">
                  <c:v>1145.5</c:v>
                </c:pt>
                <c:pt idx="8">
                  <c:v>1042</c:v>
                </c:pt>
                <c:pt idx="9">
                  <c:v>785.5</c:v>
                </c:pt>
                <c:pt idx="10">
                  <c:v>568</c:v>
                </c:pt>
                <c:pt idx="11">
                  <c:v>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35-488B-A66D-3922EDED4240}"/>
            </c:ext>
          </c:extLst>
        </c:ser>
        <c:ser>
          <c:idx val="1"/>
          <c:order val="1"/>
          <c:tx>
            <c:strRef>
              <c:f>'Facturacion vs Gastos'!$D$1</c:f>
              <c:strCache>
                <c:ptCount val="1"/>
                <c:pt idx="0">
                  <c:v>Gastos</c:v>
                </c:pt>
              </c:strCache>
            </c:strRef>
          </c:tx>
          <c:spPr>
            <a:ln w="34925" cap="rnd">
              <a:solidFill>
                <a:srgbClr val="04183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'Facturacion vs Gastos'!$B$2:$B$13</c:f>
              <c:numCache>
                <c:formatCode>mmm</c:formatCode>
                <c:ptCount val="12"/>
                <c:pt idx="0">
                  <c:v>1</c:v>
                </c:pt>
                <c:pt idx="1">
                  <c:v>32</c:v>
                </c:pt>
                <c:pt idx="2">
                  <c:v>61</c:v>
                </c:pt>
                <c:pt idx="3">
                  <c:v>92</c:v>
                </c:pt>
                <c:pt idx="4">
                  <c:v>122</c:v>
                </c:pt>
                <c:pt idx="5">
                  <c:v>153</c:v>
                </c:pt>
                <c:pt idx="6">
                  <c:v>183</c:v>
                </c:pt>
                <c:pt idx="7">
                  <c:v>214</c:v>
                </c:pt>
                <c:pt idx="8">
                  <c:v>245</c:v>
                </c:pt>
                <c:pt idx="9">
                  <c:v>275</c:v>
                </c:pt>
                <c:pt idx="10">
                  <c:v>306</c:v>
                </c:pt>
                <c:pt idx="11">
                  <c:v>336</c:v>
                </c:pt>
              </c:numCache>
            </c:numRef>
          </c:cat>
          <c:val>
            <c:numRef>
              <c:f>'Facturacion vs Gastos'!$D$2:$D$13</c:f>
              <c:numCache>
                <c:formatCode>_("$"* #,##0.00_);_("$"* \(#,##0.00\);_("$"* "-"??_);_(@_)</c:formatCode>
                <c:ptCount val="12"/>
                <c:pt idx="0">
                  <c:v>877.5</c:v>
                </c:pt>
                <c:pt idx="1">
                  <c:v>895</c:v>
                </c:pt>
                <c:pt idx="2">
                  <c:v>853.75</c:v>
                </c:pt>
                <c:pt idx="3">
                  <c:v>656.25</c:v>
                </c:pt>
                <c:pt idx="4">
                  <c:v>538.5</c:v>
                </c:pt>
                <c:pt idx="5">
                  <c:v>855</c:v>
                </c:pt>
                <c:pt idx="6">
                  <c:v>892.5</c:v>
                </c:pt>
                <c:pt idx="7">
                  <c:v>673.75</c:v>
                </c:pt>
                <c:pt idx="8">
                  <c:v>690.25</c:v>
                </c:pt>
                <c:pt idx="9">
                  <c:v>537</c:v>
                </c:pt>
                <c:pt idx="10">
                  <c:v>435</c:v>
                </c:pt>
                <c:pt idx="11">
                  <c:v>652.5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88B-A66D-3922EDED42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795807"/>
        <c:axId val="894789567"/>
      </c:lineChart>
      <c:dateAx>
        <c:axId val="894795807"/>
        <c:scaling>
          <c:orientation val="minMax"/>
        </c:scaling>
        <c:delete val="1"/>
        <c:axPos val="b"/>
        <c:numFmt formatCode="mmm" sourceLinked="1"/>
        <c:majorTickMark val="none"/>
        <c:minorTickMark val="none"/>
        <c:tickLblPos val="nextTo"/>
        <c:crossAx val="894789567"/>
        <c:crosses val="autoZero"/>
        <c:auto val="1"/>
        <c:lblOffset val="100"/>
        <c:baseTimeUnit val="months"/>
      </c:dateAx>
      <c:valAx>
        <c:axId val="8947895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894795807"/>
        <c:crosses val="autoZero"/>
        <c:crossBetween val="between"/>
      </c:valAx>
      <c:dTable>
        <c:showHorzBorder val="1"/>
        <c:showVertBorder val="0"/>
        <c:showOutline val="0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577983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160167-5E1F-4F35-97E3-6DFB8E390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841145</xdr:colOff>
      <xdr:row>0</xdr:row>
      <xdr:rowOff>663807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DD3C774-640D-4DAB-8B88-5E0150A7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3</xdr:col>
      <xdr:colOff>491064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E36A860-7A60-44EE-9F4C-EF6E7D6BA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3</xdr:col>
      <xdr:colOff>533351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D47C60B-5677-4095-BD59-FDBAD1F48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2077</xdr:colOff>
      <xdr:row>0</xdr:row>
      <xdr:rowOff>96982</xdr:rowOff>
    </xdr:from>
    <xdr:ext cx="2153518" cy="566825"/>
    <xdr:pic>
      <xdr:nvPicPr>
        <xdr:cNvPr id="2" name="Imagem 2">
          <a:extLst>
            <a:ext uri="{FF2B5EF4-FFF2-40B4-BE49-F238E27FC236}">
              <a16:creationId xmlns:a16="http://schemas.microsoft.com/office/drawing/2014/main" id="{B1F4D7A2-6F09-456C-947D-5D56497CA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677" y="96982"/>
          <a:ext cx="2153518" cy="56682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2077</xdr:colOff>
      <xdr:row>0</xdr:row>
      <xdr:rowOff>96982</xdr:rowOff>
    </xdr:from>
    <xdr:to>
      <xdr:col>3</xdr:col>
      <xdr:colOff>18185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7AD903-D80E-421C-B1C3-0A3F6167B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252" y="96982"/>
          <a:ext cx="2149708" cy="5706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11</xdr:col>
      <xdr:colOff>192926</xdr:colOff>
      <xdr:row>0</xdr:row>
      <xdr:rowOff>625880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677928F9-4330-4D5C-842E-FB13FD521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" y="60960"/>
          <a:ext cx="2134121" cy="56492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638BD948-2491-4C76-9AE3-2DA5865F72B6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56575" cy="0"/>
        </a:xfrm>
        <a:prstGeom prst="line">
          <a:avLst/>
        </a:prstGeom>
        <a:ln w="19050">
          <a:solidFill>
            <a:srgbClr val="8497B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15240</xdr:colOff>
      <xdr:row>0</xdr:row>
      <xdr:rowOff>30480</xdr:rowOff>
    </xdr:from>
    <xdr:to>
      <xdr:col>29</xdr:col>
      <xdr:colOff>83820</xdr:colOff>
      <xdr:row>5</xdr:row>
      <xdr:rowOff>1190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B82D084-7532-41E5-A58A-0AE179CFC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6965" y="30480"/>
          <a:ext cx="1925955" cy="542210"/>
        </a:xfrm>
        <a:prstGeom prst="rect">
          <a:avLst/>
        </a:prstGeom>
      </xdr:spPr>
    </xdr:pic>
    <xdr:clientData/>
  </xdr:twoCellAnchor>
  <xdr:twoCellAnchor>
    <xdr:from>
      <xdr:col>2</xdr:col>
      <xdr:colOff>9526</xdr:colOff>
      <xdr:row>9</xdr:row>
      <xdr:rowOff>9526</xdr:rowOff>
    </xdr:from>
    <xdr:to>
      <xdr:col>25</xdr:col>
      <xdr:colOff>0</xdr:colOff>
      <xdr:row>26</xdr:row>
      <xdr:rowOff>85725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A837A267-C510-5BB1-EB42-0241D3E5D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3921</xdr:colOff>
      <xdr:row>10</xdr:row>
      <xdr:rowOff>9529</xdr:rowOff>
    </xdr:from>
    <xdr:to>
      <xdr:col>83</xdr:col>
      <xdr:colOff>142874</xdr:colOff>
      <xdr:row>24</xdr:row>
      <xdr:rowOff>104775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3401958B-E53E-B32B-2593-261314B59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F6394-EF65-45E1-9758-FD9D66AC3231}" name="TB_Producto" displayName="TB_Producto" ref="B4:F32" headerRowDxfId="57" tableBorderDxfId="56">
  <autoFilter ref="B4:F32" xr:uid="{F0AF6394-EF65-45E1-9758-FD9D66AC3231}"/>
  <tableColumns count="5">
    <tableColumn id="1" xr3:uid="{6073F92B-A668-43CA-ACC7-070F6E4D94A5}" name="Producto" totalsRowLabel="Total" dataDxfId="55" totalsRowDxfId="54"/>
    <tableColumn id="2" xr3:uid="{0BE8200A-8342-4F01-899C-AAF566F194C5}" name="Unidad de Medida" totalsRowFunction="count" dataDxfId="53" totalsRowDxfId="52"/>
    <tableColumn id="3" xr3:uid="{740F0444-A968-43F4-92B2-4E79007E1985}" name="Stock Mínimo" totalsRowFunction="sum" dataDxfId="51" totalsRowDxfId="50"/>
    <tableColumn id="4" xr3:uid="{9AA501E3-3C18-41ED-AE83-A9E3EF1EE871}" name="Costo Unitario" totalsRowFunction="sum" dataDxfId="49" totalsRowDxfId="48"/>
    <tableColumn id="5" xr3:uid="{0C8A8622-7DA0-492F-AB4F-AEC070DDC00F}" name="Precio Unitario" totalsRowFunction="sum" dataDxfId="47" totalsRowDxfId="46"/>
  </tableColumns>
  <tableStyleInfo name="Serenatto Café e Bistrô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00647B-4E8D-4A36-85A4-0A8755F2B8A4}" name="TB_Proveedor" displayName="TB_Proveedor" ref="B5:E9" totalsRowShown="0" headerRowDxfId="45" tableBorderDxfId="44">
  <autoFilter ref="B5:E9" xr:uid="{CD00647B-4E8D-4A36-85A4-0A8755F2B8A4}"/>
  <tableColumns count="4">
    <tableColumn id="1" xr3:uid="{63B42362-8DB3-4714-BBC4-BBE73EAFEF47}" name="Empresa" dataDxfId="43"/>
    <tableColumn id="2" xr3:uid="{87ACEE19-99E4-4548-BF5A-98FFF08E81F2}" name="Teléfono" dataDxfId="42"/>
    <tableColumn id="3" xr3:uid="{FB62AD26-160C-4198-AA1D-C631BC434381}" name="Responsable" dataDxfId="41"/>
    <tableColumn id="4" xr3:uid="{0F91F07D-F0A7-4037-BC97-2040641DBE35}" name="E-mail" dataDxfId="40"/>
  </tableColumns>
  <tableStyleInfo name="Serenatto Café e Bistrô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4F5BB-DA35-4A31-99F4-C2322915B9C4}" name="TB_Entradas" displayName="TB_Entradas" ref="B5:H59" headerRowDxfId="39" tableBorderDxfId="38">
  <autoFilter ref="B5:H59" xr:uid="{BF84F5BB-DA35-4A31-99F4-C2322915B9C4}"/>
  <tableColumns count="7">
    <tableColumn id="1" xr3:uid="{EC79F83A-7EF9-42F5-AAE8-1FD41239C9A4}" name="Fecha" totalsRowLabel="Total" dataDxfId="37"/>
    <tableColumn id="9" xr3:uid="{89B4ED0C-DB6B-4034-BB12-4D4457ACB402}" name="Mes" dataDxfId="36">
      <calculatedColumnFormula>MONTH(TB_Entradas[[#This Row],[Fecha]])</calculatedColumnFormula>
    </tableColumn>
    <tableColumn id="2" xr3:uid="{AED7AD57-B669-41CA-9892-80914837C295}" name="Producto" totalsRowFunction="count" dataDxfId="35" totalsRowDxfId="34"/>
    <tableColumn id="3" xr3:uid="{5A77D640-5829-4F36-BFCC-81A04393316F}" name="Proveedor" totalsRowFunction="count" dataDxfId="33" totalsRowDxfId="32"/>
    <tableColumn id="4" xr3:uid="{A720A641-1DB7-4DED-86E5-7FA5D65D4505}" name="Cantidad Comprada" totalsRowFunction="sum" dataDxfId="31" totalsRowDxfId="30"/>
    <tableColumn id="5" xr3:uid="{C5ECE10D-4F4D-4DCE-AEB9-D9ED55084ED5}" name="Costo Unitario" totalsRowFunction="sum" dataDxfId="29" totalsRowDxfId="28">
      <calculatedColumnFormula>_xlfn.XLOOKUP(TB_Entradas[[#This Row],[Producto]],TB_Producto[Producto],TB_Producto[Costo Unitario],"Producto Incorrecto")</calculatedColumnFormula>
    </tableColumn>
    <tableColumn id="6" xr3:uid="{8AE61831-2119-4B18-BEA6-8D31FC81A16F}" name="Valor de Compra" totalsRowFunction="sum" dataDxfId="27" totalsRowDxfId="26">
      <calculatedColumnFormula>IFERROR(TB_Entradas[[#This Row],[Cantidad Comprada]]*TB_Entradas[[#This Row],[Costo Unitario]],"Producto Incorrecto")</calculatedColumnFormula>
    </tableColumn>
  </tableColumns>
  <tableStyleInfo name="Serenatto Café e Bistrô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A9F28D-17B5-4E77-B23B-462E3325059C}" name="TB_Salidas" displayName="TB_Salidas" ref="B4:G61" tableBorderDxfId="25">
  <autoFilter ref="B4:G61" xr:uid="{76A9F28D-17B5-4E77-B23B-462E3325059C}"/>
  <tableColumns count="6">
    <tableColumn id="1" xr3:uid="{41575399-A8EF-40F1-BD88-61B9CAA00E9C}" name="Fecha" totalsRowLabel="Total" dataDxfId="24" totalsRowDxfId="23"/>
    <tableColumn id="6" xr3:uid="{0E5FE33C-6E73-4B4A-90BE-2202A7123E10}" name="Mês" dataDxfId="22" totalsRowDxfId="21">
      <calculatedColumnFormula>MONTH(TB_Salidas[[#This Row],[Fecha]])</calculatedColumnFormula>
    </tableColumn>
    <tableColumn id="2" xr3:uid="{52C1A91D-EC67-4D5C-815B-A71D2A3A8E6F}" name="Producto" dataDxfId="20" totalsRowDxfId="19"/>
    <tableColumn id="3" xr3:uid="{07A43350-026D-4360-B1FC-A9DC8966664A}" name="Cantidad Vendida" totalsRowFunction="count" dataDxfId="18" totalsRowDxfId="17"/>
    <tableColumn id="4" xr3:uid="{1C5FBD4D-DA7F-4178-986E-268D78D80121}" name="Precio Unitario" totalsRowFunction="sum" dataDxfId="16" totalsRowDxfId="15">
      <calculatedColumnFormula>_xlfn.XLOOKUP(TB_Salidas[[#This Row],[Producto]],TB_Producto[Producto],TB_Producto[Precio Unitario],"Producto Incorrecto")</calculatedColumnFormula>
    </tableColumn>
    <tableColumn id="5" xr3:uid="{DC226063-043D-47D6-A2E4-247310EB7F17}" name="Valor de Venta" totalsRowFunction="sum" dataDxfId="14" totalsRowDxfId="13">
      <calculatedColumnFormula>TB_Salidas[[#This Row],[Cantidad Vendida]]*TB_Salidas[[#This Row],[Precio Unitario]]</calculatedColumnFormula>
    </tableColumn>
  </tableColumns>
  <tableStyleInfo name="Serenatto Café e Bistrô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D4D2D3-5023-4F83-8F75-FB645D56E0A6}" name="TB_ControlStock" displayName="TB_ControlStock" ref="B5:J17" totalsRowShown="0" headerRowDxfId="10" dataDxfId="9">
  <autoFilter ref="B5:J17" xr:uid="{347EF29C-00D0-4030-B676-536CD20FE6BA}"/>
  <tableColumns count="9">
    <tableColumn id="1" xr3:uid="{1D8562F4-40E3-4A78-AAD9-E8203B460A5E}" name="Producto" dataDxfId="8"/>
    <tableColumn id="2" xr3:uid="{DD3DE186-85AA-45F0-80B7-2E03D9D22C46}" name="Entradas" dataDxfId="7">
      <calculatedColumnFormula>SUMIF(TB_Entradas[Producto],TB_ControlStock[[#This Row],[Producto]],TB_Entradas[Cantidad Comprada])</calculatedColumnFormula>
    </tableColumn>
    <tableColumn id="3" xr3:uid="{1D267570-2FAE-499A-955C-05BD9C94E4C3}" name="Salidas" dataDxfId="6">
      <calculatedColumnFormula>SUMIF(TB_Salidas[Producto],TB_ControlStock[[#This Row],[Producto]],TB_Salidas[Cantidad Vendida])</calculatedColumnFormula>
    </tableColumn>
    <tableColumn id="4" xr3:uid="{1F0392C7-B2DF-4E1D-A4AE-F7E279865371}" name="Cantidad en Stock" dataDxfId="5">
      <calculatedColumnFormula>TB_ControlStock[[#This Row],[Entradas]]-TB_ControlStock[[#This Row],[Salidas]]</calculatedColumnFormula>
    </tableColumn>
    <tableColumn id="5" xr3:uid="{BFDF0550-4859-44A7-AF6A-35DB54694A3A}" name="Stock Mínimo" dataDxfId="4">
      <calculatedColumnFormula>_xlfn.XLOOKUP(TB_ControlStock[[#This Row],[Producto]],TB_Producto[Producto],TB_Producto[Stock Mínimo],"No Encontrado")</calculatedColumnFormula>
    </tableColumn>
    <tableColumn id="6" xr3:uid="{715D1656-4233-4649-9966-DA50FA168D40}" name="Status de Stock" dataDxfId="3">
      <calculatedColumnFormula array="1">_xlfn.IFS(TB_ControlStock[[#This Row],[Cantidad en Stock]]&gt;TB_ControlStock[[#This Row],[Stock Mínimo]],"Stock OK",TB_ControlStock[[#This Row],[Cantidad en Stock]]=0,"Stock Agotado",TRUE,"Stock Bajo")</calculatedColumnFormula>
    </tableColumn>
    <tableColumn id="7" xr3:uid="{AED856F1-21FB-4991-8DD3-D2D20757D1E0}" name="Valor de Venta" dataDxfId="2">
      <calculatedColumnFormula>SUMIFS(TB_Salidas[Valor de Venta],TB_Salidas[Producto],TB_ControlStock[[#This Row],[Producto]])</calculatedColumnFormula>
    </tableColumn>
    <tableColumn id="8" xr3:uid="{878575E6-DF13-46A9-BBC9-B0ED8177B234}" name="Costo Total" dataDxfId="1">
      <calculatedColumnFormula>SUMIFS(TB_Entradas[Valor de Compra],TB_Entradas[Producto],TB_ControlStock[[#This Row],[Producto]])</calculatedColumnFormula>
    </tableColumn>
    <tableColumn id="9" xr3:uid="{CEEE58FF-C558-4EA8-853E-D483134C7E51}" name="Ganancias" dataDxfId="0">
      <calculatedColumnFormula>TB_ControlStock[[#This Row],[Valor de Venta]]-TB_ControlStock[[#This Row],[Costo Total]]</calculatedColumnFormula>
    </tableColumn>
  </tableColumns>
  <tableStyleInfo name="Serenatto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C44CED-571B-43C3-9059-5968FBD14C71}">
  <we:reference id="wa200003696" version="1.2.0.0" store="pt-BR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G32"/>
  <sheetViews>
    <sheetView showGridLines="0" zoomScale="140" zoomScaleNormal="140" workbookViewId="0">
      <selection activeCell="C35" sqref="C35"/>
    </sheetView>
  </sheetViews>
  <sheetFormatPr baseColWidth="10" defaultColWidth="9.140625" defaultRowHeight="15" x14ac:dyDescent="0.25"/>
  <cols>
    <col min="1" max="1" width="5.28515625" customWidth="1"/>
    <col min="2" max="2" width="23.85546875" customWidth="1"/>
    <col min="3" max="3" width="22.5703125" bestFit="1" customWidth="1"/>
    <col min="4" max="4" width="19.7109375" bestFit="1" customWidth="1"/>
    <col min="5" max="5" width="18.140625" customWidth="1"/>
    <col min="6" max="6" width="18.5703125" style="1" bestFit="1" customWidth="1"/>
  </cols>
  <sheetData>
    <row r="1" spans="2:7" s="5" customFormat="1" ht="60" customHeight="1" x14ac:dyDescent="0.25">
      <c r="E1" s="6" t="s">
        <v>33</v>
      </c>
      <c r="F1" s="7"/>
    </row>
    <row r="2" spans="2:7" s="8" customFormat="1" ht="6" customHeight="1" x14ac:dyDescent="0.25">
      <c r="F2" s="9"/>
    </row>
    <row r="4" spans="2:7" ht="18" customHeight="1" thickBot="1" x14ac:dyDescent="0.3">
      <c r="B4" s="26" t="s">
        <v>2</v>
      </c>
      <c r="C4" s="26" t="s">
        <v>34</v>
      </c>
      <c r="D4" s="26" t="s">
        <v>35</v>
      </c>
      <c r="E4" s="26" t="s">
        <v>36</v>
      </c>
      <c r="F4" s="26" t="s">
        <v>37</v>
      </c>
    </row>
    <row r="5" spans="2:7" ht="18" customHeight="1" x14ac:dyDescent="0.25">
      <c r="B5" s="16" t="s">
        <v>5</v>
      </c>
      <c r="C5" s="17" t="s">
        <v>6</v>
      </c>
      <c r="D5" s="18">
        <v>20</v>
      </c>
      <c r="E5" s="19">
        <v>3</v>
      </c>
      <c r="F5" s="20">
        <v>5</v>
      </c>
      <c r="G5" s="3"/>
    </row>
    <row r="6" spans="2:7" ht="18" customHeight="1" x14ac:dyDescent="0.25">
      <c r="B6" s="21" t="s">
        <v>19</v>
      </c>
      <c r="C6" s="22" t="s">
        <v>6</v>
      </c>
      <c r="D6" s="23">
        <v>20</v>
      </c>
      <c r="E6" s="24">
        <v>1.5</v>
      </c>
      <c r="F6" s="25">
        <v>3</v>
      </c>
    </row>
    <row r="7" spans="2:7" ht="18" customHeight="1" x14ac:dyDescent="0.25">
      <c r="B7" s="21" t="s">
        <v>20</v>
      </c>
      <c r="C7" s="22" t="s">
        <v>21</v>
      </c>
      <c r="D7" s="23">
        <v>10</v>
      </c>
      <c r="E7" s="24">
        <v>1.5</v>
      </c>
      <c r="F7" s="25">
        <v>3.5</v>
      </c>
    </row>
    <row r="8" spans="2:7" ht="18" customHeight="1" x14ac:dyDescent="0.25">
      <c r="B8" s="21" t="s">
        <v>22</v>
      </c>
      <c r="C8" s="22" t="s">
        <v>6</v>
      </c>
      <c r="D8" s="23">
        <v>10</v>
      </c>
      <c r="E8" s="24">
        <v>2</v>
      </c>
      <c r="F8" s="25">
        <v>4.75</v>
      </c>
    </row>
    <row r="9" spans="2:7" ht="18" customHeight="1" x14ac:dyDescent="0.25">
      <c r="B9" s="21" t="s">
        <v>23</v>
      </c>
      <c r="C9" s="22" t="s">
        <v>21</v>
      </c>
      <c r="D9" s="23">
        <v>20</v>
      </c>
      <c r="E9" s="24">
        <v>1.5</v>
      </c>
      <c r="F9" s="25">
        <v>2.25</v>
      </c>
    </row>
    <row r="10" spans="2:7" ht="18" customHeight="1" x14ac:dyDescent="0.25">
      <c r="B10" s="21" t="s">
        <v>24</v>
      </c>
      <c r="C10" s="22" t="s">
        <v>6</v>
      </c>
      <c r="D10" s="23">
        <v>10</v>
      </c>
      <c r="E10" s="24">
        <v>1.5</v>
      </c>
      <c r="F10" s="25">
        <v>2.25</v>
      </c>
    </row>
    <row r="11" spans="2:7" ht="18" customHeight="1" x14ac:dyDescent="0.25">
      <c r="B11" s="21" t="s">
        <v>38</v>
      </c>
      <c r="C11" s="22" t="s">
        <v>6</v>
      </c>
      <c r="D11" s="23">
        <v>10</v>
      </c>
      <c r="E11" s="24">
        <v>2</v>
      </c>
      <c r="F11" s="25">
        <v>4.5</v>
      </c>
    </row>
    <row r="12" spans="2:7" ht="18" customHeight="1" x14ac:dyDescent="0.25">
      <c r="B12" s="21" t="s">
        <v>7</v>
      </c>
      <c r="C12" s="22" t="s">
        <v>6</v>
      </c>
      <c r="D12" s="23">
        <v>10</v>
      </c>
      <c r="E12" s="24">
        <v>4.5</v>
      </c>
      <c r="F12" s="25">
        <v>7</v>
      </c>
    </row>
    <row r="13" spans="2:7" ht="18" customHeight="1" x14ac:dyDescent="0.25">
      <c r="B13" s="21" t="s">
        <v>8</v>
      </c>
      <c r="C13" s="22" t="s">
        <v>9</v>
      </c>
      <c r="D13" s="23">
        <v>25</v>
      </c>
      <c r="E13" s="24">
        <v>1</v>
      </c>
      <c r="F13" s="25">
        <v>2.5</v>
      </c>
    </row>
    <row r="14" spans="2:7" ht="18" customHeight="1" x14ac:dyDescent="0.25">
      <c r="B14" s="21" t="s">
        <v>17</v>
      </c>
      <c r="C14" s="22" t="s">
        <v>9</v>
      </c>
      <c r="D14" s="23">
        <v>25</v>
      </c>
      <c r="E14" s="24">
        <v>1</v>
      </c>
      <c r="F14" s="25">
        <v>2.5</v>
      </c>
    </row>
    <row r="15" spans="2:7" ht="18" customHeight="1" x14ac:dyDescent="0.25">
      <c r="B15" s="21" t="s">
        <v>18</v>
      </c>
      <c r="C15" s="22" t="s">
        <v>6</v>
      </c>
      <c r="D15" s="23">
        <v>10</v>
      </c>
      <c r="E15" s="24">
        <v>4.5</v>
      </c>
      <c r="F15" s="25">
        <v>7</v>
      </c>
    </row>
    <row r="16" spans="2:7" ht="18" customHeight="1" x14ac:dyDescent="0.25">
      <c r="B16" s="21" t="s">
        <v>10</v>
      </c>
      <c r="C16" s="22" t="s">
        <v>6</v>
      </c>
      <c r="D16" s="23">
        <v>10</v>
      </c>
      <c r="E16" s="24">
        <v>3.5</v>
      </c>
      <c r="F16" s="25">
        <v>6.5</v>
      </c>
    </row>
    <row r="17" spans="2:6" ht="18" customHeight="1" x14ac:dyDescent="0.25">
      <c r="B17" s="21" t="s">
        <v>11</v>
      </c>
      <c r="C17" s="22" t="s">
        <v>6</v>
      </c>
      <c r="D17" s="23">
        <v>2</v>
      </c>
      <c r="E17" s="24">
        <v>4.5</v>
      </c>
      <c r="F17" s="25">
        <v>6</v>
      </c>
    </row>
    <row r="18" spans="2:6" ht="18" customHeight="1" x14ac:dyDescent="0.25">
      <c r="B18" s="21" t="s">
        <v>12</v>
      </c>
      <c r="C18" s="22" t="s">
        <v>9</v>
      </c>
      <c r="D18" s="23">
        <v>30</v>
      </c>
      <c r="E18" s="24">
        <v>1.25</v>
      </c>
      <c r="F18" s="25">
        <v>2.75</v>
      </c>
    </row>
    <row r="19" spans="2:6" ht="18" customHeight="1" x14ac:dyDescent="0.25">
      <c r="B19" s="21" t="s">
        <v>39</v>
      </c>
      <c r="C19" s="22" t="s">
        <v>6</v>
      </c>
      <c r="D19" s="23">
        <v>2</v>
      </c>
      <c r="E19" s="24">
        <v>6</v>
      </c>
      <c r="F19" s="25">
        <v>8.5</v>
      </c>
    </row>
    <row r="20" spans="2:6" ht="18" customHeight="1" x14ac:dyDescent="0.25">
      <c r="B20" s="21" t="s">
        <v>32</v>
      </c>
      <c r="C20" s="22" t="s">
        <v>9</v>
      </c>
      <c r="D20" s="23">
        <v>15</v>
      </c>
      <c r="E20" s="24">
        <v>2.25</v>
      </c>
      <c r="F20" s="25">
        <v>3</v>
      </c>
    </row>
    <row r="21" spans="2:6" ht="18" customHeight="1" x14ac:dyDescent="0.25">
      <c r="B21" s="21" t="s">
        <v>26</v>
      </c>
      <c r="C21" s="22" t="s">
        <v>9</v>
      </c>
      <c r="D21" s="23">
        <v>50</v>
      </c>
      <c r="E21" s="24">
        <v>1.5</v>
      </c>
      <c r="F21" s="25">
        <v>3</v>
      </c>
    </row>
    <row r="22" spans="2:6" ht="18" customHeight="1" x14ac:dyDescent="0.25">
      <c r="B22" s="21" t="s">
        <v>31</v>
      </c>
      <c r="C22" s="22" t="s">
        <v>9</v>
      </c>
      <c r="D22" s="23">
        <v>15</v>
      </c>
      <c r="E22" s="24">
        <v>2.5</v>
      </c>
      <c r="F22" s="25">
        <v>5</v>
      </c>
    </row>
    <row r="23" spans="2:6" ht="18" customHeight="1" x14ac:dyDescent="0.25">
      <c r="B23" s="21" t="s">
        <v>25</v>
      </c>
      <c r="C23" s="22" t="s">
        <v>21</v>
      </c>
      <c r="D23" s="23">
        <v>15</v>
      </c>
      <c r="E23" s="24">
        <v>4</v>
      </c>
      <c r="F23" s="25">
        <v>7</v>
      </c>
    </row>
    <row r="24" spans="2:6" ht="18" customHeight="1" x14ac:dyDescent="0.25">
      <c r="B24" s="21" t="s">
        <v>66</v>
      </c>
      <c r="C24" s="22" t="s">
        <v>21</v>
      </c>
      <c r="D24" s="23">
        <v>15</v>
      </c>
      <c r="E24" s="24">
        <v>4</v>
      </c>
      <c r="F24" s="25">
        <v>7</v>
      </c>
    </row>
    <row r="25" spans="2:6" ht="18" customHeight="1" x14ac:dyDescent="0.25">
      <c r="B25" s="21" t="s">
        <v>28</v>
      </c>
      <c r="C25" s="22" t="s">
        <v>9</v>
      </c>
      <c r="D25" s="23">
        <v>50</v>
      </c>
      <c r="E25" s="24">
        <v>0.25</v>
      </c>
      <c r="F25" s="25">
        <v>0.75</v>
      </c>
    </row>
    <row r="26" spans="2:6" ht="18" customHeight="1" x14ac:dyDescent="0.25">
      <c r="B26" s="21" t="s">
        <v>29</v>
      </c>
      <c r="C26" s="22" t="s">
        <v>30</v>
      </c>
      <c r="D26" s="23">
        <v>20</v>
      </c>
      <c r="E26" s="24">
        <v>1.25</v>
      </c>
      <c r="F26" s="25">
        <v>2.25</v>
      </c>
    </row>
    <row r="27" spans="2:6" ht="18" customHeight="1" x14ac:dyDescent="0.25">
      <c r="B27" s="21" t="s">
        <v>13</v>
      </c>
      <c r="C27" s="22" t="s">
        <v>9</v>
      </c>
      <c r="D27" s="23">
        <v>15</v>
      </c>
      <c r="E27" s="24">
        <v>1.85</v>
      </c>
      <c r="F27" s="25">
        <v>3.75</v>
      </c>
    </row>
    <row r="28" spans="2:6" ht="18" customHeight="1" x14ac:dyDescent="0.25">
      <c r="B28" s="21" t="s">
        <v>14</v>
      </c>
      <c r="C28" s="22" t="s">
        <v>9</v>
      </c>
      <c r="D28" s="23">
        <v>15</v>
      </c>
      <c r="E28" s="24">
        <v>2.2999999999999998</v>
      </c>
      <c r="F28" s="25">
        <v>5</v>
      </c>
    </row>
    <row r="29" spans="2:6" ht="18" customHeight="1" x14ac:dyDescent="0.25">
      <c r="B29" s="21" t="s">
        <v>15</v>
      </c>
      <c r="C29" s="22" t="s">
        <v>9</v>
      </c>
      <c r="D29" s="23">
        <v>20</v>
      </c>
      <c r="E29" s="24">
        <v>1.75</v>
      </c>
      <c r="F29" s="25">
        <v>3.5</v>
      </c>
    </row>
    <row r="30" spans="2:6" ht="18" customHeight="1" x14ac:dyDescent="0.25">
      <c r="B30" s="21" t="s">
        <v>16</v>
      </c>
      <c r="C30" s="22" t="s">
        <v>9</v>
      </c>
      <c r="D30" s="23">
        <v>10</v>
      </c>
      <c r="E30" s="24">
        <v>1.5</v>
      </c>
      <c r="F30" s="25">
        <v>3</v>
      </c>
    </row>
    <row r="31" spans="2:6" x14ac:dyDescent="0.25">
      <c r="B31" s="21" t="s">
        <v>27</v>
      </c>
      <c r="C31" s="22" t="s">
        <v>9</v>
      </c>
      <c r="D31" s="23">
        <v>30</v>
      </c>
      <c r="E31" s="24">
        <v>0.5</v>
      </c>
      <c r="F31" s="25">
        <v>1</v>
      </c>
    </row>
    <row r="32" spans="2:6" x14ac:dyDescent="0.25">
      <c r="B32" s="27" t="s">
        <v>40</v>
      </c>
      <c r="C32" s="28" t="s">
        <v>21</v>
      </c>
      <c r="D32" s="28">
        <v>10</v>
      </c>
      <c r="E32" s="29">
        <v>0.1</v>
      </c>
      <c r="F32" s="30">
        <v>0.75</v>
      </c>
    </row>
  </sheetData>
  <dataValidations count="1">
    <dataValidation type="custom" allowBlank="1" showInputMessage="1" showErrorMessage="1" errorTitle="Duplicado" error="No se puede insertar dos valores iguales" sqref="B5:B32" xr:uid="{3C21FE9D-DCDF-4626-B066-16B5392FC434}">
      <formula1>COUNTIF(Lista_Productos,B5)&lt;=1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54A8-E4F9-4133-877B-283D82824F74}">
  <dimension ref="A1:G200"/>
  <sheetViews>
    <sheetView zoomScaleNormal="100" workbookViewId="0">
      <selection sqref="A1:A1048576"/>
    </sheetView>
  </sheetViews>
  <sheetFormatPr baseColWidth="10" defaultRowHeight="15" x14ac:dyDescent="0.25"/>
  <cols>
    <col min="1" max="1" width="16.140625" customWidth="1"/>
    <col min="2" max="2" width="16.85546875" bestFit="1" customWidth="1"/>
    <col min="3" max="3" width="2.7109375" customWidth="1"/>
    <col min="4" max="4" width="3.7109375" style="2" customWidth="1"/>
    <col min="5" max="5" width="19.42578125" customWidth="1"/>
    <col min="6" max="6" width="16.85546875" bestFit="1" customWidth="1"/>
    <col min="7" max="7" width="18.42578125" bestFit="1" customWidth="1"/>
  </cols>
  <sheetData>
    <row r="1" spans="1:7" s="105" customFormat="1" x14ac:dyDescent="0.25">
      <c r="A1" s="105" t="s">
        <v>103</v>
      </c>
      <c r="B1" s="105" t="s">
        <v>64</v>
      </c>
      <c r="D1" s="105" t="s">
        <v>104</v>
      </c>
      <c r="E1" s="105" t="s">
        <v>2</v>
      </c>
      <c r="F1" s="105" t="s">
        <v>74</v>
      </c>
      <c r="G1" s="105" t="s">
        <v>73</v>
      </c>
    </row>
    <row r="2" spans="1:7" x14ac:dyDescent="0.25">
      <c r="A2" t="str" cm="1">
        <f t="array" ref="A2:A29">TB_Producto[Producto]</f>
        <v>Café</v>
      </c>
      <c r="B2">
        <f>SUMIF(TB_Salidas[Producto],A2,TB_Salidas[Cantidad Vendida])</f>
        <v>997</v>
      </c>
      <c r="D2" s="2">
        <v>5</v>
      </c>
      <c r="E2" t="str">
        <f>_xlfn.XLOOKUP(F2,B:B,A:A)</f>
        <v>Gaseosa</v>
      </c>
      <c r="F2">
        <f>LARGE(B:B,D2)</f>
        <v>210</v>
      </c>
      <c r="G2">
        <f>SUMIF(TB_Entradas[Producto],E2,TB_Entradas[Cantidad Comprada])</f>
        <v>300</v>
      </c>
    </row>
    <row r="3" spans="1:7" x14ac:dyDescent="0.25">
      <c r="A3" t="str">
        <v>Tostadas</v>
      </c>
      <c r="B3">
        <f>SUMIF(TB_Salidas[Producto],A3,TB_Salidas[Cantidad Vendida])</f>
        <v>0</v>
      </c>
      <c r="D3" s="2">
        <v>4</v>
      </c>
      <c r="E3" t="str">
        <f>_xlfn.XLOOKUP(F3,B:B,A:A)</f>
        <v>Churros</v>
      </c>
      <c r="F3">
        <f>LARGE(B:B,D3)</f>
        <v>349</v>
      </c>
      <c r="G3">
        <f>SUMIF(TB_Entradas[Producto],E3,TB_Entradas[Cantidad Comprada])</f>
        <v>404</v>
      </c>
    </row>
    <row r="4" spans="1:7" x14ac:dyDescent="0.25">
      <c r="A4" t="str">
        <v>Churros</v>
      </c>
      <c r="B4">
        <f>SUMIF(TB_Salidas[Producto],A4,TB_Salidas[Cantidad Vendida])</f>
        <v>349</v>
      </c>
      <c r="D4" s="2">
        <v>3</v>
      </c>
      <c r="E4" t="str">
        <f>_xlfn.XLOOKUP(F4,B:B,A:A)</f>
        <v>Sándwiche de pollo</v>
      </c>
      <c r="F4">
        <f>LARGE(B:B,D4)</f>
        <v>450</v>
      </c>
      <c r="G4">
        <f>SUMIF(TB_Entradas[Producto],E4,TB_Entradas[Cantidad Comprada])</f>
        <v>450</v>
      </c>
    </row>
    <row r="5" spans="1:7" x14ac:dyDescent="0.25">
      <c r="A5" t="str">
        <v>Arepas</v>
      </c>
      <c r="B5">
        <f>SUMIF(TB_Salidas[Producto],A5,TB_Salidas[Cantidad Vendida])</f>
        <v>0</v>
      </c>
      <c r="D5" s="2">
        <v>2</v>
      </c>
      <c r="E5" t="str">
        <f>_xlfn.XLOOKUP(F5,B:B,A:A)</f>
        <v>Cappuccino</v>
      </c>
      <c r="F5">
        <f>LARGE(B:B,D5)</f>
        <v>510</v>
      </c>
      <c r="G5">
        <f>SUMIF(TB_Entradas[Producto],E5,TB_Entradas[Cantidad Comprada])</f>
        <v>564</v>
      </c>
    </row>
    <row r="6" spans="1:7" x14ac:dyDescent="0.25">
      <c r="A6" t="str">
        <v>Nuggets</v>
      </c>
      <c r="B6">
        <f>SUMIF(TB_Salidas[Producto],A6,TB_Salidas[Cantidad Vendida])</f>
        <v>0</v>
      </c>
      <c r="D6" s="2">
        <v>1</v>
      </c>
      <c r="E6" t="str">
        <f>_xlfn.XLOOKUP(F6,B:B,A:A)</f>
        <v>Café</v>
      </c>
      <c r="F6">
        <f>LARGE(B:B,D6)</f>
        <v>997</v>
      </c>
      <c r="G6">
        <f>SUMIF(TB_Entradas[Producto],E6,TB_Entradas[Cantidad Comprada])</f>
        <v>1245</v>
      </c>
    </row>
    <row r="7" spans="1:7" x14ac:dyDescent="0.25">
      <c r="A7" t="str">
        <v>Empanada</v>
      </c>
      <c r="B7">
        <f>SUMIF(TB_Salidas[Producto],A7,TB_Salidas[Cantidad Vendida])</f>
        <v>0</v>
      </c>
    </row>
    <row r="8" spans="1:7" x14ac:dyDescent="0.25">
      <c r="A8" t="str">
        <v>Palitos de Queso</v>
      </c>
      <c r="B8">
        <f>SUMIF(TB_Salidas[Producto],A8,TB_Salidas[Cantidad Vendida])</f>
        <v>0</v>
      </c>
    </row>
    <row r="9" spans="1:7" x14ac:dyDescent="0.25">
      <c r="A9" t="str">
        <v>Té</v>
      </c>
      <c r="B9">
        <f>SUMIF(TB_Salidas[Producto],A9,TB_Salidas[Cantidad Vendida])</f>
        <v>0</v>
      </c>
    </row>
    <row r="10" spans="1:7" x14ac:dyDescent="0.25">
      <c r="A10" t="str">
        <v>Croissant</v>
      </c>
      <c r="B10">
        <f>SUMIF(TB_Salidas[Producto],A10,TB_Salidas[Cantidad Vendida])</f>
        <v>0</v>
      </c>
    </row>
    <row r="11" spans="1:7" x14ac:dyDescent="0.25">
      <c r="A11" t="str">
        <v>Quesadilla</v>
      </c>
      <c r="B11">
        <f>SUMIF(TB_Salidas[Producto],A11,TB_Salidas[Cantidad Vendida])</f>
        <v>0</v>
      </c>
    </row>
    <row r="12" spans="1:7" x14ac:dyDescent="0.25">
      <c r="A12" t="str">
        <v>Cappuccino</v>
      </c>
      <c r="B12">
        <f>SUMIF(TB_Salidas[Producto],A12,TB_Salidas[Cantidad Vendida])</f>
        <v>510</v>
      </c>
    </row>
    <row r="13" spans="1:7" x14ac:dyDescent="0.25">
      <c r="A13" t="str">
        <v>Chocolate</v>
      </c>
      <c r="B13">
        <f>SUMIF(TB_Salidas[Producto],A13,TB_Salidas[Cantidad Vendida])</f>
        <v>0</v>
      </c>
    </row>
    <row r="14" spans="1:7" x14ac:dyDescent="0.25">
      <c r="A14" t="str">
        <v>Pastel</v>
      </c>
      <c r="B14">
        <f>SUMIF(TB_Salidas[Producto],A14,TB_Salidas[Cantidad Vendida])</f>
        <v>0</v>
      </c>
    </row>
    <row r="15" spans="1:7" x14ac:dyDescent="0.25">
      <c r="A15" t="str">
        <v>Mini Pizza</v>
      </c>
      <c r="B15">
        <f>SUMIF(TB_Salidas[Producto],A15,TB_Salidas[Cantidad Vendida])</f>
        <v>92</v>
      </c>
    </row>
    <row r="16" spans="1:7" x14ac:dyDescent="0.25">
      <c r="A16" t="str">
        <v>Tarta</v>
      </c>
      <c r="B16">
        <f>SUMIF(TB_Salidas[Producto],A16,TB_Salidas[Cantidad Vendida])</f>
        <v>0</v>
      </c>
    </row>
    <row r="17" spans="1:2" x14ac:dyDescent="0.25">
      <c r="A17" t="str">
        <v>Sándwiche de pollo</v>
      </c>
      <c r="B17">
        <f>SUMIF(TB_Salidas[Producto],A17,TB_Salidas[Cantidad Vendida])</f>
        <v>450</v>
      </c>
    </row>
    <row r="18" spans="1:2" x14ac:dyDescent="0.25">
      <c r="A18" t="str">
        <v>Zumo de Naranja</v>
      </c>
      <c r="B18">
        <f>SUMIF(TB_Salidas[Producto],A18,TB_Salidas[Cantidad Vendida])</f>
        <v>102</v>
      </c>
    </row>
    <row r="19" spans="1:2" x14ac:dyDescent="0.25">
      <c r="A19" t="str">
        <v>Hamburguesa</v>
      </c>
      <c r="B19">
        <f>SUMIF(TB_Salidas[Producto],A19,TB_Salidas[Cantidad Vendida])</f>
        <v>65</v>
      </c>
    </row>
    <row r="20" spans="1:2" x14ac:dyDescent="0.25">
      <c r="A20" t="str">
        <v>Alfajor</v>
      </c>
      <c r="B20">
        <f>SUMIF(TB_Salidas[Producto],A20,TB_Salidas[Cantidad Vendida])</f>
        <v>32</v>
      </c>
    </row>
    <row r="21" spans="1:2" x14ac:dyDescent="0.25">
      <c r="A21" t="str">
        <v>Alfajor Chocolate</v>
      </c>
      <c r="B21">
        <f>SUMIF(TB_Salidas[Producto],A21,TB_Salidas[Cantidad Vendida])</f>
        <v>0</v>
      </c>
    </row>
    <row r="22" spans="1:2" x14ac:dyDescent="0.25">
      <c r="A22" t="str">
        <v>Agua</v>
      </c>
      <c r="B22">
        <f>SUMIF(TB_Salidas[Producto],A22,TB_Salidas[Cantidad Vendida])</f>
        <v>0</v>
      </c>
    </row>
    <row r="23" spans="1:2" x14ac:dyDescent="0.25">
      <c r="A23" t="str">
        <v>Ensalada</v>
      </c>
      <c r="B23">
        <f>SUMIF(TB_Salidas[Producto],A23,TB_Salidas[Cantidad Vendida])</f>
        <v>30</v>
      </c>
    </row>
    <row r="24" spans="1:2" x14ac:dyDescent="0.25">
      <c r="A24" t="str">
        <v>Quiche</v>
      </c>
      <c r="B24">
        <f>SUMIF(TB_Salidas[Producto],A24,TB_Salidas[Cantidad Vendida])</f>
        <v>0</v>
      </c>
    </row>
    <row r="25" spans="1:2" x14ac:dyDescent="0.25">
      <c r="A25" t="str">
        <v>Wrap</v>
      </c>
      <c r="B25">
        <f>SUMIF(TB_Salidas[Producto],A25,TB_Salidas[Cantidad Vendida])</f>
        <v>0</v>
      </c>
    </row>
    <row r="26" spans="1:2" x14ac:dyDescent="0.25">
      <c r="A26" t="str">
        <v>Omelettes</v>
      </c>
      <c r="B26">
        <f>SUMIF(TB_Salidas[Producto],A26,TB_Salidas[Cantidad Vendida])</f>
        <v>0</v>
      </c>
    </row>
    <row r="27" spans="1:2" x14ac:dyDescent="0.25">
      <c r="A27" t="str">
        <v>Cupcake</v>
      </c>
      <c r="B27">
        <f>SUMIF(TB_Salidas[Producto],A27,TB_Salidas[Cantidad Vendida])</f>
        <v>0</v>
      </c>
    </row>
    <row r="28" spans="1:2" x14ac:dyDescent="0.25">
      <c r="A28" t="str">
        <v>Gaseosa</v>
      </c>
      <c r="B28">
        <f>SUMIF(TB_Salidas[Producto],A28,TB_Salidas[Cantidad Vendida])</f>
        <v>210</v>
      </c>
    </row>
    <row r="29" spans="1:2" x14ac:dyDescent="0.25">
      <c r="A29" t="str">
        <v>Enrollado</v>
      </c>
      <c r="B29">
        <f>SUMIF(TB_Salidas[Producto],A29,TB_Salidas[Cantidad Vendida])</f>
        <v>0</v>
      </c>
    </row>
    <row r="30" spans="1:2" x14ac:dyDescent="0.25">
      <c r="B30">
        <f>SUMIF(TB_Salidas[Producto],A30,TB_Salidas[Cantidad Vendida])</f>
        <v>0</v>
      </c>
    </row>
    <row r="31" spans="1:2" x14ac:dyDescent="0.25">
      <c r="B31">
        <f>SUMIF(TB_Salidas[Producto],A31,TB_Salidas[Cantidad Vendida])</f>
        <v>0</v>
      </c>
    </row>
    <row r="32" spans="1:2" x14ac:dyDescent="0.25">
      <c r="B32">
        <f>SUMIF(TB_Salidas[Producto],A32,TB_Salidas[Cantidad Vendida])</f>
        <v>0</v>
      </c>
    </row>
    <row r="33" spans="2:2" x14ac:dyDescent="0.25">
      <c r="B33">
        <f>SUMIF(TB_Salidas[Producto],A33,TB_Salidas[Cantidad Vendida])</f>
        <v>0</v>
      </c>
    </row>
    <row r="34" spans="2:2" x14ac:dyDescent="0.25">
      <c r="B34">
        <f>SUMIF(TB_Salidas[Producto],A34,TB_Salidas[Cantidad Vendida])</f>
        <v>0</v>
      </c>
    </row>
    <row r="35" spans="2:2" x14ac:dyDescent="0.25">
      <c r="B35">
        <f>SUMIF(TB_Salidas[Producto],A35,TB_Salidas[Cantidad Vendida])</f>
        <v>0</v>
      </c>
    </row>
    <row r="36" spans="2:2" x14ac:dyDescent="0.25">
      <c r="B36">
        <f>SUMIF(TB_Salidas[Producto],A36,TB_Salidas[Cantidad Vendida])</f>
        <v>0</v>
      </c>
    </row>
    <row r="37" spans="2:2" x14ac:dyDescent="0.25">
      <c r="B37">
        <f>SUMIF(TB_Salidas[Producto],A37,TB_Salidas[Cantidad Vendida])</f>
        <v>0</v>
      </c>
    </row>
    <row r="38" spans="2:2" x14ac:dyDescent="0.25">
      <c r="B38">
        <f>SUMIF(TB_Salidas[Producto],A38,TB_Salidas[Cantidad Vendida])</f>
        <v>0</v>
      </c>
    </row>
    <row r="39" spans="2:2" x14ac:dyDescent="0.25">
      <c r="B39">
        <f>SUMIF(TB_Salidas[Producto],A39,TB_Salidas[Cantidad Vendida])</f>
        <v>0</v>
      </c>
    </row>
    <row r="40" spans="2:2" x14ac:dyDescent="0.25">
      <c r="B40">
        <f>SUMIF(TB_Salidas[Producto],A40,TB_Salidas[Cantidad Vendida])</f>
        <v>0</v>
      </c>
    </row>
    <row r="41" spans="2:2" x14ac:dyDescent="0.25">
      <c r="B41">
        <f>SUMIF(TB_Salidas[Producto],A41,TB_Salidas[Cantidad Vendida])</f>
        <v>0</v>
      </c>
    </row>
    <row r="42" spans="2:2" x14ac:dyDescent="0.25">
      <c r="B42">
        <f>SUMIF(TB_Salidas[Producto],A42,TB_Salidas[Cantidad Vendida])</f>
        <v>0</v>
      </c>
    </row>
    <row r="43" spans="2:2" x14ac:dyDescent="0.25">
      <c r="B43">
        <f>SUMIF(TB_Salidas[Producto],A43,TB_Salidas[Cantidad Vendida])</f>
        <v>0</v>
      </c>
    </row>
    <row r="44" spans="2:2" x14ac:dyDescent="0.25">
      <c r="B44">
        <f>SUMIF(TB_Salidas[Producto],A44,TB_Salidas[Cantidad Vendida])</f>
        <v>0</v>
      </c>
    </row>
    <row r="45" spans="2:2" x14ac:dyDescent="0.25">
      <c r="B45">
        <f>SUMIF(TB_Salidas[Producto],A45,TB_Salidas[Cantidad Vendida])</f>
        <v>0</v>
      </c>
    </row>
    <row r="46" spans="2:2" x14ac:dyDescent="0.25">
      <c r="B46">
        <f>SUMIF(TB_Salidas[Producto],A46,TB_Salidas[Cantidad Vendida])</f>
        <v>0</v>
      </c>
    </row>
    <row r="47" spans="2:2" x14ac:dyDescent="0.25">
      <c r="B47">
        <f>SUMIF(TB_Salidas[Producto],A47,TB_Salidas[Cantidad Vendida])</f>
        <v>0</v>
      </c>
    </row>
    <row r="48" spans="2:2" x14ac:dyDescent="0.25">
      <c r="B48">
        <f>SUMIF(TB_Salidas[Producto],A48,TB_Salidas[Cantidad Vendida])</f>
        <v>0</v>
      </c>
    </row>
    <row r="49" spans="2:2" x14ac:dyDescent="0.25">
      <c r="B49">
        <f>SUMIF(TB_Salidas[Producto],A49,TB_Salidas[Cantidad Vendida])</f>
        <v>0</v>
      </c>
    </row>
    <row r="50" spans="2:2" x14ac:dyDescent="0.25">
      <c r="B50">
        <f>SUMIF(TB_Salidas[Producto],A50,TB_Salidas[Cantidad Vendida])</f>
        <v>0</v>
      </c>
    </row>
    <row r="51" spans="2:2" x14ac:dyDescent="0.25">
      <c r="B51">
        <f>SUMIF(TB_Salidas[Producto],A51,TB_Salidas[Cantidad Vendida])</f>
        <v>0</v>
      </c>
    </row>
    <row r="52" spans="2:2" x14ac:dyDescent="0.25">
      <c r="B52">
        <f>SUMIF(TB_Salidas[Producto],A52,TB_Salidas[Cantidad Vendida])</f>
        <v>0</v>
      </c>
    </row>
    <row r="53" spans="2:2" x14ac:dyDescent="0.25">
      <c r="B53">
        <f>SUMIF(TB_Salidas[Producto],A53,TB_Salidas[Cantidad Vendida])</f>
        <v>0</v>
      </c>
    </row>
    <row r="54" spans="2:2" x14ac:dyDescent="0.25">
      <c r="B54">
        <f>SUMIF(TB_Salidas[Producto],A54,TB_Salidas[Cantidad Vendida])</f>
        <v>0</v>
      </c>
    </row>
    <row r="55" spans="2:2" x14ac:dyDescent="0.25">
      <c r="B55">
        <f>SUMIF(TB_Salidas[Producto],A55,TB_Salidas[Cantidad Vendida])</f>
        <v>0</v>
      </c>
    </row>
    <row r="56" spans="2:2" x14ac:dyDescent="0.25">
      <c r="B56">
        <f>SUMIF(TB_Salidas[Producto],A56,TB_Salidas[Cantidad Vendida])</f>
        <v>0</v>
      </c>
    </row>
    <row r="57" spans="2:2" x14ac:dyDescent="0.25">
      <c r="B57">
        <f>SUMIF(TB_Salidas[Producto],A57,TB_Salidas[Cantidad Vendida])</f>
        <v>0</v>
      </c>
    </row>
    <row r="58" spans="2:2" x14ac:dyDescent="0.25">
      <c r="B58">
        <f>SUMIF(TB_Salidas[Producto],A58,TB_Salidas[Cantidad Vendida])</f>
        <v>0</v>
      </c>
    </row>
    <row r="59" spans="2:2" x14ac:dyDescent="0.25">
      <c r="B59">
        <f>SUMIF(TB_Salidas[Producto],A59,TB_Salidas[Cantidad Vendida])</f>
        <v>0</v>
      </c>
    </row>
    <row r="60" spans="2:2" x14ac:dyDescent="0.25">
      <c r="B60">
        <f>SUMIF(TB_Salidas[Producto],A60,TB_Salidas[Cantidad Vendida])</f>
        <v>0</v>
      </c>
    </row>
    <row r="61" spans="2:2" x14ac:dyDescent="0.25">
      <c r="B61">
        <f>SUMIF(TB_Salidas[Producto],A61,TB_Salidas[Cantidad Vendida])</f>
        <v>0</v>
      </c>
    </row>
    <row r="62" spans="2:2" x14ac:dyDescent="0.25">
      <c r="B62">
        <f>SUMIF(TB_Salidas[Producto],A62,TB_Salidas[Cantidad Vendida])</f>
        <v>0</v>
      </c>
    </row>
    <row r="63" spans="2:2" x14ac:dyDescent="0.25">
      <c r="B63">
        <f>SUMIF(TB_Salidas[Producto],A63,TB_Salidas[Cantidad Vendida])</f>
        <v>0</v>
      </c>
    </row>
    <row r="64" spans="2:2" x14ac:dyDescent="0.25">
      <c r="B64">
        <f>SUMIF(TB_Salidas[Producto],A64,TB_Salidas[Cantidad Vendida])</f>
        <v>0</v>
      </c>
    </row>
    <row r="65" spans="2:2" x14ac:dyDescent="0.25">
      <c r="B65">
        <f>SUMIF(TB_Salidas[Producto],A65,TB_Salidas[Cantidad Vendida])</f>
        <v>0</v>
      </c>
    </row>
    <row r="66" spans="2:2" x14ac:dyDescent="0.25">
      <c r="B66">
        <f>SUMIF(TB_Salidas[Producto],A66,TB_Salidas[Cantidad Vendida])</f>
        <v>0</v>
      </c>
    </row>
    <row r="67" spans="2:2" x14ac:dyDescent="0.25">
      <c r="B67">
        <f>SUMIF(TB_Salidas[Producto],A67,TB_Salidas[Cantidad Vendida])</f>
        <v>0</v>
      </c>
    </row>
    <row r="68" spans="2:2" x14ac:dyDescent="0.25">
      <c r="B68">
        <f>SUMIF(TB_Salidas[Producto],A68,TB_Salidas[Cantidad Vendida])</f>
        <v>0</v>
      </c>
    </row>
    <row r="69" spans="2:2" x14ac:dyDescent="0.25">
      <c r="B69">
        <f>SUMIF(TB_Salidas[Producto],A69,TB_Salidas[Cantidad Vendida])</f>
        <v>0</v>
      </c>
    </row>
    <row r="70" spans="2:2" x14ac:dyDescent="0.25">
      <c r="B70">
        <f>SUMIF(TB_Salidas[Producto],A70,TB_Salidas[Cantidad Vendida])</f>
        <v>0</v>
      </c>
    </row>
    <row r="71" spans="2:2" x14ac:dyDescent="0.25">
      <c r="B71">
        <f>SUMIF(TB_Salidas[Producto],A71,TB_Salidas[Cantidad Vendida])</f>
        <v>0</v>
      </c>
    </row>
    <row r="72" spans="2:2" x14ac:dyDescent="0.25">
      <c r="B72">
        <f>SUMIF(TB_Salidas[Producto],A72,TB_Salidas[Cantidad Vendida])</f>
        <v>0</v>
      </c>
    </row>
    <row r="73" spans="2:2" x14ac:dyDescent="0.25">
      <c r="B73">
        <f>SUMIF(TB_Salidas[Producto],A73,TB_Salidas[Cantidad Vendida])</f>
        <v>0</v>
      </c>
    </row>
    <row r="74" spans="2:2" x14ac:dyDescent="0.25">
      <c r="B74">
        <f>SUMIF(TB_Salidas[Producto],A74,TB_Salidas[Cantidad Vendida])</f>
        <v>0</v>
      </c>
    </row>
    <row r="75" spans="2:2" x14ac:dyDescent="0.25">
      <c r="B75">
        <f>SUMIF(TB_Salidas[Producto],A75,TB_Salidas[Cantidad Vendida])</f>
        <v>0</v>
      </c>
    </row>
    <row r="76" spans="2:2" x14ac:dyDescent="0.25">
      <c r="B76">
        <f>SUMIF(TB_Salidas[Producto],A76,TB_Salidas[Cantidad Vendida])</f>
        <v>0</v>
      </c>
    </row>
    <row r="77" spans="2:2" x14ac:dyDescent="0.25">
      <c r="B77">
        <f>SUMIF(TB_Salidas[Producto],A77,TB_Salidas[Cantidad Vendida])</f>
        <v>0</v>
      </c>
    </row>
    <row r="78" spans="2:2" x14ac:dyDescent="0.25">
      <c r="B78">
        <f>SUMIF(TB_Salidas[Producto],A78,TB_Salidas[Cantidad Vendida])</f>
        <v>0</v>
      </c>
    </row>
    <row r="79" spans="2:2" x14ac:dyDescent="0.25">
      <c r="B79">
        <f>SUMIF(TB_Salidas[Producto],A79,TB_Salidas[Cantidad Vendida])</f>
        <v>0</v>
      </c>
    </row>
    <row r="80" spans="2:2" x14ac:dyDescent="0.25">
      <c r="B80">
        <f>SUMIF(TB_Salidas[Producto],A80,TB_Salidas[Cantidad Vendida])</f>
        <v>0</v>
      </c>
    </row>
    <row r="81" spans="2:2" x14ac:dyDescent="0.25">
      <c r="B81">
        <f>SUMIF(TB_Salidas[Producto],A81,TB_Salidas[Cantidad Vendida])</f>
        <v>0</v>
      </c>
    </row>
    <row r="82" spans="2:2" x14ac:dyDescent="0.25">
      <c r="B82">
        <f>SUMIF(TB_Salidas[Producto],A82,TB_Salidas[Cantidad Vendida])</f>
        <v>0</v>
      </c>
    </row>
    <row r="83" spans="2:2" x14ac:dyDescent="0.25">
      <c r="B83">
        <f>SUMIF(TB_Salidas[Producto],A83,TB_Salidas[Cantidad Vendida])</f>
        <v>0</v>
      </c>
    </row>
    <row r="84" spans="2:2" x14ac:dyDescent="0.25">
      <c r="B84">
        <f>SUMIF(TB_Salidas[Producto],A84,TB_Salidas[Cantidad Vendida])</f>
        <v>0</v>
      </c>
    </row>
    <row r="85" spans="2:2" x14ac:dyDescent="0.25">
      <c r="B85">
        <f>SUMIF(TB_Salidas[Producto],A85,TB_Salidas[Cantidad Vendida])</f>
        <v>0</v>
      </c>
    </row>
    <row r="86" spans="2:2" x14ac:dyDescent="0.25">
      <c r="B86">
        <f>SUMIF(TB_Salidas[Producto],A86,TB_Salidas[Cantidad Vendida])</f>
        <v>0</v>
      </c>
    </row>
    <row r="87" spans="2:2" x14ac:dyDescent="0.25">
      <c r="B87">
        <f>SUMIF(TB_Salidas[Producto],A87,TB_Salidas[Cantidad Vendida])</f>
        <v>0</v>
      </c>
    </row>
    <row r="88" spans="2:2" x14ac:dyDescent="0.25">
      <c r="B88">
        <f>SUMIF(TB_Salidas[Producto],A88,TB_Salidas[Cantidad Vendida])</f>
        <v>0</v>
      </c>
    </row>
    <row r="89" spans="2:2" x14ac:dyDescent="0.25">
      <c r="B89">
        <f>SUMIF(TB_Salidas[Producto],A89,TB_Salidas[Cantidad Vendida])</f>
        <v>0</v>
      </c>
    </row>
    <row r="90" spans="2:2" x14ac:dyDescent="0.25">
      <c r="B90">
        <f>SUMIF(TB_Salidas[Producto],A90,TB_Salidas[Cantidad Vendida])</f>
        <v>0</v>
      </c>
    </row>
    <row r="91" spans="2:2" x14ac:dyDescent="0.25">
      <c r="B91">
        <f>SUMIF(TB_Salidas[Producto],A91,TB_Salidas[Cantidad Vendida])</f>
        <v>0</v>
      </c>
    </row>
    <row r="92" spans="2:2" x14ac:dyDescent="0.25">
      <c r="B92">
        <f>SUMIF(TB_Salidas[Producto],A92,TB_Salidas[Cantidad Vendida])</f>
        <v>0</v>
      </c>
    </row>
    <row r="93" spans="2:2" x14ac:dyDescent="0.25">
      <c r="B93">
        <f>SUMIF(TB_Salidas[Producto],A93,TB_Salidas[Cantidad Vendida])</f>
        <v>0</v>
      </c>
    </row>
    <row r="94" spans="2:2" x14ac:dyDescent="0.25">
      <c r="B94">
        <f>SUMIF(TB_Salidas[Producto],A94,TB_Salidas[Cantidad Vendida])</f>
        <v>0</v>
      </c>
    </row>
    <row r="95" spans="2:2" x14ac:dyDescent="0.25">
      <c r="B95">
        <f>SUMIF(TB_Salidas[Producto],A95,TB_Salidas[Cantidad Vendida])</f>
        <v>0</v>
      </c>
    </row>
    <row r="96" spans="2:2" x14ac:dyDescent="0.25">
      <c r="B96">
        <f>SUMIF(TB_Salidas[Producto],A96,TB_Salidas[Cantidad Vendida])</f>
        <v>0</v>
      </c>
    </row>
    <row r="97" spans="2:2" x14ac:dyDescent="0.25">
      <c r="B97">
        <f>SUMIF(TB_Salidas[Producto],A97,TB_Salidas[Cantidad Vendida])</f>
        <v>0</v>
      </c>
    </row>
    <row r="98" spans="2:2" x14ac:dyDescent="0.25">
      <c r="B98">
        <f>SUMIF(TB_Salidas[Producto],A98,TB_Salidas[Cantidad Vendida])</f>
        <v>0</v>
      </c>
    </row>
    <row r="99" spans="2:2" x14ac:dyDescent="0.25">
      <c r="B99">
        <f>SUMIF(TB_Salidas[Producto],A99,TB_Salidas[Cantidad Vendida])</f>
        <v>0</v>
      </c>
    </row>
    <row r="100" spans="2:2" x14ac:dyDescent="0.25">
      <c r="B100">
        <f>SUMIF(TB_Salidas[Producto],A100,TB_Salidas[Cantidad Vendida])</f>
        <v>0</v>
      </c>
    </row>
    <row r="101" spans="2:2" x14ac:dyDescent="0.25">
      <c r="B101">
        <f>SUMIF(TB_Salidas[Producto],A101,TB_Salidas[Cantidad Vendida])</f>
        <v>0</v>
      </c>
    </row>
    <row r="102" spans="2:2" x14ac:dyDescent="0.25">
      <c r="B102">
        <f>SUMIF(TB_Salidas[Producto],A102,TB_Salidas[Cantidad Vendida])</f>
        <v>0</v>
      </c>
    </row>
    <row r="103" spans="2:2" x14ac:dyDescent="0.25">
      <c r="B103">
        <f>SUMIF(TB_Salidas[Producto],A103,TB_Salidas[Cantidad Vendida])</f>
        <v>0</v>
      </c>
    </row>
    <row r="104" spans="2:2" x14ac:dyDescent="0.25">
      <c r="B104">
        <f>SUMIF(TB_Salidas[Producto],A104,TB_Salidas[Cantidad Vendida])</f>
        <v>0</v>
      </c>
    </row>
    <row r="105" spans="2:2" x14ac:dyDescent="0.25">
      <c r="B105">
        <f>SUMIF(TB_Salidas[Producto],A105,TB_Salidas[Cantidad Vendida])</f>
        <v>0</v>
      </c>
    </row>
    <row r="106" spans="2:2" x14ac:dyDescent="0.25">
      <c r="B106">
        <f>SUMIF(TB_Salidas[Producto],A106,TB_Salidas[Cantidad Vendida])</f>
        <v>0</v>
      </c>
    </row>
    <row r="107" spans="2:2" x14ac:dyDescent="0.25">
      <c r="B107">
        <f>SUMIF(TB_Salidas[Producto],A107,TB_Salidas[Cantidad Vendida])</f>
        <v>0</v>
      </c>
    </row>
    <row r="108" spans="2:2" x14ac:dyDescent="0.25">
      <c r="B108">
        <f>SUMIF(TB_Salidas[Producto],A108,TB_Salidas[Cantidad Vendida])</f>
        <v>0</v>
      </c>
    </row>
    <row r="109" spans="2:2" x14ac:dyDescent="0.25">
      <c r="B109">
        <f>SUMIF(TB_Salidas[Producto],A109,TB_Salidas[Cantidad Vendida])</f>
        <v>0</v>
      </c>
    </row>
    <row r="110" spans="2:2" x14ac:dyDescent="0.25">
      <c r="B110">
        <f>SUMIF(TB_Salidas[Producto],A110,TB_Salidas[Cantidad Vendida])</f>
        <v>0</v>
      </c>
    </row>
    <row r="111" spans="2:2" x14ac:dyDescent="0.25">
      <c r="B111">
        <f>SUMIF(TB_Salidas[Producto],A111,TB_Salidas[Cantidad Vendida])</f>
        <v>0</v>
      </c>
    </row>
    <row r="112" spans="2:2" x14ac:dyDescent="0.25">
      <c r="B112">
        <f>SUMIF(TB_Salidas[Producto],A112,TB_Salidas[Cantidad Vendida])</f>
        <v>0</v>
      </c>
    </row>
    <row r="113" spans="2:2" x14ac:dyDescent="0.25">
      <c r="B113">
        <f>SUMIF(TB_Salidas[Producto],A113,TB_Salidas[Cantidad Vendida])</f>
        <v>0</v>
      </c>
    </row>
    <row r="114" spans="2:2" x14ac:dyDescent="0.25">
      <c r="B114">
        <f>SUMIF(TB_Salidas[Producto],A114,TB_Salidas[Cantidad Vendida])</f>
        <v>0</v>
      </c>
    </row>
    <row r="115" spans="2:2" x14ac:dyDescent="0.25">
      <c r="B115">
        <f>SUMIF(TB_Salidas[Producto],A115,TB_Salidas[Cantidad Vendida])</f>
        <v>0</v>
      </c>
    </row>
    <row r="116" spans="2:2" x14ac:dyDescent="0.25">
      <c r="B116">
        <f>SUMIF(TB_Salidas[Producto],A116,TB_Salidas[Cantidad Vendida])</f>
        <v>0</v>
      </c>
    </row>
    <row r="117" spans="2:2" x14ac:dyDescent="0.25">
      <c r="B117">
        <f>SUMIF(TB_Salidas[Producto],A117,TB_Salidas[Cantidad Vendida])</f>
        <v>0</v>
      </c>
    </row>
    <row r="118" spans="2:2" x14ac:dyDescent="0.25">
      <c r="B118">
        <f>SUMIF(TB_Salidas[Producto],A118,TB_Salidas[Cantidad Vendida])</f>
        <v>0</v>
      </c>
    </row>
    <row r="119" spans="2:2" x14ac:dyDescent="0.25">
      <c r="B119">
        <f>SUMIF(TB_Salidas[Producto],A119,TB_Salidas[Cantidad Vendida])</f>
        <v>0</v>
      </c>
    </row>
    <row r="120" spans="2:2" x14ac:dyDescent="0.25">
      <c r="B120">
        <f>SUMIF(TB_Salidas[Producto],A120,TB_Salidas[Cantidad Vendida])</f>
        <v>0</v>
      </c>
    </row>
    <row r="121" spans="2:2" x14ac:dyDescent="0.25">
      <c r="B121">
        <f>SUMIF(TB_Salidas[Producto],A121,TB_Salidas[Cantidad Vendida])</f>
        <v>0</v>
      </c>
    </row>
    <row r="122" spans="2:2" x14ac:dyDescent="0.25">
      <c r="B122">
        <f>SUMIF(TB_Salidas[Producto],A122,TB_Salidas[Cantidad Vendida])</f>
        <v>0</v>
      </c>
    </row>
    <row r="123" spans="2:2" x14ac:dyDescent="0.25">
      <c r="B123">
        <f>SUMIF(TB_Salidas[Producto],A123,TB_Salidas[Cantidad Vendida])</f>
        <v>0</v>
      </c>
    </row>
    <row r="124" spans="2:2" x14ac:dyDescent="0.25">
      <c r="B124">
        <f>SUMIF(TB_Salidas[Producto],A124,TB_Salidas[Cantidad Vendida])</f>
        <v>0</v>
      </c>
    </row>
    <row r="125" spans="2:2" x14ac:dyDescent="0.25">
      <c r="B125">
        <f>SUMIF(TB_Salidas[Producto],A125,TB_Salidas[Cantidad Vendida])</f>
        <v>0</v>
      </c>
    </row>
    <row r="126" spans="2:2" x14ac:dyDescent="0.25">
      <c r="B126">
        <f>SUMIF(TB_Salidas[Producto],A126,TB_Salidas[Cantidad Vendida])</f>
        <v>0</v>
      </c>
    </row>
    <row r="127" spans="2:2" x14ac:dyDescent="0.25">
      <c r="B127">
        <f>SUMIF(TB_Salidas[Producto],A127,TB_Salidas[Cantidad Vendida])</f>
        <v>0</v>
      </c>
    </row>
    <row r="128" spans="2:2" x14ac:dyDescent="0.25">
      <c r="B128">
        <f>SUMIF(TB_Salidas[Producto],A128,TB_Salidas[Cantidad Vendida])</f>
        <v>0</v>
      </c>
    </row>
    <row r="129" spans="2:2" x14ac:dyDescent="0.25">
      <c r="B129">
        <f>SUMIF(TB_Salidas[Producto],A129,TB_Salidas[Cantidad Vendida])</f>
        <v>0</v>
      </c>
    </row>
    <row r="130" spans="2:2" x14ac:dyDescent="0.25">
      <c r="B130">
        <f>SUMIF(TB_Salidas[Producto],A130,TB_Salidas[Cantidad Vendida])</f>
        <v>0</v>
      </c>
    </row>
    <row r="131" spans="2:2" x14ac:dyDescent="0.25">
      <c r="B131">
        <f>SUMIF(TB_Salidas[Producto],A131,TB_Salidas[Cantidad Vendida])</f>
        <v>0</v>
      </c>
    </row>
    <row r="132" spans="2:2" x14ac:dyDescent="0.25">
      <c r="B132">
        <f>SUMIF(TB_Salidas[Producto],A132,TB_Salidas[Cantidad Vendida])</f>
        <v>0</v>
      </c>
    </row>
    <row r="133" spans="2:2" x14ac:dyDescent="0.25">
      <c r="B133">
        <f>SUMIF(TB_Salidas[Producto],A133,TB_Salidas[Cantidad Vendida])</f>
        <v>0</v>
      </c>
    </row>
    <row r="134" spans="2:2" x14ac:dyDescent="0.25">
      <c r="B134">
        <f>SUMIF(TB_Salidas[Producto],A134,TB_Salidas[Cantidad Vendida])</f>
        <v>0</v>
      </c>
    </row>
    <row r="135" spans="2:2" x14ac:dyDescent="0.25">
      <c r="B135">
        <f>SUMIF(TB_Salidas[Producto],A135,TB_Salidas[Cantidad Vendida])</f>
        <v>0</v>
      </c>
    </row>
    <row r="136" spans="2:2" x14ac:dyDescent="0.25">
      <c r="B136">
        <f>SUMIF(TB_Salidas[Producto],A136,TB_Salidas[Cantidad Vendida])</f>
        <v>0</v>
      </c>
    </row>
    <row r="137" spans="2:2" x14ac:dyDescent="0.25">
      <c r="B137">
        <f>SUMIF(TB_Salidas[Producto],A137,TB_Salidas[Cantidad Vendida])</f>
        <v>0</v>
      </c>
    </row>
    <row r="138" spans="2:2" x14ac:dyDescent="0.25">
      <c r="B138">
        <f>SUMIF(TB_Salidas[Producto],A138,TB_Salidas[Cantidad Vendida])</f>
        <v>0</v>
      </c>
    </row>
    <row r="139" spans="2:2" x14ac:dyDescent="0.25">
      <c r="B139">
        <f>SUMIF(TB_Salidas[Producto],A139,TB_Salidas[Cantidad Vendida])</f>
        <v>0</v>
      </c>
    </row>
    <row r="140" spans="2:2" x14ac:dyDescent="0.25">
      <c r="B140">
        <f>SUMIF(TB_Salidas[Producto],A140,TB_Salidas[Cantidad Vendida])</f>
        <v>0</v>
      </c>
    </row>
    <row r="141" spans="2:2" x14ac:dyDescent="0.25">
      <c r="B141">
        <f>SUMIF(TB_Salidas[Producto],A141,TB_Salidas[Cantidad Vendida])</f>
        <v>0</v>
      </c>
    </row>
    <row r="142" spans="2:2" x14ac:dyDescent="0.25">
      <c r="B142">
        <f>SUMIF(TB_Salidas[Producto],A142,TB_Salidas[Cantidad Vendida])</f>
        <v>0</v>
      </c>
    </row>
    <row r="143" spans="2:2" x14ac:dyDescent="0.25">
      <c r="B143">
        <f>SUMIF(TB_Salidas[Producto],A143,TB_Salidas[Cantidad Vendida])</f>
        <v>0</v>
      </c>
    </row>
    <row r="144" spans="2:2" x14ac:dyDescent="0.25">
      <c r="B144">
        <f>SUMIF(TB_Salidas[Producto],A144,TB_Salidas[Cantidad Vendida])</f>
        <v>0</v>
      </c>
    </row>
    <row r="145" spans="2:2" x14ac:dyDescent="0.25">
      <c r="B145">
        <f>SUMIF(TB_Salidas[Producto],A145,TB_Salidas[Cantidad Vendida])</f>
        <v>0</v>
      </c>
    </row>
    <row r="146" spans="2:2" x14ac:dyDescent="0.25">
      <c r="B146">
        <f>SUMIF(TB_Salidas[Producto],A146,TB_Salidas[Cantidad Vendida])</f>
        <v>0</v>
      </c>
    </row>
    <row r="147" spans="2:2" x14ac:dyDescent="0.25">
      <c r="B147">
        <f>SUMIF(TB_Salidas[Producto],A147,TB_Salidas[Cantidad Vendida])</f>
        <v>0</v>
      </c>
    </row>
    <row r="148" spans="2:2" x14ac:dyDescent="0.25">
      <c r="B148">
        <f>SUMIF(TB_Salidas[Producto],A148,TB_Salidas[Cantidad Vendida])</f>
        <v>0</v>
      </c>
    </row>
    <row r="149" spans="2:2" x14ac:dyDescent="0.25">
      <c r="B149">
        <f>SUMIF(TB_Salidas[Producto],A149,TB_Salidas[Cantidad Vendida])</f>
        <v>0</v>
      </c>
    </row>
    <row r="150" spans="2:2" x14ac:dyDescent="0.25">
      <c r="B150">
        <f>SUMIF(TB_Salidas[Producto],A150,TB_Salidas[Cantidad Vendida])</f>
        <v>0</v>
      </c>
    </row>
    <row r="151" spans="2:2" x14ac:dyDescent="0.25">
      <c r="B151">
        <f>SUMIF(TB_Salidas[Producto],A151,TB_Salidas[Cantidad Vendida])</f>
        <v>0</v>
      </c>
    </row>
    <row r="152" spans="2:2" x14ac:dyDescent="0.25">
      <c r="B152">
        <f>SUMIF(TB_Salidas[Producto],A152,TB_Salidas[Cantidad Vendida])</f>
        <v>0</v>
      </c>
    </row>
    <row r="153" spans="2:2" x14ac:dyDescent="0.25">
      <c r="B153">
        <f>SUMIF(TB_Salidas[Producto],A153,TB_Salidas[Cantidad Vendida])</f>
        <v>0</v>
      </c>
    </row>
    <row r="154" spans="2:2" x14ac:dyDescent="0.25">
      <c r="B154">
        <f>SUMIF(TB_Salidas[Producto],A154,TB_Salidas[Cantidad Vendida])</f>
        <v>0</v>
      </c>
    </row>
    <row r="155" spans="2:2" x14ac:dyDescent="0.25">
      <c r="B155">
        <f>SUMIF(TB_Salidas[Producto],A155,TB_Salidas[Cantidad Vendida])</f>
        <v>0</v>
      </c>
    </row>
    <row r="156" spans="2:2" x14ac:dyDescent="0.25">
      <c r="B156">
        <f>SUMIF(TB_Salidas[Producto],A156,TB_Salidas[Cantidad Vendida])</f>
        <v>0</v>
      </c>
    </row>
    <row r="157" spans="2:2" x14ac:dyDescent="0.25">
      <c r="B157">
        <f>SUMIF(TB_Salidas[Producto],A157,TB_Salidas[Cantidad Vendida])</f>
        <v>0</v>
      </c>
    </row>
    <row r="158" spans="2:2" x14ac:dyDescent="0.25">
      <c r="B158">
        <f>SUMIF(TB_Salidas[Producto],A158,TB_Salidas[Cantidad Vendida])</f>
        <v>0</v>
      </c>
    </row>
    <row r="159" spans="2:2" x14ac:dyDescent="0.25">
      <c r="B159">
        <f>SUMIF(TB_Salidas[Producto],A159,TB_Salidas[Cantidad Vendida])</f>
        <v>0</v>
      </c>
    </row>
    <row r="160" spans="2:2" x14ac:dyDescent="0.25">
      <c r="B160">
        <f>SUMIF(TB_Salidas[Producto],A160,TB_Salidas[Cantidad Vendida])</f>
        <v>0</v>
      </c>
    </row>
    <row r="161" spans="2:2" x14ac:dyDescent="0.25">
      <c r="B161">
        <f>SUMIF(TB_Salidas[Producto],A161,TB_Salidas[Cantidad Vendida])</f>
        <v>0</v>
      </c>
    </row>
    <row r="162" spans="2:2" x14ac:dyDescent="0.25">
      <c r="B162">
        <f>SUMIF(TB_Salidas[Producto],A162,TB_Salidas[Cantidad Vendida])</f>
        <v>0</v>
      </c>
    </row>
    <row r="163" spans="2:2" x14ac:dyDescent="0.25">
      <c r="B163">
        <f>SUMIF(TB_Salidas[Producto],A163,TB_Salidas[Cantidad Vendida])</f>
        <v>0</v>
      </c>
    </row>
    <row r="164" spans="2:2" x14ac:dyDescent="0.25">
      <c r="B164">
        <f>SUMIF(TB_Salidas[Producto],A164,TB_Salidas[Cantidad Vendida])</f>
        <v>0</v>
      </c>
    </row>
    <row r="165" spans="2:2" x14ac:dyDescent="0.25">
      <c r="B165">
        <f>SUMIF(TB_Salidas[Producto],A165,TB_Salidas[Cantidad Vendida])</f>
        <v>0</v>
      </c>
    </row>
    <row r="166" spans="2:2" x14ac:dyDescent="0.25">
      <c r="B166">
        <f>SUMIF(TB_Salidas[Producto],A166,TB_Salidas[Cantidad Vendida])</f>
        <v>0</v>
      </c>
    </row>
    <row r="167" spans="2:2" x14ac:dyDescent="0.25">
      <c r="B167">
        <f>SUMIF(TB_Salidas[Producto],A167,TB_Salidas[Cantidad Vendida])</f>
        <v>0</v>
      </c>
    </row>
    <row r="168" spans="2:2" x14ac:dyDescent="0.25">
      <c r="B168">
        <f>SUMIF(TB_Salidas[Producto],A168,TB_Salidas[Cantidad Vendida])</f>
        <v>0</v>
      </c>
    </row>
    <row r="169" spans="2:2" x14ac:dyDescent="0.25">
      <c r="B169">
        <f>SUMIF(TB_Salidas[Producto],A169,TB_Salidas[Cantidad Vendida])</f>
        <v>0</v>
      </c>
    </row>
    <row r="170" spans="2:2" x14ac:dyDescent="0.25">
      <c r="B170">
        <f>SUMIF(TB_Salidas[Producto],A170,TB_Salidas[Cantidad Vendida])</f>
        <v>0</v>
      </c>
    </row>
    <row r="171" spans="2:2" x14ac:dyDescent="0.25">
      <c r="B171">
        <f>SUMIF(TB_Salidas[Producto],A171,TB_Salidas[Cantidad Vendida])</f>
        <v>0</v>
      </c>
    </row>
    <row r="172" spans="2:2" x14ac:dyDescent="0.25">
      <c r="B172">
        <f>SUMIF(TB_Salidas[Producto],A172,TB_Salidas[Cantidad Vendida])</f>
        <v>0</v>
      </c>
    </row>
    <row r="173" spans="2:2" x14ac:dyDescent="0.25">
      <c r="B173">
        <f>SUMIF(TB_Salidas[Producto],A173,TB_Salidas[Cantidad Vendida])</f>
        <v>0</v>
      </c>
    </row>
    <row r="174" spans="2:2" x14ac:dyDescent="0.25">
      <c r="B174">
        <f>SUMIF(TB_Salidas[Producto],A174,TB_Salidas[Cantidad Vendida])</f>
        <v>0</v>
      </c>
    </row>
    <row r="175" spans="2:2" x14ac:dyDescent="0.25">
      <c r="B175">
        <f>SUMIF(TB_Salidas[Producto],A175,TB_Salidas[Cantidad Vendida])</f>
        <v>0</v>
      </c>
    </row>
    <row r="176" spans="2:2" x14ac:dyDescent="0.25">
      <c r="B176">
        <f>SUMIF(TB_Salidas[Producto],A176,TB_Salidas[Cantidad Vendida])</f>
        <v>0</v>
      </c>
    </row>
    <row r="177" spans="2:2" x14ac:dyDescent="0.25">
      <c r="B177">
        <f>SUMIF(TB_Salidas[Producto],A177,TB_Salidas[Cantidad Vendida])</f>
        <v>0</v>
      </c>
    </row>
    <row r="178" spans="2:2" x14ac:dyDescent="0.25">
      <c r="B178">
        <f>SUMIF(TB_Salidas[Producto],A178,TB_Salidas[Cantidad Vendida])</f>
        <v>0</v>
      </c>
    </row>
    <row r="179" spans="2:2" x14ac:dyDescent="0.25">
      <c r="B179">
        <f>SUMIF(TB_Salidas[Producto],A179,TB_Salidas[Cantidad Vendida])</f>
        <v>0</v>
      </c>
    </row>
    <row r="180" spans="2:2" x14ac:dyDescent="0.25">
      <c r="B180">
        <f>SUMIF(TB_Salidas[Producto],A180,TB_Salidas[Cantidad Vendida])</f>
        <v>0</v>
      </c>
    </row>
    <row r="181" spans="2:2" x14ac:dyDescent="0.25">
      <c r="B181">
        <f>SUMIF(TB_Salidas[Producto],A181,TB_Salidas[Cantidad Vendida])</f>
        <v>0</v>
      </c>
    </row>
    <row r="182" spans="2:2" x14ac:dyDescent="0.25">
      <c r="B182">
        <f>SUMIF(TB_Salidas[Producto],A182,TB_Salidas[Cantidad Vendida])</f>
        <v>0</v>
      </c>
    </row>
    <row r="183" spans="2:2" x14ac:dyDescent="0.25">
      <c r="B183">
        <f>SUMIF(TB_Salidas[Producto],A183,TB_Salidas[Cantidad Vendida])</f>
        <v>0</v>
      </c>
    </row>
    <row r="184" spans="2:2" x14ac:dyDescent="0.25">
      <c r="B184">
        <f>SUMIF(TB_Salidas[Producto],A184,TB_Salidas[Cantidad Vendida])</f>
        <v>0</v>
      </c>
    </row>
    <row r="185" spans="2:2" x14ac:dyDescent="0.25">
      <c r="B185">
        <f>SUMIF(TB_Salidas[Producto],A185,TB_Salidas[Cantidad Vendida])</f>
        <v>0</v>
      </c>
    </row>
    <row r="186" spans="2:2" x14ac:dyDescent="0.25">
      <c r="B186">
        <f>SUMIF(TB_Salidas[Producto],A186,TB_Salidas[Cantidad Vendida])</f>
        <v>0</v>
      </c>
    </row>
    <row r="187" spans="2:2" x14ac:dyDescent="0.25">
      <c r="B187">
        <f>SUMIF(TB_Salidas[Producto],A187,TB_Salidas[Cantidad Vendida])</f>
        <v>0</v>
      </c>
    </row>
    <row r="188" spans="2:2" x14ac:dyDescent="0.25">
      <c r="B188">
        <f>SUMIF(TB_Salidas[Producto],A188,TB_Salidas[Cantidad Vendida])</f>
        <v>0</v>
      </c>
    </row>
    <row r="189" spans="2:2" x14ac:dyDescent="0.25">
      <c r="B189">
        <f>SUMIF(TB_Salidas[Producto],A189,TB_Salidas[Cantidad Vendida])</f>
        <v>0</v>
      </c>
    </row>
    <row r="190" spans="2:2" x14ac:dyDescent="0.25">
      <c r="B190">
        <f>SUMIF(TB_Salidas[Producto],A190,TB_Salidas[Cantidad Vendida])</f>
        <v>0</v>
      </c>
    </row>
    <row r="191" spans="2:2" x14ac:dyDescent="0.25">
      <c r="B191">
        <f>SUMIF(TB_Salidas[Producto],A191,TB_Salidas[Cantidad Vendida])</f>
        <v>0</v>
      </c>
    </row>
    <row r="192" spans="2:2" x14ac:dyDescent="0.25">
      <c r="B192">
        <f>SUMIF(TB_Salidas[Producto],A192,TB_Salidas[Cantidad Vendida])</f>
        <v>0</v>
      </c>
    </row>
    <row r="193" spans="2:2" x14ac:dyDescent="0.25">
      <c r="B193">
        <f>SUMIF(TB_Salidas[Producto],A193,TB_Salidas[Cantidad Vendida])</f>
        <v>0</v>
      </c>
    </row>
    <row r="194" spans="2:2" x14ac:dyDescent="0.25">
      <c r="B194">
        <f>SUMIF(TB_Salidas[Producto],A194,TB_Salidas[Cantidad Vendida])</f>
        <v>0</v>
      </c>
    </row>
    <row r="195" spans="2:2" x14ac:dyDescent="0.25">
      <c r="B195">
        <f>SUMIF(TB_Salidas[Producto],A195,TB_Salidas[Cantidad Vendida])</f>
        <v>0</v>
      </c>
    </row>
    <row r="196" spans="2:2" x14ac:dyDescent="0.25">
      <c r="B196">
        <f>SUMIF(TB_Salidas[Producto],A196,TB_Salidas[Cantidad Vendida])</f>
        <v>0</v>
      </c>
    </row>
    <row r="197" spans="2:2" x14ac:dyDescent="0.25">
      <c r="B197">
        <f>SUMIF(TB_Salidas[Producto],A197,TB_Salidas[Cantidad Vendida])</f>
        <v>0</v>
      </c>
    </row>
    <row r="198" spans="2:2" x14ac:dyDescent="0.25">
      <c r="B198">
        <f>SUMIF(TB_Salidas[Producto],A198,TB_Salidas[Cantidad Vendida])</f>
        <v>0</v>
      </c>
    </row>
    <row r="199" spans="2:2" x14ac:dyDescent="0.25">
      <c r="B199">
        <f>SUMIF(TB_Salidas[Producto],A199,TB_Salidas[Cantidad Vendida])</f>
        <v>0</v>
      </c>
    </row>
    <row r="200" spans="2:2" x14ac:dyDescent="0.25">
      <c r="B200">
        <f>SUMIF(TB_Salidas[Producto],A200,TB_Salidas[Cantidad Vendida])</f>
        <v>0</v>
      </c>
    </row>
  </sheetData>
  <autoFilter ref="D1:G6" xr:uid="{59F154A8-E4F9-4133-877B-283D82824F74}">
    <sortState xmlns:xlrd2="http://schemas.microsoft.com/office/spreadsheetml/2017/richdata2" ref="D2:G6">
      <sortCondition ref="F1:F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3EA0-D3E3-474D-9E19-71763390E1A1}">
  <dimension ref="A1:F200"/>
  <sheetViews>
    <sheetView zoomScaleNormal="100" workbookViewId="0">
      <selection activeCell="F16" sqref="F16"/>
    </sheetView>
  </sheetViews>
  <sheetFormatPr baseColWidth="10" defaultRowHeight="15" x14ac:dyDescent="0.25"/>
  <cols>
    <col min="1" max="1" width="16.140625" customWidth="1"/>
    <col min="2" max="2" width="16.85546875" bestFit="1" customWidth="1"/>
    <col min="3" max="3" width="2.7109375" customWidth="1"/>
    <col min="4" max="4" width="3.7109375" style="2" customWidth="1"/>
    <col min="5" max="5" width="25" customWidth="1"/>
    <col min="6" max="6" width="16.85546875" bestFit="1" customWidth="1"/>
  </cols>
  <sheetData>
    <row r="1" spans="1:6" s="105" customFormat="1" x14ac:dyDescent="0.25">
      <c r="A1" s="105" t="s">
        <v>103</v>
      </c>
      <c r="B1" s="105" t="s">
        <v>105</v>
      </c>
      <c r="D1" s="105" t="s">
        <v>104</v>
      </c>
      <c r="E1" s="105" t="s">
        <v>2</v>
      </c>
      <c r="F1" s="105" t="s">
        <v>74</v>
      </c>
    </row>
    <row r="2" spans="1:6" x14ac:dyDescent="0.25">
      <c r="A2" t="str" cm="1">
        <f t="array" ref="A2:A29">TB_Producto[Producto]</f>
        <v>Café</v>
      </c>
      <c r="B2">
        <f>SUMIF(TB_Salidas[Producto],A2,TB_Salidas[Valor de Venta])</f>
        <v>4985</v>
      </c>
      <c r="D2" s="2">
        <v>1</v>
      </c>
      <c r="E2" t="str">
        <f>_xlfn.XLOOKUP(F2,B:B,A:A)</f>
        <v>Café</v>
      </c>
      <c r="F2" s="106">
        <f>LARGE(B:B,D2)</f>
        <v>4985</v>
      </c>
    </row>
    <row r="3" spans="1:6" x14ac:dyDescent="0.25">
      <c r="A3" t="str">
        <v>Tostadas</v>
      </c>
      <c r="B3">
        <f>SUMIF(TB_Salidas[Producto],A3,TB_Salidas[Valor de Venta])</f>
        <v>0</v>
      </c>
      <c r="D3" s="2">
        <v>2</v>
      </c>
      <c r="E3" t="str">
        <f>_xlfn.XLOOKUP(F3,B:B,A:A)</f>
        <v>Cappuccino</v>
      </c>
      <c r="F3" s="106">
        <f>LARGE(B:B,D3)</f>
        <v>3570</v>
      </c>
    </row>
    <row r="4" spans="1:6" x14ac:dyDescent="0.25">
      <c r="A4" t="str">
        <v>Churros</v>
      </c>
      <c r="B4">
        <f>SUMIF(TB_Salidas[Producto],A4,TB_Salidas[Valor de Venta])</f>
        <v>1221.5</v>
      </c>
      <c r="D4" s="2">
        <v>3</v>
      </c>
      <c r="E4" t="str">
        <f>_xlfn.XLOOKUP(F4,B:B,A:A)</f>
        <v>Sándwiche de pollo</v>
      </c>
      <c r="F4" s="106">
        <f>LARGE(B:B,D4)</f>
        <v>1350</v>
      </c>
    </row>
    <row r="5" spans="1:6" x14ac:dyDescent="0.25">
      <c r="A5" t="str">
        <v>Arepas</v>
      </c>
      <c r="B5">
        <f>SUMIF(TB_Salidas[Producto],A5,TB_Salidas[Valor de Venta])</f>
        <v>0</v>
      </c>
      <c r="D5" s="2">
        <v>4</v>
      </c>
      <c r="E5" t="str">
        <f>_xlfn.XLOOKUP(F5,B:B,A:A)</f>
        <v>Churros</v>
      </c>
      <c r="F5" s="106">
        <f>LARGE(B:B,D5)</f>
        <v>1221.5</v>
      </c>
    </row>
    <row r="6" spans="1:6" x14ac:dyDescent="0.25">
      <c r="A6" t="str">
        <v>Nuggets</v>
      </c>
      <c r="B6">
        <f>SUMIF(TB_Salidas[Producto],A6,TB_Salidas[Valor de Venta])</f>
        <v>0</v>
      </c>
      <c r="D6" s="2">
        <v>5</v>
      </c>
      <c r="E6" t="str">
        <f>_xlfn.XLOOKUP(F6,B:B,A:A)</f>
        <v>Hamburguesa</v>
      </c>
      <c r="F6" s="106">
        <f>LARGE(B:B,D6)</f>
        <v>325</v>
      </c>
    </row>
    <row r="7" spans="1:6" x14ac:dyDescent="0.25">
      <c r="A7" t="str">
        <v>Empanada</v>
      </c>
      <c r="B7">
        <f>SUMIF(TB_Salidas[Producto],A7,TB_Salidas[Valor de Venta])</f>
        <v>0</v>
      </c>
    </row>
    <row r="8" spans="1:6" x14ac:dyDescent="0.25">
      <c r="A8" t="str">
        <v>Palitos de Queso</v>
      </c>
      <c r="B8">
        <f>SUMIF(TB_Salidas[Producto],A8,TB_Salidas[Valor de Venta])</f>
        <v>0</v>
      </c>
    </row>
    <row r="9" spans="1:6" x14ac:dyDescent="0.25">
      <c r="A9" t="str">
        <v>Té</v>
      </c>
      <c r="B9">
        <f>SUMIF(TB_Salidas[Producto],A9,TB_Salidas[Valor de Venta])</f>
        <v>0</v>
      </c>
    </row>
    <row r="10" spans="1:6" x14ac:dyDescent="0.25">
      <c r="A10" t="str">
        <v>Croissant</v>
      </c>
      <c r="B10">
        <f>SUMIF(TB_Salidas[Producto],A10,TB_Salidas[Valor de Venta])</f>
        <v>0</v>
      </c>
    </row>
    <row r="11" spans="1:6" x14ac:dyDescent="0.25">
      <c r="A11" t="str">
        <v>Quesadilla</v>
      </c>
      <c r="B11">
        <f>SUMIF(TB_Salidas[Producto],A11,TB_Salidas[Valor de Venta])</f>
        <v>0</v>
      </c>
    </row>
    <row r="12" spans="1:6" x14ac:dyDescent="0.25">
      <c r="A12" t="str">
        <v>Cappuccino</v>
      </c>
      <c r="B12">
        <f>SUMIF(TB_Salidas[Producto],A12,TB_Salidas[Valor de Venta])</f>
        <v>3570</v>
      </c>
    </row>
    <row r="13" spans="1:6" x14ac:dyDescent="0.25">
      <c r="A13" t="str">
        <v>Chocolate</v>
      </c>
      <c r="B13">
        <f>SUMIF(TB_Salidas[Producto],A13,TB_Salidas[Valor de Venta])</f>
        <v>0</v>
      </c>
    </row>
    <row r="14" spans="1:6" x14ac:dyDescent="0.25">
      <c r="A14" t="str">
        <v>Pastel</v>
      </c>
      <c r="B14">
        <f>SUMIF(TB_Salidas[Producto],A14,TB_Salidas[Valor de Venta])</f>
        <v>0</v>
      </c>
    </row>
    <row r="15" spans="1:6" x14ac:dyDescent="0.25">
      <c r="A15" t="str">
        <v>Mini Pizza</v>
      </c>
      <c r="B15">
        <f>SUMIF(TB_Salidas[Producto],A15,TB_Salidas[Valor de Venta])</f>
        <v>253</v>
      </c>
    </row>
    <row r="16" spans="1:6" x14ac:dyDescent="0.25">
      <c r="A16" t="str">
        <v>Tarta</v>
      </c>
      <c r="B16">
        <f>SUMIF(TB_Salidas[Producto],A16,TB_Salidas[Valor de Venta])</f>
        <v>0</v>
      </c>
    </row>
    <row r="17" spans="1:2" x14ac:dyDescent="0.25">
      <c r="A17" t="str">
        <v>Sándwiche de pollo</v>
      </c>
      <c r="B17">
        <f>SUMIF(TB_Salidas[Producto],A17,TB_Salidas[Valor de Venta])</f>
        <v>1350</v>
      </c>
    </row>
    <row r="18" spans="1:2" x14ac:dyDescent="0.25">
      <c r="A18" t="str">
        <v>Zumo de Naranja</v>
      </c>
      <c r="B18">
        <f>SUMIF(TB_Salidas[Producto],A18,TB_Salidas[Valor de Venta])</f>
        <v>306</v>
      </c>
    </row>
    <row r="19" spans="1:2" x14ac:dyDescent="0.25">
      <c r="A19" t="str">
        <v>Hamburguesa</v>
      </c>
      <c r="B19">
        <f>SUMIF(TB_Salidas[Producto],A19,TB_Salidas[Valor de Venta])</f>
        <v>325</v>
      </c>
    </row>
    <row r="20" spans="1:2" x14ac:dyDescent="0.25">
      <c r="A20" t="str">
        <v>Alfajor</v>
      </c>
      <c r="B20">
        <f>SUMIF(TB_Salidas[Producto],A20,TB_Salidas[Valor de Venta])</f>
        <v>224</v>
      </c>
    </row>
    <row r="21" spans="1:2" x14ac:dyDescent="0.25">
      <c r="A21" t="str">
        <v>Alfajor Chocolate</v>
      </c>
      <c r="B21">
        <f>SUMIF(TB_Salidas[Producto],A21,TB_Salidas[Valor de Venta])</f>
        <v>0</v>
      </c>
    </row>
    <row r="22" spans="1:2" x14ac:dyDescent="0.25">
      <c r="A22" t="str">
        <v>Agua</v>
      </c>
      <c r="B22">
        <f>SUMIF(TB_Salidas[Producto],A22,TB_Salidas[Valor de Venta])</f>
        <v>0</v>
      </c>
    </row>
    <row r="23" spans="1:2" x14ac:dyDescent="0.25">
      <c r="A23" t="str">
        <v>Ensalada</v>
      </c>
      <c r="B23">
        <f>SUMIF(TB_Salidas[Producto],A23,TB_Salidas[Valor de Venta])</f>
        <v>67.5</v>
      </c>
    </row>
    <row r="24" spans="1:2" x14ac:dyDescent="0.25">
      <c r="A24" t="str">
        <v>Quiche</v>
      </c>
      <c r="B24">
        <f>SUMIF(TB_Salidas[Producto],A24,TB_Salidas[Valor de Venta])</f>
        <v>0</v>
      </c>
    </row>
    <row r="25" spans="1:2" x14ac:dyDescent="0.25">
      <c r="A25" t="str">
        <v>Wrap</v>
      </c>
      <c r="B25">
        <f>SUMIF(TB_Salidas[Producto],A25,TB_Salidas[Valor de Venta])</f>
        <v>0</v>
      </c>
    </row>
    <row r="26" spans="1:2" x14ac:dyDescent="0.25">
      <c r="A26" t="str">
        <v>Omelettes</v>
      </c>
      <c r="B26">
        <f>SUMIF(TB_Salidas[Producto],A26,TB_Salidas[Valor de Venta])</f>
        <v>0</v>
      </c>
    </row>
    <row r="27" spans="1:2" x14ac:dyDescent="0.25">
      <c r="A27" t="str">
        <v>Cupcake</v>
      </c>
      <c r="B27">
        <f>SUMIF(TB_Salidas[Producto],A27,TB_Salidas[Valor de Venta])</f>
        <v>0</v>
      </c>
    </row>
    <row r="28" spans="1:2" x14ac:dyDescent="0.25">
      <c r="A28" t="str">
        <v>Gaseosa</v>
      </c>
      <c r="B28">
        <f>SUMIF(TB_Salidas[Producto],A28,TB_Salidas[Valor de Venta])</f>
        <v>210</v>
      </c>
    </row>
    <row r="29" spans="1:2" x14ac:dyDescent="0.25">
      <c r="A29" t="str">
        <v>Enrollado</v>
      </c>
      <c r="B29">
        <f>SUMIF(TB_Salidas[Producto],A29,TB_Salidas[Valor de Venta])</f>
        <v>0</v>
      </c>
    </row>
    <row r="30" spans="1:2" x14ac:dyDescent="0.25">
      <c r="B30">
        <f>SUMIF(TB_Salidas[Producto],A30,TB_Salidas[Valor de Venta])</f>
        <v>0</v>
      </c>
    </row>
    <row r="31" spans="1:2" x14ac:dyDescent="0.25">
      <c r="B31">
        <f>SUMIF(TB_Salidas[Producto],A31,TB_Salidas[Valor de Venta])</f>
        <v>0</v>
      </c>
    </row>
    <row r="32" spans="1:2" x14ac:dyDescent="0.25">
      <c r="B32">
        <f>SUMIF(TB_Salidas[Producto],A32,TB_Salidas[Valor de Venta])</f>
        <v>0</v>
      </c>
    </row>
    <row r="33" spans="2:2" x14ac:dyDescent="0.25">
      <c r="B33">
        <f>SUMIF(TB_Salidas[Producto],A33,TB_Salidas[Valor de Venta])</f>
        <v>0</v>
      </c>
    </row>
    <row r="34" spans="2:2" x14ac:dyDescent="0.25">
      <c r="B34">
        <f>SUMIF(TB_Salidas[Producto],A34,TB_Salidas[Valor de Venta])</f>
        <v>0</v>
      </c>
    </row>
    <row r="35" spans="2:2" x14ac:dyDescent="0.25">
      <c r="B35">
        <f>SUMIF(TB_Salidas[Producto],A35,TB_Salidas[Valor de Venta])</f>
        <v>0</v>
      </c>
    </row>
    <row r="36" spans="2:2" x14ac:dyDescent="0.25">
      <c r="B36">
        <f>SUMIF(TB_Salidas[Producto],A36,TB_Salidas[Valor de Venta])</f>
        <v>0</v>
      </c>
    </row>
    <row r="37" spans="2:2" x14ac:dyDescent="0.25">
      <c r="B37">
        <f>SUMIF(TB_Salidas[Producto],A37,TB_Salidas[Valor de Venta])</f>
        <v>0</v>
      </c>
    </row>
    <row r="38" spans="2:2" x14ac:dyDescent="0.25">
      <c r="B38">
        <f>SUMIF(TB_Salidas[Producto],A38,TB_Salidas[Valor de Venta])</f>
        <v>0</v>
      </c>
    </row>
    <row r="39" spans="2:2" x14ac:dyDescent="0.25">
      <c r="B39">
        <f>SUMIF(TB_Salidas[Producto],A39,TB_Salidas[Valor de Venta])</f>
        <v>0</v>
      </c>
    </row>
    <row r="40" spans="2:2" x14ac:dyDescent="0.25">
      <c r="B40">
        <f>SUMIF(TB_Salidas[Producto],A40,TB_Salidas[Valor de Venta])</f>
        <v>0</v>
      </c>
    </row>
    <row r="41" spans="2:2" x14ac:dyDescent="0.25">
      <c r="B41">
        <f>SUMIF(TB_Salidas[Producto],A41,TB_Salidas[Valor de Venta])</f>
        <v>0</v>
      </c>
    </row>
    <row r="42" spans="2:2" x14ac:dyDescent="0.25">
      <c r="B42">
        <f>SUMIF(TB_Salidas[Producto],A42,TB_Salidas[Valor de Venta])</f>
        <v>0</v>
      </c>
    </row>
    <row r="43" spans="2:2" x14ac:dyDescent="0.25">
      <c r="B43">
        <f>SUMIF(TB_Salidas[Producto],A43,TB_Salidas[Valor de Venta])</f>
        <v>0</v>
      </c>
    </row>
    <row r="44" spans="2:2" x14ac:dyDescent="0.25">
      <c r="B44">
        <f>SUMIF(TB_Salidas[Producto],A44,TB_Salidas[Valor de Venta])</f>
        <v>0</v>
      </c>
    </row>
    <row r="45" spans="2:2" x14ac:dyDescent="0.25">
      <c r="B45">
        <f>SUMIF(TB_Salidas[Producto],A45,TB_Salidas[Valor de Venta])</f>
        <v>0</v>
      </c>
    </row>
    <row r="46" spans="2:2" x14ac:dyDescent="0.25">
      <c r="B46">
        <f>SUMIF(TB_Salidas[Producto],A46,TB_Salidas[Valor de Venta])</f>
        <v>0</v>
      </c>
    </row>
    <row r="47" spans="2:2" x14ac:dyDescent="0.25">
      <c r="B47">
        <f>SUMIF(TB_Salidas[Producto],A47,TB_Salidas[Valor de Venta])</f>
        <v>0</v>
      </c>
    </row>
    <row r="48" spans="2:2" x14ac:dyDescent="0.25">
      <c r="B48">
        <f>SUMIF(TB_Salidas[Producto],A48,TB_Salidas[Valor de Venta])</f>
        <v>0</v>
      </c>
    </row>
    <row r="49" spans="2:2" x14ac:dyDescent="0.25">
      <c r="B49">
        <f>SUMIF(TB_Salidas[Producto],A49,TB_Salidas[Valor de Venta])</f>
        <v>0</v>
      </c>
    </row>
    <row r="50" spans="2:2" x14ac:dyDescent="0.25">
      <c r="B50">
        <f>SUMIF(TB_Salidas[Producto],A50,TB_Salidas[Valor de Venta])</f>
        <v>0</v>
      </c>
    </row>
    <row r="51" spans="2:2" x14ac:dyDescent="0.25">
      <c r="B51">
        <f>SUMIF(TB_Salidas[Producto],A51,TB_Salidas[Valor de Venta])</f>
        <v>0</v>
      </c>
    </row>
    <row r="52" spans="2:2" x14ac:dyDescent="0.25">
      <c r="B52">
        <f>SUMIF(TB_Salidas[Producto],A52,TB_Salidas[Valor de Venta])</f>
        <v>0</v>
      </c>
    </row>
    <row r="53" spans="2:2" x14ac:dyDescent="0.25">
      <c r="B53">
        <f>SUMIF(TB_Salidas[Producto],A53,TB_Salidas[Valor de Venta])</f>
        <v>0</v>
      </c>
    </row>
    <row r="54" spans="2:2" x14ac:dyDescent="0.25">
      <c r="B54">
        <f>SUMIF(TB_Salidas[Producto],A54,TB_Salidas[Valor de Venta])</f>
        <v>0</v>
      </c>
    </row>
    <row r="55" spans="2:2" x14ac:dyDescent="0.25">
      <c r="B55">
        <f>SUMIF(TB_Salidas[Producto],A55,TB_Salidas[Valor de Venta])</f>
        <v>0</v>
      </c>
    </row>
    <row r="56" spans="2:2" x14ac:dyDescent="0.25">
      <c r="B56">
        <f>SUMIF(TB_Salidas[Producto],A56,TB_Salidas[Valor de Venta])</f>
        <v>0</v>
      </c>
    </row>
    <row r="57" spans="2:2" x14ac:dyDescent="0.25">
      <c r="B57">
        <f>SUMIF(TB_Salidas[Producto],A57,TB_Salidas[Valor de Venta])</f>
        <v>0</v>
      </c>
    </row>
    <row r="58" spans="2:2" x14ac:dyDescent="0.25">
      <c r="B58">
        <f>SUMIF(TB_Salidas[Producto],A58,TB_Salidas[Valor de Venta])</f>
        <v>0</v>
      </c>
    </row>
    <row r="59" spans="2:2" x14ac:dyDescent="0.25">
      <c r="B59">
        <f>SUMIF(TB_Salidas[Producto],A59,TB_Salidas[Valor de Venta])</f>
        <v>0</v>
      </c>
    </row>
    <row r="60" spans="2:2" x14ac:dyDescent="0.25">
      <c r="B60">
        <f>SUMIF(TB_Salidas[Producto],A60,TB_Salidas[Valor de Venta])</f>
        <v>0</v>
      </c>
    </row>
    <row r="61" spans="2:2" x14ac:dyDescent="0.25">
      <c r="B61">
        <f>SUMIF(TB_Salidas[Producto],A61,TB_Salidas[Valor de Venta])</f>
        <v>0</v>
      </c>
    </row>
    <row r="62" spans="2:2" x14ac:dyDescent="0.25">
      <c r="B62">
        <f>SUMIF(TB_Salidas[Producto],A62,TB_Salidas[Valor de Venta])</f>
        <v>0</v>
      </c>
    </row>
    <row r="63" spans="2:2" x14ac:dyDescent="0.25">
      <c r="B63">
        <f>SUMIF(TB_Salidas[Producto],A63,TB_Salidas[Valor de Venta])</f>
        <v>0</v>
      </c>
    </row>
    <row r="64" spans="2:2" x14ac:dyDescent="0.25">
      <c r="B64">
        <f>SUMIF(TB_Salidas[Producto],A64,TB_Salidas[Valor de Venta])</f>
        <v>0</v>
      </c>
    </row>
    <row r="65" spans="2:2" x14ac:dyDescent="0.25">
      <c r="B65">
        <f>SUMIF(TB_Salidas[Producto],A65,TB_Salidas[Valor de Venta])</f>
        <v>0</v>
      </c>
    </row>
    <row r="66" spans="2:2" x14ac:dyDescent="0.25">
      <c r="B66">
        <f>SUMIF(TB_Salidas[Producto],A66,TB_Salidas[Valor de Venta])</f>
        <v>0</v>
      </c>
    </row>
    <row r="67" spans="2:2" x14ac:dyDescent="0.25">
      <c r="B67">
        <f>SUMIF(TB_Salidas[Producto],A67,TB_Salidas[Valor de Venta])</f>
        <v>0</v>
      </c>
    </row>
    <row r="68" spans="2:2" x14ac:dyDescent="0.25">
      <c r="B68">
        <f>SUMIF(TB_Salidas[Producto],A68,TB_Salidas[Valor de Venta])</f>
        <v>0</v>
      </c>
    </row>
    <row r="69" spans="2:2" x14ac:dyDescent="0.25">
      <c r="B69">
        <f>SUMIF(TB_Salidas[Producto],A69,TB_Salidas[Valor de Venta])</f>
        <v>0</v>
      </c>
    </row>
    <row r="70" spans="2:2" x14ac:dyDescent="0.25">
      <c r="B70">
        <f>SUMIF(TB_Salidas[Producto],A70,TB_Salidas[Valor de Venta])</f>
        <v>0</v>
      </c>
    </row>
    <row r="71" spans="2:2" x14ac:dyDescent="0.25">
      <c r="B71">
        <f>SUMIF(TB_Salidas[Producto],A71,TB_Salidas[Valor de Venta])</f>
        <v>0</v>
      </c>
    </row>
    <row r="72" spans="2:2" x14ac:dyDescent="0.25">
      <c r="B72">
        <f>SUMIF(TB_Salidas[Producto],A72,TB_Salidas[Valor de Venta])</f>
        <v>0</v>
      </c>
    </row>
    <row r="73" spans="2:2" x14ac:dyDescent="0.25">
      <c r="B73">
        <f>SUMIF(TB_Salidas[Producto],A73,TB_Salidas[Valor de Venta])</f>
        <v>0</v>
      </c>
    </row>
    <row r="74" spans="2:2" x14ac:dyDescent="0.25">
      <c r="B74">
        <f>SUMIF(TB_Salidas[Producto],A74,TB_Salidas[Valor de Venta])</f>
        <v>0</v>
      </c>
    </row>
    <row r="75" spans="2:2" x14ac:dyDescent="0.25">
      <c r="B75">
        <f>SUMIF(TB_Salidas[Producto],A75,TB_Salidas[Valor de Venta])</f>
        <v>0</v>
      </c>
    </row>
    <row r="76" spans="2:2" x14ac:dyDescent="0.25">
      <c r="B76">
        <f>SUMIF(TB_Salidas[Producto],A76,TB_Salidas[Valor de Venta])</f>
        <v>0</v>
      </c>
    </row>
    <row r="77" spans="2:2" x14ac:dyDescent="0.25">
      <c r="B77">
        <f>SUMIF(TB_Salidas[Producto],A77,TB_Salidas[Valor de Venta])</f>
        <v>0</v>
      </c>
    </row>
    <row r="78" spans="2:2" x14ac:dyDescent="0.25">
      <c r="B78">
        <f>SUMIF(TB_Salidas[Producto],A78,TB_Salidas[Valor de Venta])</f>
        <v>0</v>
      </c>
    </row>
    <row r="79" spans="2:2" x14ac:dyDescent="0.25">
      <c r="B79">
        <f>SUMIF(TB_Salidas[Producto],A79,TB_Salidas[Valor de Venta])</f>
        <v>0</v>
      </c>
    </row>
    <row r="80" spans="2:2" x14ac:dyDescent="0.25">
      <c r="B80">
        <f>SUMIF(TB_Salidas[Producto],A80,TB_Salidas[Valor de Venta])</f>
        <v>0</v>
      </c>
    </row>
    <row r="81" spans="2:2" x14ac:dyDescent="0.25">
      <c r="B81">
        <f>SUMIF(TB_Salidas[Producto],A81,TB_Salidas[Valor de Venta])</f>
        <v>0</v>
      </c>
    </row>
    <row r="82" spans="2:2" x14ac:dyDescent="0.25">
      <c r="B82">
        <f>SUMIF(TB_Salidas[Producto],A82,TB_Salidas[Valor de Venta])</f>
        <v>0</v>
      </c>
    </row>
    <row r="83" spans="2:2" x14ac:dyDescent="0.25">
      <c r="B83">
        <f>SUMIF(TB_Salidas[Producto],A83,TB_Salidas[Valor de Venta])</f>
        <v>0</v>
      </c>
    </row>
    <row r="84" spans="2:2" x14ac:dyDescent="0.25">
      <c r="B84">
        <f>SUMIF(TB_Salidas[Producto],A84,TB_Salidas[Valor de Venta])</f>
        <v>0</v>
      </c>
    </row>
    <row r="85" spans="2:2" x14ac:dyDescent="0.25">
      <c r="B85">
        <f>SUMIF(TB_Salidas[Producto],A85,TB_Salidas[Valor de Venta])</f>
        <v>0</v>
      </c>
    </row>
    <row r="86" spans="2:2" x14ac:dyDescent="0.25">
      <c r="B86">
        <f>SUMIF(TB_Salidas[Producto],A86,TB_Salidas[Valor de Venta])</f>
        <v>0</v>
      </c>
    </row>
    <row r="87" spans="2:2" x14ac:dyDescent="0.25">
      <c r="B87">
        <f>SUMIF(TB_Salidas[Producto],A87,TB_Salidas[Valor de Venta])</f>
        <v>0</v>
      </c>
    </row>
    <row r="88" spans="2:2" x14ac:dyDescent="0.25">
      <c r="B88">
        <f>SUMIF(TB_Salidas[Producto],A88,TB_Salidas[Valor de Venta])</f>
        <v>0</v>
      </c>
    </row>
    <row r="89" spans="2:2" x14ac:dyDescent="0.25">
      <c r="B89">
        <f>SUMIF(TB_Salidas[Producto],A89,TB_Salidas[Valor de Venta])</f>
        <v>0</v>
      </c>
    </row>
    <row r="90" spans="2:2" x14ac:dyDescent="0.25">
      <c r="B90">
        <f>SUMIF(TB_Salidas[Producto],A90,TB_Salidas[Valor de Venta])</f>
        <v>0</v>
      </c>
    </row>
    <row r="91" spans="2:2" x14ac:dyDescent="0.25">
      <c r="B91">
        <f>SUMIF(TB_Salidas[Producto],A91,TB_Salidas[Valor de Venta])</f>
        <v>0</v>
      </c>
    </row>
    <row r="92" spans="2:2" x14ac:dyDescent="0.25">
      <c r="B92">
        <f>SUMIF(TB_Salidas[Producto],A92,TB_Salidas[Valor de Venta])</f>
        <v>0</v>
      </c>
    </row>
    <row r="93" spans="2:2" x14ac:dyDescent="0.25">
      <c r="B93">
        <f>SUMIF(TB_Salidas[Producto],A93,TB_Salidas[Valor de Venta])</f>
        <v>0</v>
      </c>
    </row>
    <row r="94" spans="2:2" x14ac:dyDescent="0.25">
      <c r="B94">
        <f>SUMIF(TB_Salidas[Producto],A94,TB_Salidas[Valor de Venta])</f>
        <v>0</v>
      </c>
    </row>
    <row r="95" spans="2:2" x14ac:dyDescent="0.25">
      <c r="B95">
        <f>SUMIF(TB_Salidas[Producto],A95,TB_Salidas[Valor de Venta])</f>
        <v>0</v>
      </c>
    </row>
    <row r="96" spans="2:2" x14ac:dyDescent="0.25">
      <c r="B96">
        <f>SUMIF(TB_Salidas[Producto],A96,TB_Salidas[Valor de Venta])</f>
        <v>0</v>
      </c>
    </row>
    <row r="97" spans="2:2" x14ac:dyDescent="0.25">
      <c r="B97">
        <f>SUMIF(TB_Salidas[Producto],A97,TB_Salidas[Valor de Venta])</f>
        <v>0</v>
      </c>
    </row>
    <row r="98" spans="2:2" x14ac:dyDescent="0.25">
      <c r="B98">
        <f>SUMIF(TB_Salidas[Producto],A98,TB_Salidas[Valor de Venta])</f>
        <v>0</v>
      </c>
    </row>
    <row r="99" spans="2:2" x14ac:dyDescent="0.25">
      <c r="B99">
        <f>SUMIF(TB_Salidas[Producto],A99,TB_Salidas[Valor de Venta])</f>
        <v>0</v>
      </c>
    </row>
    <row r="100" spans="2:2" x14ac:dyDescent="0.25">
      <c r="B100">
        <f>SUMIF(TB_Salidas[Producto],A100,TB_Salidas[Valor de Venta])</f>
        <v>0</v>
      </c>
    </row>
    <row r="101" spans="2:2" x14ac:dyDescent="0.25">
      <c r="B101">
        <f>SUMIF(TB_Salidas[Producto],A101,TB_Salidas[Valor de Venta])</f>
        <v>0</v>
      </c>
    </row>
    <row r="102" spans="2:2" x14ac:dyDescent="0.25">
      <c r="B102">
        <f>SUMIF(TB_Salidas[Producto],A102,TB_Salidas[Valor de Venta])</f>
        <v>0</v>
      </c>
    </row>
    <row r="103" spans="2:2" x14ac:dyDescent="0.25">
      <c r="B103">
        <f>SUMIF(TB_Salidas[Producto],A103,TB_Salidas[Valor de Venta])</f>
        <v>0</v>
      </c>
    </row>
    <row r="104" spans="2:2" x14ac:dyDescent="0.25">
      <c r="B104">
        <f>SUMIF(TB_Salidas[Producto],A104,TB_Salidas[Valor de Venta])</f>
        <v>0</v>
      </c>
    </row>
    <row r="105" spans="2:2" x14ac:dyDescent="0.25">
      <c r="B105">
        <f>SUMIF(TB_Salidas[Producto],A105,TB_Salidas[Valor de Venta])</f>
        <v>0</v>
      </c>
    </row>
    <row r="106" spans="2:2" x14ac:dyDescent="0.25">
      <c r="B106">
        <f>SUMIF(TB_Salidas[Producto],A106,TB_Salidas[Valor de Venta])</f>
        <v>0</v>
      </c>
    </row>
    <row r="107" spans="2:2" x14ac:dyDescent="0.25">
      <c r="B107">
        <f>SUMIF(TB_Salidas[Producto],A107,TB_Salidas[Valor de Venta])</f>
        <v>0</v>
      </c>
    </row>
    <row r="108" spans="2:2" x14ac:dyDescent="0.25">
      <c r="B108">
        <f>SUMIF(TB_Salidas[Producto],A108,TB_Salidas[Valor de Venta])</f>
        <v>0</v>
      </c>
    </row>
    <row r="109" spans="2:2" x14ac:dyDescent="0.25">
      <c r="B109">
        <f>SUMIF(TB_Salidas[Producto],A109,TB_Salidas[Valor de Venta])</f>
        <v>0</v>
      </c>
    </row>
    <row r="110" spans="2:2" x14ac:dyDescent="0.25">
      <c r="B110">
        <f>SUMIF(TB_Salidas[Producto],A110,TB_Salidas[Valor de Venta])</f>
        <v>0</v>
      </c>
    </row>
    <row r="111" spans="2:2" x14ac:dyDescent="0.25">
      <c r="B111">
        <f>SUMIF(TB_Salidas[Producto],A111,TB_Salidas[Valor de Venta])</f>
        <v>0</v>
      </c>
    </row>
    <row r="112" spans="2:2" x14ac:dyDescent="0.25">
      <c r="B112">
        <f>SUMIF(TB_Salidas[Producto],A112,TB_Salidas[Valor de Venta])</f>
        <v>0</v>
      </c>
    </row>
    <row r="113" spans="2:2" x14ac:dyDescent="0.25">
      <c r="B113">
        <f>SUMIF(TB_Salidas[Producto],A113,TB_Salidas[Valor de Venta])</f>
        <v>0</v>
      </c>
    </row>
    <row r="114" spans="2:2" x14ac:dyDescent="0.25">
      <c r="B114">
        <f>SUMIF(TB_Salidas[Producto],A114,TB_Salidas[Valor de Venta])</f>
        <v>0</v>
      </c>
    </row>
    <row r="115" spans="2:2" x14ac:dyDescent="0.25">
      <c r="B115">
        <f>SUMIF(TB_Salidas[Producto],A115,TB_Salidas[Valor de Venta])</f>
        <v>0</v>
      </c>
    </row>
    <row r="116" spans="2:2" x14ac:dyDescent="0.25">
      <c r="B116">
        <f>SUMIF(TB_Salidas[Producto],A116,TB_Salidas[Valor de Venta])</f>
        <v>0</v>
      </c>
    </row>
    <row r="117" spans="2:2" x14ac:dyDescent="0.25">
      <c r="B117">
        <f>SUMIF(TB_Salidas[Producto],A117,TB_Salidas[Valor de Venta])</f>
        <v>0</v>
      </c>
    </row>
    <row r="118" spans="2:2" x14ac:dyDescent="0.25">
      <c r="B118">
        <f>SUMIF(TB_Salidas[Producto],A118,TB_Salidas[Valor de Venta])</f>
        <v>0</v>
      </c>
    </row>
    <row r="119" spans="2:2" x14ac:dyDescent="0.25">
      <c r="B119">
        <f>SUMIF(TB_Salidas[Producto],A119,TB_Salidas[Valor de Venta])</f>
        <v>0</v>
      </c>
    </row>
    <row r="120" spans="2:2" x14ac:dyDescent="0.25">
      <c r="B120">
        <f>SUMIF(TB_Salidas[Producto],A120,TB_Salidas[Valor de Venta])</f>
        <v>0</v>
      </c>
    </row>
    <row r="121" spans="2:2" x14ac:dyDescent="0.25">
      <c r="B121">
        <f>SUMIF(TB_Salidas[Producto],A121,TB_Salidas[Valor de Venta])</f>
        <v>0</v>
      </c>
    </row>
    <row r="122" spans="2:2" x14ac:dyDescent="0.25">
      <c r="B122">
        <f>SUMIF(TB_Salidas[Producto],A122,TB_Salidas[Valor de Venta])</f>
        <v>0</v>
      </c>
    </row>
    <row r="123" spans="2:2" x14ac:dyDescent="0.25">
      <c r="B123">
        <f>SUMIF(TB_Salidas[Producto],A123,TB_Salidas[Valor de Venta])</f>
        <v>0</v>
      </c>
    </row>
    <row r="124" spans="2:2" x14ac:dyDescent="0.25">
      <c r="B124">
        <f>SUMIF(TB_Salidas[Producto],A124,TB_Salidas[Valor de Venta])</f>
        <v>0</v>
      </c>
    </row>
    <row r="125" spans="2:2" x14ac:dyDescent="0.25">
      <c r="B125">
        <f>SUMIF(TB_Salidas[Producto],A125,TB_Salidas[Valor de Venta])</f>
        <v>0</v>
      </c>
    </row>
    <row r="126" spans="2:2" x14ac:dyDescent="0.25">
      <c r="B126">
        <f>SUMIF(TB_Salidas[Producto],A126,TB_Salidas[Valor de Venta])</f>
        <v>0</v>
      </c>
    </row>
    <row r="127" spans="2:2" x14ac:dyDescent="0.25">
      <c r="B127">
        <f>SUMIF(TB_Salidas[Producto],A127,TB_Salidas[Valor de Venta])</f>
        <v>0</v>
      </c>
    </row>
    <row r="128" spans="2:2" x14ac:dyDescent="0.25">
      <c r="B128">
        <f>SUMIF(TB_Salidas[Producto],A128,TB_Salidas[Valor de Venta])</f>
        <v>0</v>
      </c>
    </row>
    <row r="129" spans="2:2" x14ac:dyDescent="0.25">
      <c r="B129">
        <f>SUMIF(TB_Salidas[Producto],A129,TB_Salidas[Valor de Venta])</f>
        <v>0</v>
      </c>
    </row>
    <row r="130" spans="2:2" x14ac:dyDescent="0.25">
      <c r="B130">
        <f>SUMIF(TB_Salidas[Producto],A130,TB_Salidas[Valor de Venta])</f>
        <v>0</v>
      </c>
    </row>
    <row r="131" spans="2:2" x14ac:dyDescent="0.25">
      <c r="B131">
        <f>SUMIF(TB_Salidas[Producto],A131,TB_Salidas[Valor de Venta])</f>
        <v>0</v>
      </c>
    </row>
    <row r="132" spans="2:2" x14ac:dyDescent="0.25">
      <c r="B132">
        <f>SUMIF(TB_Salidas[Producto],A132,TB_Salidas[Valor de Venta])</f>
        <v>0</v>
      </c>
    </row>
    <row r="133" spans="2:2" x14ac:dyDescent="0.25">
      <c r="B133">
        <f>SUMIF(TB_Salidas[Producto],A133,TB_Salidas[Valor de Venta])</f>
        <v>0</v>
      </c>
    </row>
    <row r="134" spans="2:2" x14ac:dyDescent="0.25">
      <c r="B134">
        <f>SUMIF(TB_Salidas[Producto],A134,TB_Salidas[Valor de Venta])</f>
        <v>0</v>
      </c>
    </row>
    <row r="135" spans="2:2" x14ac:dyDescent="0.25">
      <c r="B135">
        <f>SUMIF(TB_Salidas[Producto],A135,TB_Salidas[Valor de Venta])</f>
        <v>0</v>
      </c>
    </row>
    <row r="136" spans="2:2" x14ac:dyDescent="0.25">
      <c r="B136">
        <f>SUMIF(TB_Salidas[Producto],A136,TB_Salidas[Valor de Venta])</f>
        <v>0</v>
      </c>
    </row>
    <row r="137" spans="2:2" x14ac:dyDescent="0.25">
      <c r="B137">
        <f>SUMIF(TB_Salidas[Producto],A137,TB_Salidas[Valor de Venta])</f>
        <v>0</v>
      </c>
    </row>
    <row r="138" spans="2:2" x14ac:dyDescent="0.25">
      <c r="B138">
        <f>SUMIF(TB_Salidas[Producto],A138,TB_Salidas[Valor de Venta])</f>
        <v>0</v>
      </c>
    </row>
    <row r="139" spans="2:2" x14ac:dyDescent="0.25">
      <c r="B139">
        <f>SUMIF(TB_Salidas[Producto],A139,TB_Salidas[Valor de Venta])</f>
        <v>0</v>
      </c>
    </row>
    <row r="140" spans="2:2" x14ac:dyDescent="0.25">
      <c r="B140">
        <f>SUMIF(TB_Salidas[Producto],A140,TB_Salidas[Valor de Venta])</f>
        <v>0</v>
      </c>
    </row>
    <row r="141" spans="2:2" x14ac:dyDescent="0.25">
      <c r="B141">
        <f>SUMIF(TB_Salidas[Producto],A141,TB_Salidas[Valor de Venta])</f>
        <v>0</v>
      </c>
    </row>
    <row r="142" spans="2:2" x14ac:dyDescent="0.25">
      <c r="B142">
        <f>SUMIF(TB_Salidas[Producto],A142,TB_Salidas[Valor de Venta])</f>
        <v>0</v>
      </c>
    </row>
    <row r="143" spans="2:2" x14ac:dyDescent="0.25">
      <c r="B143">
        <f>SUMIF(TB_Salidas[Producto],A143,TB_Salidas[Valor de Venta])</f>
        <v>0</v>
      </c>
    </row>
    <row r="144" spans="2:2" x14ac:dyDescent="0.25">
      <c r="B144">
        <f>SUMIF(TB_Salidas[Producto],A144,TB_Salidas[Valor de Venta])</f>
        <v>0</v>
      </c>
    </row>
    <row r="145" spans="2:2" x14ac:dyDescent="0.25">
      <c r="B145">
        <f>SUMIF(TB_Salidas[Producto],A145,TB_Salidas[Valor de Venta])</f>
        <v>0</v>
      </c>
    </row>
    <row r="146" spans="2:2" x14ac:dyDescent="0.25">
      <c r="B146">
        <f>SUMIF(TB_Salidas[Producto],A146,TB_Salidas[Valor de Venta])</f>
        <v>0</v>
      </c>
    </row>
    <row r="147" spans="2:2" x14ac:dyDescent="0.25">
      <c r="B147">
        <f>SUMIF(TB_Salidas[Producto],A147,TB_Salidas[Valor de Venta])</f>
        <v>0</v>
      </c>
    </row>
    <row r="148" spans="2:2" x14ac:dyDescent="0.25">
      <c r="B148">
        <f>SUMIF(TB_Salidas[Producto],A148,TB_Salidas[Valor de Venta])</f>
        <v>0</v>
      </c>
    </row>
    <row r="149" spans="2:2" x14ac:dyDescent="0.25">
      <c r="B149">
        <f>SUMIF(TB_Salidas[Producto],A149,TB_Salidas[Valor de Venta])</f>
        <v>0</v>
      </c>
    </row>
    <row r="150" spans="2:2" x14ac:dyDescent="0.25">
      <c r="B150">
        <f>SUMIF(TB_Salidas[Producto],A150,TB_Salidas[Valor de Venta])</f>
        <v>0</v>
      </c>
    </row>
    <row r="151" spans="2:2" x14ac:dyDescent="0.25">
      <c r="B151">
        <f>SUMIF(TB_Salidas[Producto],A151,TB_Salidas[Valor de Venta])</f>
        <v>0</v>
      </c>
    </row>
    <row r="152" spans="2:2" x14ac:dyDescent="0.25">
      <c r="B152">
        <f>SUMIF(TB_Salidas[Producto],A152,TB_Salidas[Valor de Venta])</f>
        <v>0</v>
      </c>
    </row>
    <row r="153" spans="2:2" x14ac:dyDescent="0.25">
      <c r="B153">
        <f>SUMIF(TB_Salidas[Producto],A153,TB_Salidas[Valor de Venta])</f>
        <v>0</v>
      </c>
    </row>
    <row r="154" spans="2:2" x14ac:dyDescent="0.25">
      <c r="B154">
        <f>SUMIF(TB_Salidas[Producto],A154,TB_Salidas[Valor de Venta])</f>
        <v>0</v>
      </c>
    </row>
    <row r="155" spans="2:2" x14ac:dyDescent="0.25">
      <c r="B155">
        <f>SUMIF(TB_Salidas[Producto],A155,TB_Salidas[Valor de Venta])</f>
        <v>0</v>
      </c>
    </row>
    <row r="156" spans="2:2" x14ac:dyDescent="0.25">
      <c r="B156">
        <f>SUMIF(TB_Salidas[Producto],A156,TB_Salidas[Valor de Venta])</f>
        <v>0</v>
      </c>
    </row>
    <row r="157" spans="2:2" x14ac:dyDescent="0.25">
      <c r="B157">
        <f>SUMIF(TB_Salidas[Producto],A157,TB_Salidas[Valor de Venta])</f>
        <v>0</v>
      </c>
    </row>
    <row r="158" spans="2:2" x14ac:dyDescent="0.25">
      <c r="B158">
        <f>SUMIF(TB_Salidas[Producto],A158,TB_Salidas[Valor de Venta])</f>
        <v>0</v>
      </c>
    </row>
    <row r="159" spans="2:2" x14ac:dyDescent="0.25">
      <c r="B159">
        <f>SUMIF(TB_Salidas[Producto],A159,TB_Salidas[Valor de Venta])</f>
        <v>0</v>
      </c>
    </row>
    <row r="160" spans="2:2" x14ac:dyDescent="0.25">
      <c r="B160">
        <f>SUMIF(TB_Salidas[Producto],A160,TB_Salidas[Valor de Venta])</f>
        <v>0</v>
      </c>
    </row>
    <row r="161" spans="2:2" x14ac:dyDescent="0.25">
      <c r="B161">
        <f>SUMIF(TB_Salidas[Producto],A161,TB_Salidas[Valor de Venta])</f>
        <v>0</v>
      </c>
    </row>
    <row r="162" spans="2:2" x14ac:dyDescent="0.25">
      <c r="B162">
        <f>SUMIF(TB_Salidas[Producto],A162,TB_Salidas[Valor de Venta])</f>
        <v>0</v>
      </c>
    </row>
    <row r="163" spans="2:2" x14ac:dyDescent="0.25">
      <c r="B163">
        <f>SUMIF(TB_Salidas[Producto],A163,TB_Salidas[Valor de Venta])</f>
        <v>0</v>
      </c>
    </row>
    <row r="164" spans="2:2" x14ac:dyDescent="0.25">
      <c r="B164">
        <f>SUMIF(TB_Salidas[Producto],A164,TB_Salidas[Valor de Venta])</f>
        <v>0</v>
      </c>
    </row>
    <row r="165" spans="2:2" x14ac:dyDescent="0.25">
      <c r="B165">
        <f>SUMIF(TB_Salidas[Producto],A165,TB_Salidas[Valor de Venta])</f>
        <v>0</v>
      </c>
    </row>
    <row r="166" spans="2:2" x14ac:dyDescent="0.25">
      <c r="B166">
        <f>SUMIF(TB_Salidas[Producto],A166,TB_Salidas[Valor de Venta])</f>
        <v>0</v>
      </c>
    </row>
    <row r="167" spans="2:2" x14ac:dyDescent="0.25">
      <c r="B167">
        <f>SUMIF(TB_Salidas[Producto],A167,TB_Salidas[Valor de Venta])</f>
        <v>0</v>
      </c>
    </row>
    <row r="168" spans="2:2" x14ac:dyDescent="0.25">
      <c r="B168">
        <f>SUMIF(TB_Salidas[Producto],A168,TB_Salidas[Valor de Venta])</f>
        <v>0</v>
      </c>
    </row>
    <row r="169" spans="2:2" x14ac:dyDescent="0.25">
      <c r="B169">
        <f>SUMIF(TB_Salidas[Producto],A169,TB_Salidas[Valor de Venta])</f>
        <v>0</v>
      </c>
    </row>
    <row r="170" spans="2:2" x14ac:dyDescent="0.25">
      <c r="B170">
        <f>SUMIF(TB_Salidas[Producto],A170,TB_Salidas[Valor de Venta])</f>
        <v>0</v>
      </c>
    </row>
    <row r="171" spans="2:2" x14ac:dyDescent="0.25">
      <c r="B171">
        <f>SUMIF(TB_Salidas[Producto],A171,TB_Salidas[Valor de Venta])</f>
        <v>0</v>
      </c>
    </row>
    <row r="172" spans="2:2" x14ac:dyDescent="0.25">
      <c r="B172">
        <f>SUMIF(TB_Salidas[Producto],A172,TB_Salidas[Valor de Venta])</f>
        <v>0</v>
      </c>
    </row>
    <row r="173" spans="2:2" x14ac:dyDescent="0.25">
      <c r="B173">
        <f>SUMIF(TB_Salidas[Producto],A173,TB_Salidas[Valor de Venta])</f>
        <v>0</v>
      </c>
    </row>
    <row r="174" spans="2:2" x14ac:dyDescent="0.25">
      <c r="B174">
        <f>SUMIF(TB_Salidas[Producto],A174,TB_Salidas[Valor de Venta])</f>
        <v>0</v>
      </c>
    </row>
    <row r="175" spans="2:2" x14ac:dyDescent="0.25">
      <c r="B175">
        <f>SUMIF(TB_Salidas[Producto],A175,TB_Salidas[Valor de Venta])</f>
        <v>0</v>
      </c>
    </row>
    <row r="176" spans="2:2" x14ac:dyDescent="0.25">
      <c r="B176">
        <f>SUMIF(TB_Salidas[Producto],A176,TB_Salidas[Valor de Venta])</f>
        <v>0</v>
      </c>
    </row>
    <row r="177" spans="2:2" x14ac:dyDescent="0.25">
      <c r="B177">
        <f>SUMIF(TB_Salidas[Producto],A177,TB_Salidas[Valor de Venta])</f>
        <v>0</v>
      </c>
    </row>
    <row r="178" spans="2:2" x14ac:dyDescent="0.25">
      <c r="B178">
        <f>SUMIF(TB_Salidas[Producto],A178,TB_Salidas[Valor de Venta])</f>
        <v>0</v>
      </c>
    </row>
    <row r="179" spans="2:2" x14ac:dyDescent="0.25">
      <c r="B179">
        <f>SUMIF(TB_Salidas[Producto],A179,TB_Salidas[Valor de Venta])</f>
        <v>0</v>
      </c>
    </row>
    <row r="180" spans="2:2" x14ac:dyDescent="0.25">
      <c r="B180">
        <f>SUMIF(TB_Salidas[Producto],A180,TB_Salidas[Valor de Venta])</f>
        <v>0</v>
      </c>
    </row>
    <row r="181" spans="2:2" x14ac:dyDescent="0.25">
      <c r="B181">
        <f>SUMIF(TB_Salidas[Producto],A181,TB_Salidas[Valor de Venta])</f>
        <v>0</v>
      </c>
    </row>
    <row r="182" spans="2:2" x14ac:dyDescent="0.25">
      <c r="B182">
        <f>SUMIF(TB_Salidas[Producto],A182,TB_Salidas[Valor de Venta])</f>
        <v>0</v>
      </c>
    </row>
    <row r="183" spans="2:2" x14ac:dyDescent="0.25">
      <c r="B183">
        <f>SUMIF(TB_Salidas[Producto],A183,TB_Salidas[Valor de Venta])</f>
        <v>0</v>
      </c>
    </row>
    <row r="184" spans="2:2" x14ac:dyDescent="0.25">
      <c r="B184">
        <f>SUMIF(TB_Salidas[Producto],A184,TB_Salidas[Valor de Venta])</f>
        <v>0</v>
      </c>
    </row>
    <row r="185" spans="2:2" x14ac:dyDescent="0.25">
      <c r="B185">
        <f>SUMIF(TB_Salidas[Producto],A185,TB_Salidas[Valor de Venta])</f>
        <v>0</v>
      </c>
    </row>
    <row r="186" spans="2:2" x14ac:dyDescent="0.25">
      <c r="B186">
        <f>SUMIF(TB_Salidas[Producto],A186,TB_Salidas[Valor de Venta])</f>
        <v>0</v>
      </c>
    </row>
    <row r="187" spans="2:2" x14ac:dyDescent="0.25">
      <c r="B187">
        <f>SUMIF(TB_Salidas[Producto],A187,TB_Salidas[Valor de Venta])</f>
        <v>0</v>
      </c>
    </row>
    <row r="188" spans="2:2" x14ac:dyDescent="0.25">
      <c r="B188">
        <f>SUMIF(TB_Salidas[Producto],A188,TB_Salidas[Valor de Venta])</f>
        <v>0</v>
      </c>
    </row>
    <row r="189" spans="2:2" x14ac:dyDescent="0.25">
      <c r="B189">
        <f>SUMIF(TB_Salidas[Producto],A189,TB_Salidas[Valor de Venta])</f>
        <v>0</v>
      </c>
    </row>
    <row r="190" spans="2:2" x14ac:dyDescent="0.25">
      <c r="B190">
        <f>SUMIF(TB_Salidas[Producto],A190,TB_Salidas[Valor de Venta])</f>
        <v>0</v>
      </c>
    </row>
    <row r="191" spans="2:2" x14ac:dyDescent="0.25">
      <c r="B191">
        <f>SUMIF(TB_Salidas[Producto],A191,TB_Salidas[Valor de Venta])</f>
        <v>0</v>
      </c>
    </row>
    <row r="192" spans="2:2" x14ac:dyDescent="0.25">
      <c r="B192">
        <f>SUMIF(TB_Salidas[Producto],A192,TB_Salidas[Valor de Venta])</f>
        <v>0</v>
      </c>
    </row>
    <row r="193" spans="2:2" x14ac:dyDescent="0.25">
      <c r="B193">
        <f>SUMIF(TB_Salidas[Producto],A193,TB_Salidas[Valor de Venta])</f>
        <v>0</v>
      </c>
    </row>
    <row r="194" spans="2:2" x14ac:dyDescent="0.25">
      <c r="B194">
        <f>SUMIF(TB_Salidas[Producto],A194,TB_Salidas[Valor de Venta])</f>
        <v>0</v>
      </c>
    </row>
    <row r="195" spans="2:2" x14ac:dyDescent="0.25">
      <c r="B195">
        <f>SUMIF(TB_Salidas[Producto],A195,TB_Salidas[Valor de Venta])</f>
        <v>0</v>
      </c>
    </row>
    <row r="196" spans="2:2" x14ac:dyDescent="0.25">
      <c r="B196">
        <f>SUMIF(TB_Salidas[Producto],A196,TB_Salidas[Valor de Venta])</f>
        <v>0</v>
      </c>
    </row>
    <row r="197" spans="2:2" x14ac:dyDescent="0.25">
      <c r="B197">
        <f>SUMIF(TB_Salidas[Producto],A197,TB_Salidas[Valor de Venta])</f>
        <v>0</v>
      </c>
    </row>
    <row r="198" spans="2:2" x14ac:dyDescent="0.25">
      <c r="B198">
        <f>SUMIF(TB_Salidas[Producto],A198,TB_Salidas[Valor de Venta])</f>
        <v>0</v>
      </c>
    </row>
    <row r="199" spans="2:2" x14ac:dyDescent="0.25">
      <c r="B199">
        <f>SUMIF(TB_Salidas[Producto],A199,TB_Salidas[Valor de Venta])</f>
        <v>0</v>
      </c>
    </row>
    <row r="200" spans="2:2" x14ac:dyDescent="0.25">
      <c r="B200">
        <f>SUMIF(TB_Salidas[Producto],A200,TB_Salidas[Valor de Venta])</f>
        <v>0</v>
      </c>
    </row>
  </sheetData>
  <autoFilter ref="D1:F6" xr:uid="{59F154A8-E4F9-4133-877B-283D82824F74}">
    <sortState xmlns:xlrd2="http://schemas.microsoft.com/office/spreadsheetml/2017/richdata2" ref="D2:F6">
      <sortCondition descending="1" ref="F1:F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6882-1FEC-4113-9119-35316D4AAC7F}">
  <dimension ref="A1:D13"/>
  <sheetViews>
    <sheetView zoomScale="170" zoomScaleNormal="170" workbookViewId="0">
      <selection activeCell="B1" sqref="B1:D13"/>
    </sheetView>
  </sheetViews>
  <sheetFormatPr baseColWidth="10" defaultRowHeight="15" x14ac:dyDescent="0.25"/>
  <cols>
    <col min="1" max="1" width="7" style="2" customWidth="1"/>
    <col min="2" max="2" width="9.140625" style="2" customWidth="1"/>
    <col min="3" max="4" width="13.140625" customWidth="1"/>
  </cols>
  <sheetData>
    <row r="1" spans="1:4" s="105" customFormat="1" x14ac:dyDescent="0.25">
      <c r="A1" s="105" t="s">
        <v>108</v>
      </c>
      <c r="B1" s="105" t="s">
        <v>107</v>
      </c>
      <c r="C1" s="105" t="s">
        <v>110</v>
      </c>
      <c r="D1" s="105" t="s">
        <v>109</v>
      </c>
    </row>
    <row r="2" spans="1:4" x14ac:dyDescent="0.25">
      <c r="A2" s="2">
        <v>1</v>
      </c>
      <c r="B2" s="107">
        <f>DATE(,A2,1)</f>
        <v>1</v>
      </c>
      <c r="C2" s="106">
        <f>SUMIF(TB_Salidas[Mês],A2,TB_Salidas[Valor de Venta])</f>
        <v>1178.5</v>
      </c>
      <c r="D2" s="106">
        <f>SUMIF(TB_Entradas[Mes],A2,TB_Entradas[Valor de Compra])</f>
        <v>877.5</v>
      </c>
    </row>
    <row r="3" spans="1:4" x14ac:dyDescent="0.25">
      <c r="A3" s="2">
        <v>2</v>
      </c>
      <c r="B3" s="107">
        <f t="shared" ref="B3:B13" si="0">DATE(,A3,1)</f>
        <v>32</v>
      </c>
      <c r="C3" s="106">
        <f>SUMIF(TB_Salidas[Mês],A3,TB_Salidas[Valor de Venta])</f>
        <v>1450</v>
      </c>
      <c r="D3" s="106">
        <f>SUMIF(TB_Entradas[Mes],A3,TB_Entradas[Valor de Compra])</f>
        <v>895</v>
      </c>
    </row>
    <row r="4" spans="1:4" x14ac:dyDescent="0.25">
      <c r="A4" s="2">
        <v>3</v>
      </c>
      <c r="B4" s="107">
        <f t="shared" si="0"/>
        <v>61</v>
      </c>
      <c r="C4" s="106">
        <f>SUMIF(TB_Salidas[Mês],A4,TB_Salidas[Valor de Venta])</f>
        <v>1223.5</v>
      </c>
      <c r="D4" s="106">
        <f>SUMIF(TB_Entradas[Mes],A4,TB_Entradas[Valor de Compra])</f>
        <v>853.75</v>
      </c>
    </row>
    <row r="5" spans="1:4" x14ac:dyDescent="0.25">
      <c r="A5" s="2">
        <v>4</v>
      </c>
      <c r="B5" s="107">
        <f t="shared" si="0"/>
        <v>92</v>
      </c>
      <c r="C5" s="106">
        <f>SUMIF(TB_Salidas[Mês],A5,TB_Salidas[Valor de Venta])</f>
        <v>962.5</v>
      </c>
      <c r="D5" s="106">
        <f>SUMIF(TB_Entradas[Mes],A5,TB_Entradas[Valor de Compra])</f>
        <v>656.25</v>
      </c>
    </row>
    <row r="6" spans="1:4" x14ac:dyDescent="0.25">
      <c r="A6" s="2">
        <v>5</v>
      </c>
      <c r="B6" s="107">
        <f t="shared" si="0"/>
        <v>122</v>
      </c>
      <c r="C6" s="106">
        <f>SUMIF(TB_Salidas[Mês],A6,TB_Salidas[Valor de Venta])</f>
        <v>959.5</v>
      </c>
      <c r="D6" s="106">
        <f>SUMIF(TB_Entradas[Mes],A6,TB_Entradas[Valor de Compra])</f>
        <v>538.5</v>
      </c>
    </row>
    <row r="7" spans="1:4" x14ac:dyDescent="0.25">
      <c r="A7" s="2">
        <v>6</v>
      </c>
      <c r="B7" s="107">
        <f t="shared" si="0"/>
        <v>153</v>
      </c>
      <c r="C7" s="106">
        <f>SUMIF(TB_Salidas[Mês],A7,TB_Salidas[Valor de Venta])</f>
        <v>971.5</v>
      </c>
      <c r="D7" s="106">
        <f>SUMIF(TB_Entradas[Mes],A7,TB_Entradas[Valor de Compra])</f>
        <v>855</v>
      </c>
    </row>
    <row r="8" spans="1:4" x14ac:dyDescent="0.25">
      <c r="A8" s="2">
        <v>7</v>
      </c>
      <c r="B8" s="107">
        <f t="shared" si="0"/>
        <v>183</v>
      </c>
      <c r="C8" s="106">
        <f>SUMIF(TB_Salidas[Mês],A8,TB_Salidas[Valor de Venta])</f>
        <v>1405.5</v>
      </c>
      <c r="D8" s="106">
        <f>SUMIF(TB_Entradas[Mes],A8,TB_Entradas[Valor de Compra])</f>
        <v>892.5</v>
      </c>
    </row>
    <row r="9" spans="1:4" x14ac:dyDescent="0.25">
      <c r="A9" s="2">
        <v>8</v>
      </c>
      <c r="B9" s="107">
        <f t="shared" si="0"/>
        <v>214</v>
      </c>
      <c r="C9" s="106">
        <f>SUMIF(TB_Salidas[Mês],A9,TB_Salidas[Valor de Venta])</f>
        <v>1145.5</v>
      </c>
      <c r="D9" s="106">
        <f>SUMIF(TB_Entradas[Mes],A9,TB_Entradas[Valor de Compra])</f>
        <v>673.75</v>
      </c>
    </row>
    <row r="10" spans="1:4" x14ac:dyDescent="0.25">
      <c r="A10" s="2">
        <v>9</v>
      </c>
      <c r="B10" s="107">
        <f t="shared" si="0"/>
        <v>245</v>
      </c>
      <c r="C10" s="106">
        <f>SUMIF(TB_Salidas[Mês],A10,TB_Salidas[Valor de Venta])</f>
        <v>1042</v>
      </c>
      <c r="D10" s="106">
        <f>SUMIF(TB_Entradas[Mes],A10,TB_Entradas[Valor de Compra])</f>
        <v>690.25</v>
      </c>
    </row>
    <row r="11" spans="1:4" x14ac:dyDescent="0.25">
      <c r="A11" s="2">
        <v>10</v>
      </c>
      <c r="B11" s="107">
        <f t="shared" si="0"/>
        <v>275</v>
      </c>
      <c r="C11" s="106">
        <f>SUMIF(TB_Salidas[Mês],A11,TB_Salidas[Valor de Venta])</f>
        <v>785.5</v>
      </c>
      <c r="D11" s="106">
        <f>SUMIF(TB_Entradas[Mes],A11,TB_Entradas[Valor de Compra])</f>
        <v>537</v>
      </c>
    </row>
    <row r="12" spans="1:4" x14ac:dyDescent="0.25">
      <c r="A12" s="2">
        <v>11</v>
      </c>
      <c r="B12" s="107">
        <f t="shared" si="0"/>
        <v>306</v>
      </c>
      <c r="C12" s="106">
        <f>SUMIF(TB_Salidas[Mês],A12,TB_Salidas[Valor de Venta])</f>
        <v>568</v>
      </c>
      <c r="D12" s="106">
        <f>SUMIF(TB_Entradas[Mes],A12,TB_Entradas[Valor de Compra])</f>
        <v>435</v>
      </c>
    </row>
    <row r="13" spans="1:4" x14ac:dyDescent="0.25">
      <c r="A13" s="2">
        <v>12</v>
      </c>
      <c r="B13" s="107">
        <f t="shared" si="0"/>
        <v>336</v>
      </c>
      <c r="C13" s="106">
        <f>SUMIF(TB_Salidas[Mês],A13,TB_Salidas[Valor de Venta])</f>
        <v>820</v>
      </c>
      <c r="D13" s="106">
        <f>SUMIF(TB_Entradas[Mes],A13,TB_Entradas[Valor de Compra])</f>
        <v>652.5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40" zoomScaleNormal="140" workbookViewId="0">
      <selection activeCell="C11" sqref="C11"/>
    </sheetView>
  </sheetViews>
  <sheetFormatPr baseColWidth="10" defaultColWidth="9.140625" defaultRowHeight="15" x14ac:dyDescent="0.25"/>
  <cols>
    <col min="1" max="1" width="5.28515625" customWidth="1"/>
    <col min="2" max="2" width="19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5" customFormat="1" ht="60" customHeight="1" x14ac:dyDescent="0.25">
      <c r="E1" s="6" t="s">
        <v>41</v>
      </c>
      <c r="F1" s="7"/>
    </row>
    <row r="2" spans="2:8" s="8" customFormat="1" ht="6" customHeight="1" x14ac:dyDescent="0.25">
      <c r="F2" s="9"/>
    </row>
    <row r="5" spans="2:8" ht="15.75" thickBot="1" x14ac:dyDescent="0.3">
      <c r="B5" s="31" t="s">
        <v>42</v>
      </c>
      <c r="C5" s="31" t="s">
        <v>43</v>
      </c>
      <c r="D5" s="31" t="s">
        <v>44</v>
      </c>
      <c r="E5" s="31" t="s">
        <v>45</v>
      </c>
    </row>
    <row r="6" spans="2:8" x14ac:dyDescent="0.25">
      <c r="B6" s="12" t="s">
        <v>0</v>
      </c>
      <c r="C6" s="11" t="s">
        <v>46</v>
      </c>
      <c r="D6" s="11" t="s">
        <v>47</v>
      </c>
      <c r="E6" s="13" t="s">
        <v>48</v>
      </c>
    </row>
    <row r="7" spans="2:8" x14ac:dyDescent="0.25">
      <c r="B7" s="14" t="s">
        <v>1</v>
      </c>
      <c r="C7" s="10" t="s">
        <v>49</v>
      </c>
      <c r="D7" s="10" t="s">
        <v>50</v>
      </c>
      <c r="E7" s="15" t="s">
        <v>51</v>
      </c>
    </row>
    <row r="8" spans="2:8" x14ac:dyDescent="0.25">
      <c r="B8" s="14" t="s">
        <v>52</v>
      </c>
      <c r="C8" s="10" t="s">
        <v>53</v>
      </c>
      <c r="D8" s="10" t="s">
        <v>54</v>
      </c>
      <c r="E8" s="15" t="s">
        <v>55</v>
      </c>
      <c r="H8" t="s">
        <v>56</v>
      </c>
    </row>
    <row r="9" spans="2:8" x14ac:dyDescent="0.25">
      <c r="B9" s="32" t="s">
        <v>4</v>
      </c>
      <c r="C9" s="33" t="s">
        <v>57</v>
      </c>
      <c r="D9" s="33" t="s">
        <v>58</v>
      </c>
      <c r="E9" s="34" t="s">
        <v>59</v>
      </c>
    </row>
  </sheetData>
  <dataValidations count="1">
    <dataValidation type="custom" allowBlank="1" showInputMessage="1" showErrorMessage="1" sqref="B6:B9" xr:uid="{D826B211-7656-4B3E-9990-D109049AEF27}">
      <formula1>COUNTIF(Lista_Proveedores,B6)&lt;=1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</hyperlinks>
  <pageMargins left="0.511811024" right="0.511811024" top="0.78740157499999996" bottom="0.78740157499999996" header="0.31496062000000002" footer="0.31496062000000002"/>
  <drawing r:id="rId4"/>
  <tableParts count="1"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H59"/>
  <sheetViews>
    <sheetView showGridLines="0" zoomScale="130" zoomScaleNormal="130" workbookViewId="0">
      <selection activeCell="C9" sqref="C9"/>
    </sheetView>
  </sheetViews>
  <sheetFormatPr baseColWidth="10" defaultColWidth="9.140625" defaultRowHeight="15" x14ac:dyDescent="0.25"/>
  <cols>
    <col min="1" max="1" width="5.28515625" customWidth="1"/>
    <col min="2" max="2" width="15.85546875" style="2" customWidth="1"/>
    <col min="3" max="3" width="9.42578125" style="2" bestFit="1" customWidth="1"/>
    <col min="4" max="4" width="20.5703125" customWidth="1"/>
    <col min="5" max="5" width="21.140625" style="2" customWidth="1"/>
    <col min="6" max="6" width="23.85546875" customWidth="1"/>
    <col min="7" max="7" width="21.140625" customWidth="1"/>
  </cols>
  <sheetData>
    <row r="1" spans="2:8" s="5" customFormat="1" ht="60" customHeight="1" x14ac:dyDescent="0.25">
      <c r="E1" s="6" t="s">
        <v>60</v>
      </c>
      <c r="F1" s="7"/>
    </row>
    <row r="2" spans="2:8" s="8" customFormat="1" ht="6" customHeight="1" x14ac:dyDescent="0.25">
      <c r="F2" s="9"/>
    </row>
    <row r="4" spans="2:8" x14ac:dyDescent="0.25">
      <c r="B4"/>
    </row>
    <row r="5" spans="2:8" s="4" customFormat="1" x14ac:dyDescent="0.25">
      <c r="B5" s="31" t="s">
        <v>61</v>
      </c>
      <c r="C5" s="31" t="s">
        <v>107</v>
      </c>
      <c r="D5" s="31" t="s">
        <v>2</v>
      </c>
      <c r="E5" s="31" t="s">
        <v>3</v>
      </c>
      <c r="F5" s="31" t="s">
        <v>62</v>
      </c>
      <c r="G5" s="31" t="s">
        <v>36</v>
      </c>
      <c r="H5" s="31" t="s">
        <v>67</v>
      </c>
    </row>
    <row r="6" spans="2:8" ht="18" x14ac:dyDescent="0.35">
      <c r="B6" s="84">
        <v>44566</v>
      </c>
      <c r="C6" s="37">
        <f>MONTH(TB_Entradas[[#This Row],[Fecha]])</f>
        <v>1</v>
      </c>
      <c r="D6" s="36" t="s">
        <v>5</v>
      </c>
      <c r="E6" s="37" t="s">
        <v>0</v>
      </c>
      <c r="F6" s="38">
        <v>80</v>
      </c>
      <c r="G6" s="39">
        <f>_xlfn.XLOOKUP(TB_Entradas[[#This Row],[Producto]],TB_Producto[Producto],TB_Producto[Costo Unitario],"Producto Incorrecto")</f>
        <v>3</v>
      </c>
      <c r="H6" s="39">
        <f>IFERROR(TB_Entradas[[#This Row],[Cantidad Comprada]]*TB_Entradas[[#This Row],[Costo Unitario]],"Producto Incorrecto")</f>
        <v>240</v>
      </c>
    </row>
    <row r="7" spans="2:8" ht="18" x14ac:dyDescent="0.35">
      <c r="B7" s="84">
        <v>44566</v>
      </c>
      <c r="C7" s="37">
        <f>MONTH(TB_Entradas[[#This Row],[Fecha]])</f>
        <v>1</v>
      </c>
      <c r="D7" s="36" t="s">
        <v>20</v>
      </c>
      <c r="E7" s="37" t="s">
        <v>4</v>
      </c>
      <c r="F7" s="38">
        <v>80</v>
      </c>
      <c r="G7" s="39">
        <f>_xlfn.XLOOKUP(TB_Entradas[[#This Row],[Producto]],TB_Producto[Producto],TB_Producto[Costo Unitario],"Producto Incorrecto")</f>
        <v>1.5</v>
      </c>
      <c r="H7" s="39">
        <f>IFERROR(TB_Entradas[[#This Row],[Cantidad Comprada]]*TB_Entradas[[#This Row],[Costo Unitario]],"Producto Incorrecto")</f>
        <v>120</v>
      </c>
    </row>
    <row r="8" spans="2:8" ht="18" x14ac:dyDescent="0.35">
      <c r="B8" s="84">
        <v>44576</v>
      </c>
      <c r="C8" s="37">
        <f>MONTH(TB_Entradas[[#This Row],[Fecha]])</f>
        <v>1</v>
      </c>
      <c r="D8" s="36" t="s">
        <v>18</v>
      </c>
      <c r="E8" s="37" t="s">
        <v>0</v>
      </c>
      <c r="F8" s="38">
        <v>75</v>
      </c>
      <c r="G8" s="39">
        <f>_xlfn.XLOOKUP(TB_Entradas[[#This Row],[Producto]],TB_Producto[Producto],TB_Producto[Costo Unitario],"Producto Incorrecto")</f>
        <v>4.5</v>
      </c>
      <c r="H8" s="39">
        <f>IFERROR(TB_Entradas[[#This Row],[Cantidad Comprada]]*TB_Entradas[[#This Row],[Costo Unitario]],"Producto Incorrecto")</f>
        <v>337.5</v>
      </c>
    </row>
    <row r="9" spans="2:8" ht="18" x14ac:dyDescent="0.35">
      <c r="B9" s="84">
        <v>44578</v>
      </c>
      <c r="C9" s="37">
        <f>MONTH(TB_Entradas[[#This Row],[Fecha]])</f>
        <v>1</v>
      </c>
      <c r="D9" s="36" t="s">
        <v>32</v>
      </c>
      <c r="E9" s="37" t="s">
        <v>4</v>
      </c>
      <c r="F9" s="38">
        <v>80</v>
      </c>
      <c r="G9" s="39">
        <f>_xlfn.XLOOKUP(TB_Entradas[[#This Row],[Producto]],TB_Producto[Producto],TB_Producto[Costo Unitario],"Producto Incorrecto")</f>
        <v>2.25</v>
      </c>
      <c r="H9" s="39">
        <f>IFERROR(TB_Entradas[[#This Row],[Cantidad Comprada]]*TB_Entradas[[#This Row],[Costo Unitario]],"Producto Incorrecto")</f>
        <v>180</v>
      </c>
    </row>
    <row r="10" spans="2:8" ht="18" x14ac:dyDescent="0.35">
      <c r="B10" s="84">
        <v>44593</v>
      </c>
      <c r="C10" s="37">
        <f>MONTH(TB_Entradas[[#This Row],[Fecha]])</f>
        <v>2</v>
      </c>
      <c r="D10" s="36" t="s">
        <v>32</v>
      </c>
      <c r="E10" s="37" t="s">
        <v>4</v>
      </c>
      <c r="F10" s="38">
        <v>65</v>
      </c>
      <c r="G10" s="39">
        <f>_xlfn.XLOOKUP(TB_Entradas[[#This Row],[Producto]],TB_Producto[Producto],TB_Producto[Costo Unitario],"Producto Incorrecto")</f>
        <v>2.25</v>
      </c>
      <c r="H10" s="39">
        <f>IFERROR(TB_Entradas[[#This Row],[Cantidad Comprada]]*TB_Entradas[[#This Row],[Costo Unitario]],"Producto Incorrecto")</f>
        <v>146.25</v>
      </c>
    </row>
    <row r="11" spans="2:8" ht="18" x14ac:dyDescent="0.35">
      <c r="B11" s="84">
        <v>44594</v>
      </c>
      <c r="C11" s="37">
        <f>MONTH(TB_Entradas[[#This Row],[Fecha]])</f>
        <v>2</v>
      </c>
      <c r="D11" s="36" t="s">
        <v>18</v>
      </c>
      <c r="E11" s="37" t="s">
        <v>0</v>
      </c>
      <c r="F11" s="38">
        <v>60</v>
      </c>
      <c r="G11" s="39">
        <f>_xlfn.XLOOKUP(TB_Entradas[[#This Row],[Producto]],TB_Producto[Producto],TB_Producto[Costo Unitario],"Producto Incorrecto")</f>
        <v>4.5</v>
      </c>
      <c r="H11" s="39">
        <f>IFERROR(TB_Entradas[[#This Row],[Cantidad Comprada]]*TB_Entradas[[#This Row],[Costo Unitario]],"Producto Incorrecto")</f>
        <v>270</v>
      </c>
    </row>
    <row r="12" spans="2:8" ht="18" x14ac:dyDescent="0.35">
      <c r="B12" s="84">
        <v>44598</v>
      </c>
      <c r="C12" s="37">
        <f>MONTH(TB_Entradas[[#This Row],[Fecha]])</f>
        <v>2</v>
      </c>
      <c r="D12" s="36" t="s">
        <v>5</v>
      </c>
      <c r="E12" s="37" t="s">
        <v>0</v>
      </c>
      <c r="F12" s="38">
        <v>105</v>
      </c>
      <c r="G12" s="39">
        <f>_xlfn.XLOOKUP(TB_Entradas[[#This Row],[Producto]],TB_Producto[Producto],TB_Producto[Costo Unitario],"Producto Incorrecto")</f>
        <v>3</v>
      </c>
      <c r="H12" s="39">
        <f>IFERROR(TB_Entradas[[#This Row],[Cantidad Comprada]]*TB_Entradas[[#This Row],[Costo Unitario]],"Producto Incorrecto")</f>
        <v>315</v>
      </c>
    </row>
    <row r="13" spans="2:8" ht="18" x14ac:dyDescent="0.35">
      <c r="B13" s="84">
        <v>44602</v>
      </c>
      <c r="C13" s="37">
        <f>MONTH(TB_Entradas[[#This Row],[Fecha]])</f>
        <v>2</v>
      </c>
      <c r="D13" s="36" t="s">
        <v>29</v>
      </c>
      <c r="E13" s="37" t="s">
        <v>52</v>
      </c>
      <c r="F13" s="38">
        <v>35</v>
      </c>
      <c r="G13" s="39">
        <f>_xlfn.XLOOKUP(TB_Entradas[[#This Row],[Producto]],TB_Producto[Producto],TB_Producto[Costo Unitario],"Producto Incorrecto")</f>
        <v>1.25</v>
      </c>
      <c r="H13" s="39">
        <f>IFERROR(TB_Entradas[[#This Row],[Cantidad Comprada]]*TB_Entradas[[#This Row],[Costo Unitario]],"Producto Incorrecto")</f>
        <v>43.75</v>
      </c>
    </row>
    <row r="14" spans="2:8" ht="18" x14ac:dyDescent="0.35">
      <c r="B14" s="84">
        <v>44612</v>
      </c>
      <c r="C14" s="37">
        <f>MONTH(TB_Entradas[[#This Row],[Fecha]])</f>
        <v>2</v>
      </c>
      <c r="D14" s="36" t="s">
        <v>20</v>
      </c>
      <c r="E14" s="37" t="s">
        <v>4</v>
      </c>
      <c r="F14" s="38">
        <v>80</v>
      </c>
      <c r="G14" s="39">
        <f>_xlfn.XLOOKUP(TB_Entradas[[#This Row],[Producto]],TB_Producto[Producto],TB_Producto[Costo Unitario],"Producto Incorrecto")</f>
        <v>1.5</v>
      </c>
      <c r="H14" s="39">
        <f>IFERROR(TB_Entradas[[#This Row],[Cantidad Comprada]]*TB_Entradas[[#This Row],[Costo Unitario]],"Producto Incorrecto")</f>
        <v>120</v>
      </c>
    </row>
    <row r="15" spans="2:8" ht="18" x14ac:dyDescent="0.35">
      <c r="B15" s="84">
        <v>44625</v>
      </c>
      <c r="C15" s="37">
        <f>MONTH(TB_Entradas[[#This Row],[Fecha]])</f>
        <v>3</v>
      </c>
      <c r="D15" s="36" t="s">
        <v>27</v>
      </c>
      <c r="E15" s="37" t="s">
        <v>52</v>
      </c>
      <c r="F15" s="38">
        <v>230</v>
      </c>
      <c r="G15" s="39">
        <f>_xlfn.XLOOKUP(TB_Entradas[[#This Row],[Producto]],TB_Producto[Producto],TB_Producto[Costo Unitario],"Producto Incorrecto")</f>
        <v>0.5</v>
      </c>
      <c r="H15" s="39">
        <f>IFERROR(TB_Entradas[[#This Row],[Cantidad Comprada]]*TB_Entradas[[#This Row],[Costo Unitario]],"Producto Incorrecto")</f>
        <v>115</v>
      </c>
    </row>
    <row r="16" spans="2:8" ht="18" x14ac:dyDescent="0.35">
      <c r="B16" s="84">
        <v>44630</v>
      </c>
      <c r="C16" s="37">
        <f>MONTH(TB_Entradas[[#This Row],[Fecha]])</f>
        <v>3</v>
      </c>
      <c r="D16" s="36" t="s">
        <v>32</v>
      </c>
      <c r="E16" s="37" t="s">
        <v>4</v>
      </c>
      <c r="F16" s="38">
        <v>35</v>
      </c>
      <c r="G16" s="39">
        <f>_xlfn.XLOOKUP(TB_Entradas[[#This Row],[Producto]],TB_Producto[Producto],TB_Producto[Costo Unitario],"Producto Incorrecto")</f>
        <v>2.25</v>
      </c>
      <c r="H16" s="39">
        <f>IFERROR(TB_Entradas[[#This Row],[Cantidad Comprada]]*TB_Entradas[[#This Row],[Costo Unitario]],"Producto Incorrecto")</f>
        <v>78.75</v>
      </c>
    </row>
    <row r="17" spans="2:8" ht="18" x14ac:dyDescent="0.35">
      <c r="B17" s="84">
        <v>44635</v>
      </c>
      <c r="C17" s="37">
        <f>MONTH(TB_Entradas[[#This Row],[Fecha]])</f>
        <v>3</v>
      </c>
      <c r="D17" s="36" t="s">
        <v>5</v>
      </c>
      <c r="E17" s="37" t="s">
        <v>0</v>
      </c>
      <c r="F17" s="38">
        <v>125</v>
      </c>
      <c r="G17" s="39">
        <f>_xlfn.XLOOKUP(TB_Entradas[[#This Row],[Producto]],TB_Producto[Producto],TB_Producto[Costo Unitario],"Producto Incorrecto")</f>
        <v>3</v>
      </c>
      <c r="H17" s="39">
        <f>IFERROR(TB_Entradas[[#This Row],[Cantidad Comprada]]*TB_Entradas[[#This Row],[Costo Unitario]],"Producto Incorrecto")</f>
        <v>375</v>
      </c>
    </row>
    <row r="18" spans="2:8" ht="18" x14ac:dyDescent="0.35">
      <c r="B18" s="84">
        <v>44637</v>
      </c>
      <c r="C18" s="37">
        <f>MONTH(TB_Entradas[[#This Row],[Fecha]])</f>
        <v>3</v>
      </c>
      <c r="D18" s="36" t="s">
        <v>26</v>
      </c>
      <c r="E18" s="37" t="s">
        <v>0</v>
      </c>
      <c r="F18" s="38">
        <v>85</v>
      </c>
      <c r="G18" s="39">
        <f>_xlfn.XLOOKUP(TB_Entradas[[#This Row],[Producto]],TB_Producto[Producto],TB_Producto[Costo Unitario],"Producto Incorrecto")</f>
        <v>1.5</v>
      </c>
      <c r="H18" s="39">
        <f>IFERROR(TB_Entradas[[#This Row],[Cantidad Comprada]]*TB_Entradas[[#This Row],[Costo Unitario]],"Producto Incorrecto")</f>
        <v>127.5</v>
      </c>
    </row>
    <row r="19" spans="2:8" ht="18" x14ac:dyDescent="0.35">
      <c r="B19" s="84">
        <v>44644</v>
      </c>
      <c r="C19" s="37">
        <f>MONTH(TB_Entradas[[#This Row],[Fecha]])</f>
        <v>3</v>
      </c>
      <c r="D19" s="36" t="s">
        <v>18</v>
      </c>
      <c r="E19" s="37" t="s">
        <v>0</v>
      </c>
      <c r="F19" s="38">
        <v>25</v>
      </c>
      <c r="G19" s="39">
        <f>_xlfn.XLOOKUP(TB_Entradas[[#This Row],[Producto]],TB_Producto[Producto],TB_Producto[Costo Unitario],"Producto Incorrecto")</f>
        <v>4.5</v>
      </c>
      <c r="H19" s="39">
        <f>IFERROR(TB_Entradas[[#This Row],[Cantidad Comprada]]*TB_Entradas[[#This Row],[Costo Unitario]],"Producto Incorrecto")</f>
        <v>112.5</v>
      </c>
    </row>
    <row r="20" spans="2:8" ht="18" x14ac:dyDescent="0.35">
      <c r="B20" s="84">
        <v>44647</v>
      </c>
      <c r="C20" s="37">
        <f>MONTH(TB_Entradas[[#This Row],[Fecha]])</f>
        <v>3</v>
      </c>
      <c r="D20" s="36" t="s">
        <v>20</v>
      </c>
      <c r="E20" s="37" t="s">
        <v>4</v>
      </c>
      <c r="F20" s="38">
        <v>30</v>
      </c>
      <c r="G20" s="39">
        <f>_xlfn.XLOOKUP(TB_Entradas[[#This Row],[Producto]],TB_Producto[Producto],TB_Producto[Costo Unitario],"Producto Incorrecto")</f>
        <v>1.5</v>
      </c>
      <c r="H20" s="39">
        <f>IFERROR(TB_Entradas[[#This Row],[Cantidad Comprada]]*TB_Entradas[[#This Row],[Costo Unitario]],"Producto Incorrecto")</f>
        <v>45</v>
      </c>
    </row>
    <row r="21" spans="2:8" ht="18" x14ac:dyDescent="0.35">
      <c r="B21" s="84">
        <v>44655</v>
      </c>
      <c r="C21" s="37">
        <f>MONTH(TB_Entradas[[#This Row],[Fecha]])</f>
        <v>4</v>
      </c>
      <c r="D21" s="36" t="s">
        <v>32</v>
      </c>
      <c r="E21" s="37" t="s">
        <v>4</v>
      </c>
      <c r="F21" s="38">
        <v>65</v>
      </c>
      <c r="G21" s="39">
        <f>_xlfn.XLOOKUP(TB_Entradas[[#This Row],[Producto]],TB_Producto[Producto],TB_Producto[Costo Unitario],"Producto Incorrecto")</f>
        <v>2.25</v>
      </c>
      <c r="H21" s="39">
        <f>IFERROR(TB_Entradas[[#This Row],[Cantidad Comprada]]*TB_Entradas[[#This Row],[Costo Unitario]],"Producto Incorrecto")</f>
        <v>146.25</v>
      </c>
    </row>
    <row r="22" spans="2:8" ht="18" x14ac:dyDescent="0.35">
      <c r="B22" s="84">
        <v>44661</v>
      </c>
      <c r="C22" s="37">
        <f>MONTH(TB_Entradas[[#This Row],[Fecha]])</f>
        <v>4</v>
      </c>
      <c r="D22" s="36" t="s">
        <v>5</v>
      </c>
      <c r="E22" s="37" t="s">
        <v>0</v>
      </c>
      <c r="F22" s="38">
        <v>100</v>
      </c>
      <c r="G22" s="39">
        <f>_xlfn.XLOOKUP(TB_Entradas[[#This Row],[Producto]],TB_Producto[Producto],TB_Producto[Costo Unitario],"Producto Incorrecto")</f>
        <v>3</v>
      </c>
      <c r="H22" s="39">
        <f>IFERROR(TB_Entradas[[#This Row],[Cantidad Comprada]]*TB_Entradas[[#This Row],[Costo Unitario]],"Producto Incorrecto")</f>
        <v>300</v>
      </c>
    </row>
    <row r="23" spans="2:8" ht="18" x14ac:dyDescent="0.35">
      <c r="B23" s="84">
        <v>44672</v>
      </c>
      <c r="C23" s="37">
        <f>MONTH(TB_Entradas[[#This Row],[Fecha]])</f>
        <v>4</v>
      </c>
      <c r="D23" s="36" t="s">
        <v>18</v>
      </c>
      <c r="E23" s="37" t="s">
        <v>0</v>
      </c>
      <c r="F23" s="38">
        <v>35</v>
      </c>
      <c r="G23" s="39">
        <f>_xlfn.XLOOKUP(TB_Entradas[[#This Row],[Producto]],TB_Producto[Producto],TB_Producto[Costo Unitario],"Producto Incorrecto")</f>
        <v>4.5</v>
      </c>
      <c r="H23" s="39">
        <f>IFERROR(TB_Entradas[[#This Row],[Cantidad Comprada]]*TB_Entradas[[#This Row],[Costo Unitario]],"Producto Incorrecto")</f>
        <v>157.5</v>
      </c>
    </row>
    <row r="24" spans="2:8" ht="18" x14ac:dyDescent="0.35">
      <c r="B24" s="84">
        <v>44681</v>
      </c>
      <c r="C24" s="37">
        <f>MONTH(TB_Entradas[[#This Row],[Fecha]])</f>
        <v>4</v>
      </c>
      <c r="D24" s="36" t="s">
        <v>20</v>
      </c>
      <c r="E24" s="37" t="s">
        <v>4</v>
      </c>
      <c r="F24" s="38">
        <v>35</v>
      </c>
      <c r="G24" s="39">
        <f>_xlfn.XLOOKUP(TB_Entradas[[#This Row],[Producto]],TB_Producto[Producto],TB_Producto[Costo Unitario],"Producto Incorrecto")</f>
        <v>1.5</v>
      </c>
      <c r="H24" s="39">
        <f>IFERROR(TB_Entradas[[#This Row],[Cantidad Comprada]]*TB_Entradas[[#This Row],[Costo Unitario]],"Producto Incorrecto")</f>
        <v>52.5</v>
      </c>
    </row>
    <row r="25" spans="2:8" ht="18" x14ac:dyDescent="0.35">
      <c r="B25" s="84">
        <v>44686</v>
      </c>
      <c r="C25" s="37">
        <f>MONTH(TB_Entradas[[#This Row],[Fecha]])</f>
        <v>5</v>
      </c>
      <c r="D25" s="36" t="s">
        <v>31</v>
      </c>
      <c r="E25" s="37" t="s">
        <v>1</v>
      </c>
      <c r="F25" s="38">
        <v>42</v>
      </c>
      <c r="G25" s="39">
        <f>_xlfn.XLOOKUP(TB_Entradas[[#This Row],[Producto]],TB_Producto[Producto],TB_Producto[Costo Unitario],"Producto Incorrecto")</f>
        <v>2.5</v>
      </c>
      <c r="H25" s="39">
        <f>IFERROR(TB_Entradas[[#This Row],[Cantidad Comprada]]*TB_Entradas[[#This Row],[Costo Unitario]],"Producto Incorrecto")</f>
        <v>105</v>
      </c>
    </row>
    <row r="26" spans="2:8" ht="18" x14ac:dyDescent="0.35">
      <c r="B26" s="84">
        <v>44687</v>
      </c>
      <c r="C26" s="37">
        <f>MONTH(TB_Entradas[[#This Row],[Fecha]])</f>
        <v>5</v>
      </c>
      <c r="D26" s="36" t="s">
        <v>20</v>
      </c>
      <c r="E26" s="37" t="s">
        <v>4</v>
      </c>
      <c r="F26" s="38">
        <v>34</v>
      </c>
      <c r="G26" s="39">
        <f>_xlfn.XLOOKUP(TB_Entradas[[#This Row],[Producto]],TB_Producto[Producto],TB_Producto[Costo Unitario],"Producto Incorrecto")</f>
        <v>1.5</v>
      </c>
      <c r="H26" s="39">
        <f>IFERROR(TB_Entradas[[#This Row],[Cantidad Comprada]]*TB_Entradas[[#This Row],[Costo Unitario]],"Producto Incorrecto")</f>
        <v>51</v>
      </c>
    </row>
    <row r="27" spans="2:8" ht="18" x14ac:dyDescent="0.35">
      <c r="B27" s="84">
        <v>44691</v>
      </c>
      <c r="C27" s="37">
        <f>MONTH(TB_Entradas[[#This Row],[Fecha]])</f>
        <v>5</v>
      </c>
      <c r="D27" s="36" t="s">
        <v>32</v>
      </c>
      <c r="E27" s="37" t="s">
        <v>4</v>
      </c>
      <c r="F27" s="38">
        <v>20</v>
      </c>
      <c r="G27" s="39">
        <f>_xlfn.XLOOKUP(TB_Entradas[[#This Row],[Producto]],TB_Producto[Producto],TB_Producto[Costo Unitario],"Producto Incorrecto")</f>
        <v>2.25</v>
      </c>
      <c r="H27" s="39">
        <f>IFERROR(TB_Entradas[[#This Row],[Cantidad Comprada]]*TB_Entradas[[#This Row],[Costo Unitario]],"Producto Incorrecto")</f>
        <v>45</v>
      </c>
    </row>
    <row r="28" spans="2:8" ht="18" x14ac:dyDescent="0.35">
      <c r="B28" s="84">
        <v>44691</v>
      </c>
      <c r="C28" s="37">
        <f>MONTH(TB_Entradas[[#This Row],[Fecha]])</f>
        <v>5</v>
      </c>
      <c r="D28" s="36" t="s">
        <v>5</v>
      </c>
      <c r="E28" s="37" t="s">
        <v>0</v>
      </c>
      <c r="F28" s="38">
        <v>75</v>
      </c>
      <c r="G28" s="39">
        <f>_xlfn.XLOOKUP(TB_Entradas[[#This Row],[Producto]],TB_Producto[Producto],TB_Producto[Costo Unitario],"Producto Incorrecto")</f>
        <v>3</v>
      </c>
      <c r="H28" s="39">
        <f>IFERROR(TB_Entradas[[#This Row],[Cantidad Comprada]]*TB_Entradas[[#This Row],[Costo Unitario]],"Producto Incorrecto")</f>
        <v>225</v>
      </c>
    </row>
    <row r="29" spans="2:8" ht="18" x14ac:dyDescent="0.35">
      <c r="B29" s="84">
        <v>44698</v>
      </c>
      <c r="C29" s="37">
        <f>MONTH(TB_Entradas[[#This Row],[Fecha]])</f>
        <v>5</v>
      </c>
      <c r="D29" s="36" t="s">
        <v>18</v>
      </c>
      <c r="E29" s="37" t="s">
        <v>0</v>
      </c>
      <c r="F29" s="38">
        <v>25</v>
      </c>
      <c r="G29" s="39">
        <f>_xlfn.XLOOKUP(TB_Entradas[[#This Row],[Producto]],TB_Producto[Producto],TB_Producto[Costo Unitario],"Producto Incorrecto")</f>
        <v>4.5</v>
      </c>
      <c r="H29" s="39">
        <f>IFERROR(TB_Entradas[[#This Row],[Cantidad Comprada]]*TB_Entradas[[#This Row],[Costo Unitario]],"Producto Incorrecto")</f>
        <v>112.5</v>
      </c>
    </row>
    <row r="30" spans="2:8" ht="18" x14ac:dyDescent="0.35">
      <c r="B30" s="84">
        <v>44714</v>
      </c>
      <c r="C30" s="37">
        <f>MONTH(TB_Entradas[[#This Row],[Fecha]])</f>
        <v>6</v>
      </c>
      <c r="D30" s="36" t="s">
        <v>5</v>
      </c>
      <c r="E30" s="37" t="s">
        <v>0</v>
      </c>
      <c r="F30" s="38">
        <v>100</v>
      </c>
      <c r="G30" s="39">
        <f>_xlfn.XLOOKUP(TB_Entradas[[#This Row],[Producto]],TB_Producto[Producto],TB_Producto[Costo Unitario],"Producto Incorrecto")</f>
        <v>3</v>
      </c>
      <c r="H30" s="39">
        <f>IFERROR(TB_Entradas[[#This Row],[Cantidad Comprada]]*TB_Entradas[[#This Row],[Costo Unitario]],"Producto Incorrecto")</f>
        <v>300</v>
      </c>
    </row>
    <row r="31" spans="2:8" ht="18" x14ac:dyDescent="0.35">
      <c r="B31" s="84">
        <v>44719</v>
      </c>
      <c r="C31" s="37">
        <f>MONTH(TB_Entradas[[#This Row],[Fecha]])</f>
        <v>6</v>
      </c>
      <c r="D31" s="36" t="s">
        <v>18</v>
      </c>
      <c r="E31" s="37" t="s">
        <v>0</v>
      </c>
      <c r="F31" s="38">
        <v>85</v>
      </c>
      <c r="G31" s="39">
        <f>_xlfn.XLOOKUP(TB_Entradas[[#This Row],[Producto]],TB_Producto[Producto],TB_Producto[Costo Unitario],"Producto Incorrecto")</f>
        <v>4.5</v>
      </c>
      <c r="H31" s="39">
        <f>IFERROR(TB_Entradas[[#This Row],[Cantidad Comprada]]*TB_Entradas[[#This Row],[Costo Unitario]],"Producto Incorrecto")</f>
        <v>382.5</v>
      </c>
    </row>
    <row r="32" spans="2:8" ht="18" x14ac:dyDescent="0.35">
      <c r="B32" s="84">
        <v>44727</v>
      </c>
      <c r="C32" s="37">
        <f>MONTH(TB_Entradas[[#This Row],[Fecha]])</f>
        <v>6</v>
      </c>
      <c r="D32" s="36" t="s">
        <v>32</v>
      </c>
      <c r="E32" s="37" t="s">
        <v>4</v>
      </c>
      <c r="F32" s="43">
        <v>60</v>
      </c>
      <c r="G32" s="39">
        <f>_xlfn.XLOOKUP(TB_Entradas[[#This Row],[Producto]],TB_Producto[Producto],TB_Producto[Costo Unitario],"Producto Incorrecto")</f>
        <v>2.25</v>
      </c>
      <c r="H32" s="39">
        <f>IFERROR(TB_Entradas[[#This Row],[Cantidad Comprada]]*TB_Entradas[[#This Row],[Costo Unitario]],"Producto Incorrecto")</f>
        <v>135</v>
      </c>
    </row>
    <row r="33" spans="2:8" ht="18" x14ac:dyDescent="0.35">
      <c r="B33" s="84">
        <v>44735</v>
      </c>
      <c r="C33" s="37">
        <f>MONTH(TB_Entradas[[#This Row],[Fecha]])</f>
        <v>6</v>
      </c>
      <c r="D33" s="36" t="s">
        <v>20</v>
      </c>
      <c r="E33" s="37" t="s">
        <v>4</v>
      </c>
      <c r="F33" s="43">
        <v>25</v>
      </c>
      <c r="G33" s="39">
        <f>_xlfn.XLOOKUP(TB_Entradas[[#This Row],[Producto]],TB_Producto[Producto],TB_Producto[Costo Unitario],"Producto Incorrecto")</f>
        <v>1.5</v>
      </c>
      <c r="H33" s="39">
        <f>IFERROR(TB_Entradas[[#This Row],[Cantidad Comprada]]*TB_Entradas[[#This Row],[Costo Unitario]],"Producto Incorrecto")</f>
        <v>37.5</v>
      </c>
    </row>
    <row r="34" spans="2:8" ht="18" x14ac:dyDescent="0.35">
      <c r="B34" s="84">
        <v>44743</v>
      </c>
      <c r="C34" s="37">
        <f>MONTH(TB_Entradas[[#This Row],[Fecha]])</f>
        <v>7</v>
      </c>
      <c r="D34" s="36" t="s">
        <v>5</v>
      </c>
      <c r="E34" s="37" t="s">
        <v>0</v>
      </c>
      <c r="F34" s="43">
        <v>100</v>
      </c>
      <c r="G34" s="39">
        <f>_xlfn.XLOOKUP(TB_Entradas[[#This Row],[Producto]],TB_Producto[Producto],TB_Producto[Costo Unitario],"Producto Incorrecto")</f>
        <v>3</v>
      </c>
      <c r="H34" s="39">
        <f>IFERROR(TB_Entradas[[#This Row],[Cantidad Comprada]]*TB_Entradas[[#This Row],[Costo Unitario]],"Producto Incorrecto")</f>
        <v>300</v>
      </c>
    </row>
    <row r="35" spans="2:8" ht="18" x14ac:dyDescent="0.35">
      <c r="B35" s="84">
        <v>44747</v>
      </c>
      <c r="C35" s="37">
        <f>MONTH(TB_Entradas[[#This Row],[Fecha]])</f>
        <v>7</v>
      </c>
      <c r="D35" s="36" t="s">
        <v>32</v>
      </c>
      <c r="E35" s="37" t="s">
        <v>4</v>
      </c>
      <c r="F35" s="43">
        <v>40</v>
      </c>
      <c r="G35" s="39">
        <f>_xlfn.XLOOKUP(TB_Entradas[[#This Row],[Producto]],TB_Producto[Producto],TB_Producto[Costo Unitario],"Producto Incorrecto")</f>
        <v>2.25</v>
      </c>
      <c r="H35" s="39">
        <f>IFERROR(TB_Entradas[[#This Row],[Cantidad Comprada]]*TB_Entradas[[#This Row],[Costo Unitario]],"Producto Incorrecto")</f>
        <v>90</v>
      </c>
    </row>
    <row r="36" spans="2:8" ht="18" x14ac:dyDescent="0.35">
      <c r="B36" s="84">
        <v>44749</v>
      </c>
      <c r="C36" s="37">
        <f>MONTH(TB_Entradas[[#This Row],[Fecha]])</f>
        <v>7</v>
      </c>
      <c r="D36" s="36" t="s">
        <v>18</v>
      </c>
      <c r="E36" s="37" t="s">
        <v>0</v>
      </c>
      <c r="F36" s="43">
        <v>105</v>
      </c>
      <c r="G36" s="39">
        <f>_xlfn.XLOOKUP(TB_Entradas[[#This Row],[Producto]],TB_Producto[Producto],TB_Producto[Costo Unitario],"Producto Incorrecto")</f>
        <v>4.5</v>
      </c>
      <c r="H36" s="39">
        <f>IFERROR(TB_Entradas[[#This Row],[Cantidad Comprada]]*TB_Entradas[[#This Row],[Costo Unitario]],"Producto Incorrecto")</f>
        <v>472.5</v>
      </c>
    </row>
    <row r="37" spans="2:8" ht="18" x14ac:dyDescent="0.35">
      <c r="B37" s="84">
        <v>44757</v>
      </c>
      <c r="C37" s="37">
        <f>MONTH(TB_Entradas[[#This Row],[Fecha]])</f>
        <v>7</v>
      </c>
      <c r="D37" s="36" t="s">
        <v>20</v>
      </c>
      <c r="E37" s="37" t="s">
        <v>4</v>
      </c>
      <c r="F37" s="43">
        <v>20</v>
      </c>
      <c r="G37" s="39">
        <f>_xlfn.XLOOKUP(TB_Entradas[[#This Row],[Producto]],TB_Producto[Producto],TB_Producto[Costo Unitario],"Producto Incorrecto")</f>
        <v>1.5</v>
      </c>
      <c r="H37" s="39">
        <f>IFERROR(TB_Entradas[[#This Row],[Cantidad Comprada]]*TB_Entradas[[#This Row],[Costo Unitario]],"Producto Incorrecto")</f>
        <v>30</v>
      </c>
    </row>
    <row r="38" spans="2:8" ht="18" x14ac:dyDescent="0.35">
      <c r="B38" s="84">
        <v>44778</v>
      </c>
      <c r="C38" s="37">
        <f>MONTH(TB_Entradas[[#This Row],[Fecha]])</f>
        <v>8</v>
      </c>
      <c r="D38" s="36" t="s">
        <v>18</v>
      </c>
      <c r="E38" s="37" t="s">
        <v>0</v>
      </c>
      <c r="F38" s="43">
        <v>25</v>
      </c>
      <c r="G38" s="39">
        <f>_xlfn.XLOOKUP(TB_Entradas[[#This Row],[Producto]],TB_Producto[Producto],TB_Producto[Costo Unitario],"Producto Incorrecto")</f>
        <v>4.5</v>
      </c>
      <c r="H38" s="39">
        <f>IFERROR(TB_Entradas[[#This Row],[Cantidad Comprada]]*TB_Entradas[[#This Row],[Costo Unitario]],"Producto Incorrecto")</f>
        <v>112.5</v>
      </c>
    </row>
    <row r="39" spans="2:8" ht="18" x14ac:dyDescent="0.35">
      <c r="B39" s="84">
        <v>44783</v>
      </c>
      <c r="C39" s="37">
        <f>MONTH(TB_Entradas[[#This Row],[Fecha]])</f>
        <v>8</v>
      </c>
      <c r="D39" s="36" t="s">
        <v>12</v>
      </c>
      <c r="E39" s="37" t="s">
        <v>0</v>
      </c>
      <c r="F39" s="43">
        <v>80</v>
      </c>
      <c r="G39" s="39">
        <f>_xlfn.XLOOKUP(TB_Entradas[[#This Row],[Producto]],TB_Producto[Producto],TB_Producto[Costo Unitario],"Producto Incorrecto")</f>
        <v>1.25</v>
      </c>
      <c r="H39" s="39">
        <f>IFERROR(TB_Entradas[[#This Row],[Cantidad Comprada]]*TB_Entradas[[#This Row],[Costo Unitario]],"Producto Incorrecto")</f>
        <v>100</v>
      </c>
    </row>
    <row r="40" spans="2:8" ht="18" x14ac:dyDescent="0.35">
      <c r="B40" s="84">
        <v>44791</v>
      </c>
      <c r="C40" s="37">
        <f>MONTH(TB_Entradas[[#This Row],[Fecha]])</f>
        <v>8</v>
      </c>
      <c r="D40" s="36" t="s">
        <v>32</v>
      </c>
      <c r="E40" s="37" t="s">
        <v>4</v>
      </c>
      <c r="F40" s="43">
        <v>25</v>
      </c>
      <c r="G40" s="39">
        <f>_xlfn.XLOOKUP(TB_Entradas[[#This Row],[Producto]],TB_Producto[Producto],TB_Producto[Costo Unitario],"Producto Incorrecto")</f>
        <v>2.25</v>
      </c>
      <c r="H40" s="39">
        <f>IFERROR(TB_Entradas[[#This Row],[Cantidad Comprada]]*TB_Entradas[[#This Row],[Costo Unitario]],"Producto Incorrecto")</f>
        <v>56.25</v>
      </c>
    </row>
    <row r="41" spans="2:8" ht="18" x14ac:dyDescent="0.35">
      <c r="B41" s="84">
        <v>44791</v>
      </c>
      <c r="C41" s="37">
        <f>MONTH(TB_Entradas[[#This Row],[Fecha]])</f>
        <v>8</v>
      </c>
      <c r="D41" s="36" t="s">
        <v>20</v>
      </c>
      <c r="E41" s="37" t="s">
        <v>4</v>
      </c>
      <c r="F41" s="43">
        <v>20</v>
      </c>
      <c r="G41" s="39">
        <f>_xlfn.XLOOKUP(TB_Entradas[[#This Row],[Producto]],TB_Producto[Producto],TB_Producto[Costo Unitario],"Producto Incorrecto")</f>
        <v>1.5</v>
      </c>
      <c r="H41" s="39">
        <f>IFERROR(TB_Entradas[[#This Row],[Cantidad Comprada]]*TB_Entradas[[#This Row],[Costo Unitario]],"Producto Incorrecto")</f>
        <v>30</v>
      </c>
    </row>
    <row r="42" spans="2:8" ht="18" x14ac:dyDescent="0.35">
      <c r="B42" s="84">
        <v>44804</v>
      </c>
      <c r="C42" s="37">
        <f>MONTH(TB_Entradas[[#This Row],[Fecha]])</f>
        <v>8</v>
      </c>
      <c r="D42" s="36" t="s">
        <v>5</v>
      </c>
      <c r="E42" s="37" t="s">
        <v>0</v>
      </c>
      <c r="F42" s="43">
        <v>125</v>
      </c>
      <c r="G42" s="39">
        <f>_xlfn.XLOOKUP(TB_Entradas[[#This Row],[Producto]],TB_Producto[Producto],TB_Producto[Costo Unitario],"Producto Incorrecto")</f>
        <v>3</v>
      </c>
      <c r="H42" s="39">
        <f>IFERROR(TB_Entradas[[#This Row],[Cantidad Comprada]]*TB_Entradas[[#This Row],[Costo Unitario]],"Producto Incorrecto")</f>
        <v>375</v>
      </c>
    </row>
    <row r="43" spans="2:8" ht="18" x14ac:dyDescent="0.35">
      <c r="B43" s="84">
        <v>44806</v>
      </c>
      <c r="C43" s="37">
        <f>MONTH(TB_Entradas[[#This Row],[Fecha]])</f>
        <v>9</v>
      </c>
      <c r="D43" s="36" t="s">
        <v>27</v>
      </c>
      <c r="E43" s="37" t="s">
        <v>52</v>
      </c>
      <c r="F43" s="43">
        <v>70</v>
      </c>
      <c r="G43" s="39">
        <f>_xlfn.XLOOKUP(TB_Entradas[[#This Row],[Producto]],TB_Producto[Producto],TB_Producto[Costo Unitario],"Producto Incorrecto")</f>
        <v>0.5</v>
      </c>
      <c r="H43" s="39">
        <f>IFERROR(TB_Entradas[[#This Row],[Cantidad Comprada]]*TB_Entradas[[#This Row],[Costo Unitario]],"Producto Incorrecto")</f>
        <v>35</v>
      </c>
    </row>
    <row r="44" spans="2:8" ht="18" x14ac:dyDescent="0.35">
      <c r="B44" s="84">
        <v>44811</v>
      </c>
      <c r="C44" s="37">
        <f>MONTH(TB_Entradas[[#This Row],[Fecha]])</f>
        <v>9</v>
      </c>
      <c r="D44" s="36" t="s">
        <v>18</v>
      </c>
      <c r="E44" s="37" t="s">
        <v>0</v>
      </c>
      <c r="F44" s="43">
        <v>22</v>
      </c>
      <c r="G44" s="39">
        <f>_xlfn.XLOOKUP(TB_Entradas[[#This Row],[Producto]],TB_Producto[Producto],TB_Producto[Costo Unitario],"Producto Incorrecto")</f>
        <v>4.5</v>
      </c>
      <c r="H44" s="39">
        <f>IFERROR(TB_Entradas[[#This Row],[Cantidad Comprada]]*TB_Entradas[[#This Row],[Costo Unitario]],"Producto Incorrecto")</f>
        <v>99</v>
      </c>
    </row>
    <row r="45" spans="2:8" ht="18" x14ac:dyDescent="0.35">
      <c r="B45" s="84">
        <v>44821</v>
      </c>
      <c r="C45" s="37">
        <f>MONTH(TB_Entradas[[#This Row],[Fecha]])</f>
        <v>9</v>
      </c>
      <c r="D45" s="36" t="s">
        <v>25</v>
      </c>
      <c r="E45" s="37" t="s">
        <v>1</v>
      </c>
      <c r="F45" s="43">
        <v>32</v>
      </c>
      <c r="G45" s="39">
        <f>_xlfn.XLOOKUP(TB_Entradas[[#This Row],[Producto]],TB_Producto[Producto],TB_Producto[Costo Unitario],"Producto Incorrecto")</f>
        <v>4</v>
      </c>
      <c r="H45" s="39">
        <f>IFERROR(TB_Entradas[[#This Row],[Cantidad Comprada]]*TB_Entradas[[#This Row],[Costo Unitario]],"Producto Incorrecto")</f>
        <v>128</v>
      </c>
    </row>
    <row r="46" spans="2:8" ht="18" x14ac:dyDescent="0.35">
      <c r="B46" s="84">
        <v>44823</v>
      </c>
      <c r="C46" s="37">
        <f>MONTH(TB_Entradas[[#This Row],[Fecha]])</f>
        <v>9</v>
      </c>
      <c r="D46" s="36" t="s">
        <v>32</v>
      </c>
      <c r="E46" s="37" t="s">
        <v>4</v>
      </c>
      <c r="F46" s="43">
        <v>15</v>
      </c>
      <c r="G46" s="39">
        <f>_xlfn.XLOOKUP(TB_Entradas[[#This Row],[Producto]],TB_Producto[Producto],TB_Producto[Costo Unitario],"Producto Incorrecto")</f>
        <v>2.25</v>
      </c>
      <c r="H46" s="39">
        <f>IFERROR(TB_Entradas[[#This Row],[Cantidad Comprada]]*TB_Entradas[[#This Row],[Costo Unitario]],"Producto Incorrecto")</f>
        <v>33.75</v>
      </c>
    </row>
    <row r="47" spans="2:8" ht="18" x14ac:dyDescent="0.35">
      <c r="B47" s="84">
        <v>44828</v>
      </c>
      <c r="C47" s="37">
        <f>MONTH(TB_Entradas[[#This Row],[Fecha]])</f>
        <v>9</v>
      </c>
      <c r="D47" s="36" t="s">
        <v>20</v>
      </c>
      <c r="E47" s="37" t="s">
        <v>4</v>
      </c>
      <c r="F47" s="43">
        <v>13</v>
      </c>
      <c r="G47" s="39">
        <f>_xlfn.XLOOKUP(TB_Entradas[[#This Row],[Producto]],TB_Producto[Producto],TB_Producto[Costo Unitario],"Producto Incorrecto")</f>
        <v>1.5</v>
      </c>
      <c r="H47" s="39">
        <f>IFERROR(TB_Entradas[[#This Row],[Cantidad Comprada]]*TB_Entradas[[#This Row],[Costo Unitario]],"Producto Incorrecto")</f>
        <v>19.5</v>
      </c>
    </row>
    <row r="48" spans="2:8" ht="18" x14ac:dyDescent="0.35">
      <c r="B48" s="84">
        <v>44834</v>
      </c>
      <c r="C48" s="37">
        <f>MONTH(TB_Entradas[[#This Row],[Fecha]])</f>
        <v>9</v>
      </c>
      <c r="D48" s="36" t="s">
        <v>5</v>
      </c>
      <c r="E48" s="37" t="s">
        <v>0</v>
      </c>
      <c r="F48" s="43">
        <v>125</v>
      </c>
      <c r="G48" s="39">
        <f>_xlfn.XLOOKUP(TB_Entradas[[#This Row],[Producto]],TB_Producto[Producto],TB_Producto[Costo Unitario],"Producto Incorrecto")</f>
        <v>3</v>
      </c>
      <c r="H48" s="39">
        <f>IFERROR(TB_Entradas[[#This Row],[Cantidad Comprada]]*TB_Entradas[[#This Row],[Costo Unitario]],"Producto Incorrecto")</f>
        <v>375</v>
      </c>
    </row>
    <row r="49" spans="2:8" ht="18" x14ac:dyDescent="0.35">
      <c r="B49" s="84">
        <v>44835</v>
      </c>
      <c r="C49" s="37">
        <f>MONTH(TB_Entradas[[#This Row],[Fecha]])</f>
        <v>10</v>
      </c>
      <c r="D49" s="36" t="s">
        <v>18</v>
      </c>
      <c r="E49" s="37" t="s">
        <v>0</v>
      </c>
      <c r="F49" s="43">
        <v>37</v>
      </c>
      <c r="G49" s="39">
        <f>_xlfn.XLOOKUP(TB_Entradas[[#This Row],[Producto]],TB_Producto[Producto],TB_Producto[Costo Unitario],"Producto Incorrecto")</f>
        <v>4.5</v>
      </c>
      <c r="H49" s="39">
        <f>IFERROR(TB_Entradas[[#This Row],[Cantidad Comprada]]*TB_Entradas[[#This Row],[Costo Unitario]],"Producto Incorrecto")</f>
        <v>166.5</v>
      </c>
    </row>
    <row r="50" spans="2:8" ht="18" x14ac:dyDescent="0.35">
      <c r="B50" s="84">
        <v>44841</v>
      </c>
      <c r="C50" s="37">
        <f>MONTH(TB_Entradas[[#This Row],[Fecha]])</f>
        <v>10</v>
      </c>
      <c r="D50" s="36" t="s">
        <v>32</v>
      </c>
      <c r="E50" s="37" t="s">
        <v>4</v>
      </c>
      <c r="F50" s="43">
        <v>30</v>
      </c>
      <c r="G50" s="39">
        <f>_xlfn.XLOOKUP(TB_Entradas[[#This Row],[Producto]],TB_Producto[Producto],TB_Producto[Costo Unitario],"Producto Incorrecto")</f>
        <v>2.25</v>
      </c>
      <c r="H50" s="39">
        <f>IFERROR(TB_Entradas[[#This Row],[Cantidad Comprada]]*TB_Entradas[[#This Row],[Costo Unitario]],"Producto Incorrecto")</f>
        <v>67.5</v>
      </c>
    </row>
    <row r="51" spans="2:8" ht="18" x14ac:dyDescent="0.35">
      <c r="B51" s="84">
        <v>44854</v>
      </c>
      <c r="C51" s="37">
        <f>MONTH(TB_Entradas[[#This Row],[Fecha]])</f>
        <v>10</v>
      </c>
      <c r="D51" s="36" t="s">
        <v>5</v>
      </c>
      <c r="E51" s="37" t="s">
        <v>0</v>
      </c>
      <c r="F51" s="43">
        <v>80</v>
      </c>
      <c r="G51" s="39">
        <f>_xlfn.XLOOKUP(TB_Entradas[[#This Row],[Producto]],TB_Producto[Producto],TB_Producto[Costo Unitario],"Producto Incorrecto")</f>
        <v>3</v>
      </c>
      <c r="H51" s="39">
        <f>IFERROR(TB_Entradas[[#This Row],[Cantidad Comprada]]*TB_Entradas[[#This Row],[Costo Unitario]],"Producto Incorrecto")</f>
        <v>240</v>
      </c>
    </row>
    <row r="52" spans="2:8" ht="18" x14ac:dyDescent="0.35">
      <c r="B52" s="84">
        <v>44859</v>
      </c>
      <c r="C52" s="37">
        <f>MONTH(TB_Entradas[[#This Row],[Fecha]])</f>
        <v>10</v>
      </c>
      <c r="D52" s="36" t="s">
        <v>20</v>
      </c>
      <c r="E52" s="37" t="s">
        <v>4</v>
      </c>
      <c r="F52" s="43">
        <v>42</v>
      </c>
      <c r="G52" s="39">
        <f>_xlfn.XLOOKUP(TB_Entradas[[#This Row],[Producto]],TB_Producto[Producto],TB_Producto[Costo Unitario],"Producto Incorrecto")</f>
        <v>1.5</v>
      </c>
      <c r="H52" s="39">
        <f>IFERROR(TB_Entradas[[#This Row],[Cantidad Comprada]]*TB_Entradas[[#This Row],[Costo Unitario]],"Producto Incorrecto")</f>
        <v>63</v>
      </c>
    </row>
    <row r="53" spans="2:8" ht="18" x14ac:dyDescent="0.35">
      <c r="B53" s="84">
        <v>44874</v>
      </c>
      <c r="C53" s="37">
        <f>MONTH(TB_Entradas[[#This Row],[Fecha]])</f>
        <v>11</v>
      </c>
      <c r="D53" s="36" t="s">
        <v>28</v>
      </c>
      <c r="E53" s="37" t="s">
        <v>52</v>
      </c>
      <c r="F53" s="43">
        <v>45</v>
      </c>
      <c r="G53" s="39">
        <f>_xlfn.XLOOKUP(TB_Entradas[[#This Row],[Producto]],TB_Producto[Producto],TB_Producto[Costo Unitario],"Producto Incorrecto")</f>
        <v>0.25</v>
      </c>
      <c r="H53" s="39">
        <f>IFERROR(TB_Entradas[[#This Row],[Cantidad Comprada]]*TB_Entradas[[#This Row],[Costo Unitario]],"Producto Incorrecto")</f>
        <v>11.25</v>
      </c>
    </row>
    <row r="54" spans="2:8" ht="18" x14ac:dyDescent="0.35">
      <c r="B54" s="84">
        <v>44880</v>
      </c>
      <c r="C54" s="37">
        <f>MONTH(TB_Entradas[[#This Row],[Fecha]])</f>
        <v>11</v>
      </c>
      <c r="D54" s="36" t="s">
        <v>5</v>
      </c>
      <c r="E54" s="37" t="s">
        <v>0</v>
      </c>
      <c r="F54" s="43">
        <v>65</v>
      </c>
      <c r="G54" s="39">
        <f>_xlfn.XLOOKUP(TB_Entradas[[#This Row],[Producto]],TB_Producto[Producto],TB_Producto[Costo Unitario],"Producto Incorrecto")</f>
        <v>3</v>
      </c>
      <c r="H54" s="39">
        <f>IFERROR(TB_Entradas[[#This Row],[Cantidad Comprada]]*TB_Entradas[[#This Row],[Costo Unitario]],"Producto Incorrecto")</f>
        <v>195</v>
      </c>
    </row>
    <row r="55" spans="2:8" ht="18" x14ac:dyDescent="0.35">
      <c r="B55" s="84">
        <v>44883</v>
      </c>
      <c r="C55" s="37">
        <f>MONTH(TB_Entradas[[#This Row],[Fecha]])</f>
        <v>11</v>
      </c>
      <c r="D55" s="36" t="s">
        <v>18</v>
      </c>
      <c r="E55" s="37" t="s">
        <v>0</v>
      </c>
      <c r="F55" s="43">
        <v>35</v>
      </c>
      <c r="G55" s="39">
        <f>_xlfn.XLOOKUP(TB_Entradas[[#This Row],[Producto]],TB_Producto[Producto],TB_Producto[Costo Unitario],"Producto Incorrecto")</f>
        <v>4.5</v>
      </c>
      <c r="H55" s="39">
        <f>IFERROR(TB_Entradas[[#This Row],[Cantidad Comprada]]*TB_Entradas[[#This Row],[Costo Unitario]],"Producto Incorrecto")</f>
        <v>157.5</v>
      </c>
    </row>
    <row r="56" spans="2:8" ht="18" x14ac:dyDescent="0.35">
      <c r="B56" s="84">
        <v>44888</v>
      </c>
      <c r="C56" s="37">
        <f>MONTH(TB_Entradas[[#This Row],[Fecha]])</f>
        <v>11</v>
      </c>
      <c r="D56" s="36" t="s">
        <v>32</v>
      </c>
      <c r="E56" s="37" t="s">
        <v>4</v>
      </c>
      <c r="F56" s="43">
        <v>15</v>
      </c>
      <c r="G56" s="39">
        <f>_xlfn.XLOOKUP(TB_Entradas[[#This Row],[Producto]],TB_Producto[Producto],TB_Producto[Costo Unitario],"Producto Incorrecto")</f>
        <v>2.25</v>
      </c>
      <c r="H56" s="39">
        <f>IFERROR(TB_Entradas[[#This Row],[Cantidad Comprada]]*TB_Entradas[[#This Row],[Costo Unitario]],"Producto Incorrecto")</f>
        <v>33.75</v>
      </c>
    </row>
    <row r="57" spans="2:8" ht="18" x14ac:dyDescent="0.35">
      <c r="B57" s="84">
        <v>44895</v>
      </c>
      <c r="C57" s="37">
        <f>MONTH(TB_Entradas[[#This Row],[Fecha]])</f>
        <v>11</v>
      </c>
      <c r="D57" s="36" t="s">
        <v>20</v>
      </c>
      <c r="E57" s="37" t="s">
        <v>4</v>
      </c>
      <c r="F57" s="43">
        <v>25</v>
      </c>
      <c r="G57" s="39">
        <f>_xlfn.XLOOKUP(TB_Entradas[[#This Row],[Producto]],TB_Producto[Producto],TB_Producto[Costo Unitario],"Producto Incorrecto")</f>
        <v>1.5</v>
      </c>
      <c r="H57" s="39">
        <f>IFERROR(TB_Entradas[[#This Row],[Cantidad Comprada]]*TB_Entradas[[#This Row],[Costo Unitario]],"Producto Incorrecto")</f>
        <v>37.5</v>
      </c>
    </row>
    <row r="58" spans="2:8" ht="18" x14ac:dyDescent="0.35">
      <c r="B58" s="84">
        <v>44907</v>
      </c>
      <c r="C58" s="37">
        <f>MONTH(TB_Entradas[[#This Row],[Fecha]])</f>
        <v>12</v>
      </c>
      <c r="D58" s="36" t="s">
        <v>5</v>
      </c>
      <c r="E58" s="37" t="s">
        <v>0</v>
      </c>
      <c r="F58" s="43">
        <v>165</v>
      </c>
      <c r="G58" s="39">
        <f>_xlfn.XLOOKUP(TB_Entradas[[#This Row],[Producto]],TB_Producto[Producto],TB_Producto[Costo Unitario],"Producto Incorrecto")</f>
        <v>3</v>
      </c>
      <c r="H58" s="39">
        <f>IFERROR(TB_Entradas[[#This Row],[Cantidad Comprada]]*TB_Entradas[[#This Row],[Costo Unitario]],"Producto Incorrecto")</f>
        <v>495</v>
      </c>
    </row>
    <row r="59" spans="2:8" ht="18" x14ac:dyDescent="0.35">
      <c r="B59" s="84">
        <v>44910</v>
      </c>
      <c r="C59" s="37">
        <f>MONTH(TB_Entradas[[#This Row],[Fecha]])</f>
        <v>12</v>
      </c>
      <c r="D59" s="36" t="s">
        <v>18</v>
      </c>
      <c r="E59" s="37" t="s">
        <v>0</v>
      </c>
      <c r="F59" s="43">
        <v>35</v>
      </c>
      <c r="G59" s="39">
        <f>_xlfn.XLOOKUP(TB_Entradas[[#This Row],[Producto]],TB_Producto[Producto],TB_Producto[Costo Unitario],"Producto Incorrecto")</f>
        <v>4.5</v>
      </c>
      <c r="H59" s="39">
        <f>IFERROR(TB_Entradas[[#This Row],[Cantidad Comprada]]*TB_Entradas[[#This Row],[Costo Unitario]],"Producto Incorrecto")</f>
        <v>157.5</v>
      </c>
    </row>
  </sheetData>
  <dataValidations count="2">
    <dataValidation type="list" allowBlank="1" showInputMessage="1" showErrorMessage="1" sqref="D6:D59" xr:uid="{3591EBEC-F6F8-4135-8EBE-CA57855A7A9F}">
      <formula1>Lista_Productos</formula1>
    </dataValidation>
    <dataValidation type="list" allowBlank="1" showInputMessage="1" showErrorMessage="1" sqref="E6:E59" xr:uid="{7CA860D1-E7FE-42B4-91E5-BC4650D1B4E3}">
      <formula1>Lista_Proveedores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G61"/>
  <sheetViews>
    <sheetView showGridLines="0" zoomScale="140" zoomScaleNormal="140" workbookViewId="0">
      <selection activeCell="C9" sqref="C9"/>
    </sheetView>
  </sheetViews>
  <sheetFormatPr baseColWidth="10" defaultColWidth="9.140625" defaultRowHeight="15" x14ac:dyDescent="0.25"/>
  <cols>
    <col min="1" max="1" width="5.28515625" customWidth="1"/>
    <col min="2" max="2" width="15.28515625" customWidth="1"/>
    <col min="3" max="3" width="9.42578125" bestFit="1" customWidth="1"/>
    <col min="4" max="4" width="20.7109375" bestFit="1" customWidth="1"/>
    <col min="5" max="6" width="18.5703125" customWidth="1"/>
    <col min="7" max="7" width="15.7109375" customWidth="1"/>
  </cols>
  <sheetData>
    <row r="1" spans="2:7" s="5" customFormat="1" ht="60" customHeight="1" x14ac:dyDescent="0.25">
      <c r="E1" s="6" t="s">
        <v>63</v>
      </c>
      <c r="F1" s="7"/>
    </row>
    <row r="2" spans="2:7" s="8" customFormat="1" ht="6" customHeight="1" x14ac:dyDescent="0.25">
      <c r="F2" s="9"/>
    </row>
    <row r="4" spans="2:7" ht="15.75" thickBot="1" x14ac:dyDescent="0.3">
      <c r="B4" s="40" t="s">
        <v>61</v>
      </c>
      <c r="C4" s="40" t="s">
        <v>106</v>
      </c>
      <c r="D4" s="40" t="s">
        <v>2</v>
      </c>
      <c r="E4" s="41" t="s">
        <v>64</v>
      </c>
      <c r="F4" s="35" t="s">
        <v>37</v>
      </c>
      <c r="G4" s="35" t="s">
        <v>65</v>
      </c>
    </row>
    <row r="5" spans="2:7" ht="18" x14ac:dyDescent="0.35">
      <c r="B5" s="3">
        <v>44566</v>
      </c>
      <c r="C5" s="2">
        <f>MONTH(TB_Salidas[[#This Row],[Fecha]])</f>
        <v>1</v>
      </c>
      <c r="D5" s="42" t="s">
        <v>20</v>
      </c>
      <c r="E5" s="43">
        <v>47</v>
      </c>
      <c r="F5" s="44">
        <f>_xlfn.XLOOKUP(TB_Salidas[[#This Row],[Producto]],TB_Producto[Producto],TB_Producto[Precio Unitario],"Producto Incorrecto")</f>
        <v>3.5</v>
      </c>
      <c r="G5" s="39">
        <f>TB_Salidas[[#This Row],[Cantidad Vendida]]*TB_Salidas[[#This Row],[Precio Unitario]]</f>
        <v>164.5</v>
      </c>
    </row>
    <row r="6" spans="2:7" ht="18" x14ac:dyDescent="0.35">
      <c r="B6" s="3">
        <v>44567</v>
      </c>
      <c r="C6" s="2">
        <f>MONTH(TB_Salidas[[#This Row],[Fecha]])</f>
        <v>1</v>
      </c>
      <c r="D6" s="42" t="s">
        <v>5</v>
      </c>
      <c r="E6" s="43">
        <v>100</v>
      </c>
      <c r="F6" s="44">
        <f>_xlfn.XLOOKUP(TB_Salidas[[#This Row],[Producto]],TB_Producto[Producto],TB_Producto[Precio Unitario],"Producto Incorrecto")</f>
        <v>5</v>
      </c>
      <c r="G6" s="39">
        <f>TB_Salidas[[#This Row],[Cantidad Vendida]]*TB_Salidas[[#This Row],[Precio Unitario]]</f>
        <v>500</v>
      </c>
    </row>
    <row r="7" spans="2:7" ht="18" x14ac:dyDescent="0.35">
      <c r="B7" s="3">
        <v>44581</v>
      </c>
      <c r="C7" s="2">
        <f>MONTH(TB_Salidas[[#This Row],[Fecha]])</f>
        <v>1</v>
      </c>
      <c r="D7" s="42" t="s">
        <v>32</v>
      </c>
      <c r="E7" s="43">
        <v>50</v>
      </c>
      <c r="F7" s="44">
        <f>_xlfn.XLOOKUP(TB_Salidas[[#This Row],[Producto]],TB_Producto[Producto],TB_Producto[Precio Unitario],"Producto Incorrecto")</f>
        <v>3</v>
      </c>
      <c r="G7" s="39">
        <f>TB_Salidas[[#This Row],[Cantidad Vendida]]*TB_Salidas[[#This Row],[Precio Unitario]]</f>
        <v>150</v>
      </c>
    </row>
    <row r="8" spans="2:7" ht="18" x14ac:dyDescent="0.35">
      <c r="B8" s="3">
        <v>44586</v>
      </c>
      <c r="C8" s="2">
        <f>MONTH(TB_Salidas[[#This Row],[Fecha]])</f>
        <v>1</v>
      </c>
      <c r="D8" s="42" t="s">
        <v>18</v>
      </c>
      <c r="E8" s="43">
        <v>52</v>
      </c>
      <c r="F8" s="44">
        <f>_xlfn.XLOOKUP(TB_Salidas[[#This Row],[Producto]],TB_Producto[Producto],TB_Producto[Precio Unitario],"Producto Incorrecto")</f>
        <v>7</v>
      </c>
      <c r="G8" s="39">
        <f>TB_Salidas[[#This Row],[Cantidad Vendida]]*TB_Salidas[[#This Row],[Precio Unitario]]</f>
        <v>364</v>
      </c>
    </row>
    <row r="9" spans="2:7" ht="18" x14ac:dyDescent="0.35">
      <c r="B9" s="3">
        <v>44597</v>
      </c>
      <c r="C9" s="2">
        <f>MONTH(TB_Salidas[[#This Row],[Fecha]])</f>
        <v>2</v>
      </c>
      <c r="D9" s="42" t="s">
        <v>32</v>
      </c>
      <c r="E9" s="43">
        <v>50</v>
      </c>
      <c r="F9" s="44">
        <f>_xlfn.XLOOKUP(TB_Salidas[[#This Row],[Producto]],TB_Producto[Producto],TB_Producto[Precio Unitario],"Producto Incorrecto")</f>
        <v>3</v>
      </c>
      <c r="G9" s="39">
        <f>TB_Salidas[[#This Row],[Cantidad Vendida]]*TB_Salidas[[#This Row],[Precio Unitario]]</f>
        <v>150</v>
      </c>
    </row>
    <row r="10" spans="2:7" ht="18" x14ac:dyDescent="0.35">
      <c r="B10" s="3">
        <v>44598</v>
      </c>
      <c r="C10" s="2">
        <f>MONTH(TB_Salidas[[#This Row],[Fecha]])</f>
        <v>2</v>
      </c>
      <c r="D10" s="42" t="s">
        <v>5</v>
      </c>
      <c r="E10" s="43">
        <v>120</v>
      </c>
      <c r="F10" s="44">
        <f>_xlfn.XLOOKUP(TB_Salidas[[#This Row],[Producto]],TB_Producto[Producto],TB_Producto[Precio Unitario],"Producto Incorrecto")</f>
        <v>5</v>
      </c>
      <c r="G10" s="39">
        <f>TB_Salidas[[#This Row],[Cantidad Vendida]]*TB_Salidas[[#This Row],[Precio Unitario]]</f>
        <v>600</v>
      </c>
    </row>
    <row r="11" spans="2:7" ht="18" x14ac:dyDescent="0.35">
      <c r="B11" s="3">
        <v>44602</v>
      </c>
      <c r="C11" s="2">
        <f>MONTH(TB_Salidas[[#This Row],[Fecha]])</f>
        <v>2</v>
      </c>
      <c r="D11" s="42" t="s">
        <v>18</v>
      </c>
      <c r="E11" s="43">
        <v>75</v>
      </c>
      <c r="F11" s="44">
        <f>_xlfn.XLOOKUP(TB_Salidas[[#This Row],[Producto]],TB_Producto[Producto],TB_Producto[Precio Unitario],"Producto Incorrecto")</f>
        <v>7</v>
      </c>
      <c r="G11" s="39">
        <f>TB_Salidas[[#This Row],[Cantidad Vendida]]*TB_Salidas[[#This Row],[Precio Unitario]]</f>
        <v>525</v>
      </c>
    </row>
    <row r="12" spans="2:7" ht="18" x14ac:dyDescent="0.35">
      <c r="B12" s="3">
        <v>44620</v>
      </c>
      <c r="C12" s="2">
        <f>MONTH(TB_Salidas[[#This Row],[Fecha]])</f>
        <v>2</v>
      </c>
      <c r="D12" s="42" t="s">
        <v>20</v>
      </c>
      <c r="E12" s="43">
        <v>50</v>
      </c>
      <c r="F12" s="44">
        <f>_xlfn.XLOOKUP(TB_Salidas[[#This Row],[Producto]],TB_Producto[Producto],TB_Producto[Precio Unitario],"Producto Incorrecto")</f>
        <v>3.5</v>
      </c>
      <c r="G12" s="39">
        <f>TB_Salidas[[#This Row],[Cantidad Vendida]]*TB_Salidas[[#This Row],[Precio Unitario]]</f>
        <v>175</v>
      </c>
    </row>
    <row r="13" spans="2:7" ht="18" x14ac:dyDescent="0.35">
      <c r="B13" s="3">
        <v>44626</v>
      </c>
      <c r="C13" s="2">
        <f>MONTH(TB_Salidas[[#This Row],[Fecha]])</f>
        <v>3</v>
      </c>
      <c r="D13" s="42" t="s">
        <v>27</v>
      </c>
      <c r="E13" s="43">
        <v>110</v>
      </c>
      <c r="F13" s="44">
        <f>_xlfn.XLOOKUP(TB_Salidas[[#This Row],[Producto]],TB_Producto[Producto],TB_Producto[Precio Unitario],"Producto Incorrecto")</f>
        <v>1</v>
      </c>
      <c r="G13" s="39">
        <f>TB_Salidas[[#This Row],[Cantidad Vendida]]*TB_Salidas[[#This Row],[Precio Unitario]]</f>
        <v>110</v>
      </c>
    </row>
    <row r="14" spans="2:7" ht="18" x14ac:dyDescent="0.35">
      <c r="B14" s="3">
        <v>44631</v>
      </c>
      <c r="C14" s="2">
        <f>MONTH(TB_Salidas[[#This Row],[Fecha]])</f>
        <v>3</v>
      </c>
      <c r="D14" s="42" t="s">
        <v>32</v>
      </c>
      <c r="E14" s="43">
        <v>42</v>
      </c>
      <c r="F14" s="44">
        <f>_xlfn.XLOOKUP(TB_Salidas[[#This Row],[Producto]],TB_Producto[Producto],TB_Producto[Precio Unitario],"Producto Incorrecto")</f>
        <v>3</v>
      </c>
      <c r="G14" s="39">
        <f>TB_Salidas[[#This Row],[Cantidad Vendida]]*TB_Salidas[[#This Row],[Precio Unitario]]</f>
        <v>126</v>
      </c>
    </row>
    <row r="15" spans="2:7" ht="18" x14ac:dyDescent="0.35">
      <c r="B15" s="3">
        <v>44646</v>
      </c>
      <c r="C15" s="2">
        <f>MONTH(TB_Salidas[[#This Row],[Fecha]])</f>
        <v>3</v>
      </c>
      <c r="D15" s="42" t="s">
        <v>18</v>
      </c>
      <c r="E15" s="43">
        <v>50</v>
      </c>
      <c r="F15" s="44">
        <f>_xlfn.XLOOKUP(TB_Salidas[[#This Row],[Producto]],TB_Producto[Producto],TB_Producto[Precio Unitario],"Producto Incorrecto")</f>
        <v>7</v>
      </c>
      <c r="G15" s="39">
        <f>TB_Salidas[[#This Row],[Cantidad Vendida]]*TB_Salidas[[#This Row],[Precio Unitario]]</f>
        <v>350</v>
      </c>
    </row>
    <row r="16" spans="2:7" ht="18" x14ac:dyDescent="0.35">
      <c r="B16" s="3">
        <v>44649</v>
      </c>
      <c r="C16" s="2">
        <f>MONTH(TB_Salidas[[#This Row],[Fecha]])</f>
        <v>3</v>
      </c>
      <c r="D16" s="42" t="s">
        <v>20</v>
      </c>
      <c r="E16" s="43">
        <v>25</v>
      </c>
      <c r="F16" s="44">
        <f>_xlfn.XLOOKUP(TB_Salidas[[#This Row],[Producto]],TB_Producto[Producto],TB_Producto[Precio Unitario],"Producto Incorrecto")</f>
        <v>3.5</v>
      </c>
      <c r="G16" s="39">
        <f>TB_Salidas[[#This Row],[Cantidad Vendida]]*TB_Salidas[[#This Row],[Precio Unitario]]</f>
        <v>87.5</v>
      </c>
    </row>
    <row r="17" spans="2:7" ht="18" x14ac:dyDescent="0.35">
      <c r="B17" s="3">
        <v>44630</v>
      </c>
      <c r="C17" s="2">
        <f>MONTH(TB_Salidas[[#This Row],[Fecha]])</f>
        <v>3</v>
      </c>
      <c r="D17" s="42" t="s">
        <v>5</v>
      </c>
      <c r="E17" s="43">
        <v>110</v>
      </c>
      <c r="F17" s="44">
        <f>_xlfn.XLOOKUP(TB_Salidas[[#This Row],[Producto]],TB_Producto[Producto],TB_Producto[Precio Unitario],"Producto Incorrecto")</f>
        <v>5</v>
      </c>
      <c r="G17" s="39">
        <f>TB_Salidas[[#This Row],[Cantidad Vendida]]*TB_Salidas[[#This Row],[Precio Unitario]]</f>
        <v>550</v>
      </c>
    </row>
    <row r="18" spans="2:7" ht="18" x14ac:dyDescent="0.35">
      <c r="B18" s="3">
        <v>44659</v>
      </c>
      <c r="C18" s="2">
        <f>MONTH(TB_Salidas[[#This Row],[Fecha]])</f>
        <v>4</v>
      </c>
      <c r="D18" s="42" t="s">
        <v>20</v>
      </c>
      <c r="E18" s="43">
        <v>40</v>
      </c>
      <c r="F18" s="44">
        <f>_xlfn.XLOOKUP(TB_Salidas[[#This Row],[Producto]],TB_Producto[Producto],TB_Producto[Precio Unitario],"Producto Incorrecto")</f>
        <v>3.5</v>
      </c>
      <c r="G18" s="39">
        <f>TB_Salidas[[#This Row],[Cantidad Vendida]]*TB_Salidas[[#This Row],[Precio Unitario]]</f>
        <v>140</v>
      </c>
    </row>
    <row r="19" spans="2:7" ht="18" x14ac:dyDescent="0.35">
      <c r="B19" s="3">
        <v>44663</v>
      </c>
      <c r="C19" s="2">
        <f>MONTH(TB_Salidas[[#This Row],[Fecha]])</f>
        <v>4</v>
      </c>
      <c r="D19" s="42" t="s">
        <v>5</v>
      </c>
      <c r="E19" s="43">
        <v>75</v>
      </c>
      <c r="F19" s="44">
        <f>_xlfn.XLOOKUP(TB_Salidas[[#This Row],[Producto]],TB_Producto[Producto],TB_Producto[Precio Unitario],"Producto Incorrecto")</f>
        <v>5</v>
      </c>
      <c r="G19" s="39">
        <f>TB_Salidas[[#This Row],[Cantidad Vendida]]*TB_Salidas[[#This Row],[Precio Unitario]]</f>
        <v>375</v>
      </c>
    </row>
    <row r="20" spans="2:7" ht="18" x14ac:dyDescent="0.35">
      <c r="B20" s="3">
        <v>44667</v>
      </c>
      <c r="C20" s="2">
        <f>MONTH(TB_Salidas[[#This Row],[Fecha]])</f>
        <v>4</v>
      </c>
      <c r="D20" s="42" t="s">
        <v>29</v>
      </c>
      <c r="E20" s="43">
        <v>30</v>
      </c>
      <c r="F20" s="44">
        <f>_xlfn.XLOOKUP(TB_Salidas[[#This Row],[Producto]],TB_Producto[Producto],TB_Producto[Precio Unitario],"Producto Incorrecto")</f>
        <v>2.25</v>
      </c>
      <c r="G20" s="39">
        <f>TB_Salidas[[#This Row],[Cantidad Vendida]]*TB_Salidas[[#This Row],[Precio Unitario]]</f>
        <v>67.5</v>
      </c>
    </row>
    <row r="21" spans="2:7" ht="18" x14ac:dyDescent="0.35">
      <c r="B21" s="3">
        <v>44671</v>
      </c>
      <c r="C21" s="2">
        <f>MONTH(TB_Salidas[[#This Row],[Fecha]])</f>
        <v>4</v>
      </c>
      <c r="D21" s="42" t="s">
        <v>32</v>
      </c>
      <c r="E21" s="43">
        <v>45</v>
      </c>
      <c r="F21" s="44">
        <f>_xlfn.XLOOKUP(TB_Salidas[[#This Row],[Producto]],TB_Producto[Producto],TB_Producto[Precio Unitario],"Producto Incorrecto")</f>
        <v>3</v>
      </c>
      <c r="G21" s="39">
        <f>TB_Salidas[[#This Row],[Cantidad Vendida]]*TB_Salidas[[#This Row],[Precio Unitario]]</f>
        <v>135</v>
      </c>
    </row>
    <row r="22" spans="2:7" ht="18" x14ac:dyDescent="0.35">
      <c r="B22" s="3">
        <v>44681</v>
      </c>
      <c r="C22" s="2">
        <f>MONTH(TB_Salidas[[#This Row],[Fecha]])</f>
        <v>4</v>
      </c>
      <c r="D22" s="42" t="s">
        <v>18</v>
      </c>
      <c r="E22" s="43">
        <v>35</v>
      </c>
      <c r="F22" s="44">
        <f>_xlfn.XLOOKUP(TB_Salidas[[#This Row],[Producto]],TB_Producto[Producto],TB_Producto[Precio Unitario],"Producto Incorrecto")</f>
        <v>7</v>
      </c>
      <c r="G22" s="39">
        <f>TB_Salidas[[#This Row],[Cantidad Vendida]]*TB_Salidas[[#This Row],[Precio Unitario]]</f>
        <v>245</v>
      </c>
    </row>
    <row r="23" spans="2:7" ht="18" x14ac:dyDescent="0.35">
      <c r="B23" s="3">
        <v>44691</v>
      </c>
      <c r="C23" s="2">
        <f>MONTH(TB_Salidas[[#This Row],[Fecha]])</f>
        <v>5</v>
      </c>
      <c r="D23" s="42" t="s">
        <v>32</v>
      </c>
      <c r="E23" s="43">
        <v>35</v>
      </c>
      <c r="F23" s="44">
        <f>_xlfn.XLOOKUP(TB_Salidas[[#This Row],[Producto]],TB_Producto[Producto],TB_Producto[Precio Unitario],"Producto Incorrecto")</f>
        <v>3</v>
      </c>
      <c r="G23" s="39">
        <f>TB_Salidas[[#This Row],[Cantidad Vendida]]*TB_Salidas[[#This Row],[Precio Unitario]]</f>
        <v>105</v>
      </c>
    </row>
    <row r="24" spans="2:7" ht="18" x14ac:dyDescent="0.35">
      <c r="B24" s="3">
        <v>44692</v>
      </c>
      <c r="C24" s="2">
        <f>MONTH(TB_Salidas[[#This Row],[Fecha]])</f>
        <v>5</v>
      </c>
      <c r="D24" s="42" t="s">
        <v>31</v>
      </c>
      <c r="E24" s="43">
        <v>35</v>
      </c>
      <c r="F24" s="44">
        <f>_xlfn.XLOOKUP(TB_Salidas[[#This Row],[Producto]],TB_Producto[Producto],TB_Producto[Precio Unitario],"Producto Incorrecto")</f>
        <v>5</v>
      </c>
      <c r="G24" s="39">
        <f>TB_Salidas[[#This Row],[Cantidad Vendida]]*TB_Salidas[[#This Row],[Precio Unitario]]</f>
        <v>175</v>
      </c>
    </row>
    <row r="25" spans="2:7" ht="18" x14ac:dyDescent="0.35">
      <c r="B25" s="3">
        <v>44692</v>
      </c>
      <c r="C25" s="2">
        <f>MONTH(TB_Salidas[[#This Row],[Fecha]])</f>
        <v>5</v>
      </c>
      <c r="D25" s="42" t="s">
        <v>5</v>
      </c>
      <c r="E25" s="43">
        <v>75</v>
      </c>
      <c r="F25" s="44">
        <f>_xlfn.XLOOKUP(TB_Salidas[[#This Row],[Producto]],TB_Producto[Producto],TB_Producto[Precio Unitario],"Producto Incorrecto")</f>
        <v>5</v>
      </c>
      <c r="G25" s="39">
        <f>TB_Salidas[[#This Row],[Cantidad Vendida]]*TB_Salidas[[#This Row],[Precio Unitario]]</f>
        <v>375</v>
      </c>
    </row>
    <row r="26" spans="2:7" ht="18" x14ac:dyDescent="0.35">
      <c r="B26" s="3">
        <v>44700</v>
      </c>
      <c r="C26" s="2">
        <f>MONTH(TB_Salidas[[#This Row],[Fecha]])</f>
        <v>5</v>
      </c>
      <c r="D26" s="42" t="s">
        <v>18</v>
      </c>
      <c r="E26" s="43">
        <v>27</v>
      </c>
      <c r="F26" s="44">
        <f>_xlfn.XLOOKUP(TB_Salidas[[#This Row],[Producto]],TB_Producto[Producto],TB_Producto[Precio Unitario],"Producto Incorrecto")</f>
        <v>7</v>
      </c>
      <c r="G26" s="39">
        <f>TB_Salidas[[#This Row],[Cantidad Vendida]]*TB_Salidas[[#This Row],[Precio Unitario]]</f>
        <v>189</v>
      </c>
    </row>
    <row r="27" spans="2:7" ht="18" x14ac:dyDescent="0.35">
      <c r="B27" s="3">
        <v>44700</v>
      </c>
      <c r="C27" s="2">
        <f>MONTH(TB_Salidas[[#This Row],[Fecha]])</f>
        <v>5</v>
      </c>
      <c r="D27" s="42" t="s">
        <v>20</v>
      </c>
      <c r="E27" s="43">
        <v>33</v>
      </c>
      <c r="F27" s="44">
        <f>_xlfn.XLOOKUP(TB_Salidas[[#This Row],[Producto]],TB_Producto[Producto],TB_Producto[Precio Unitario],"Producto Incorrecto")</f>
        <v>3.5</v>
      </c>
      <c r="G27" s="39">
        <f>TB_Salidas[[#This Row],[Cantidad Vendida]]*TB_Salidas[[#This Row],[Precio Unitario]]</f>
        <v>115.5</v>
      </c>
    </row>
    <row r="28" spans="2:7" ht="18" x14ac:dyDescent="0.35">
      <c r="B28" s="3">
        <v>44737</v>
      </c>
      <c r="C28" s="2">
        <f>MONTH(TB_Salidas[[#This Row],[Fecha]])</f>
        <v>6</v>
      </c>
      <c r="D28" s="42" t="s">
        <v>18</v>
      </c>
      <c r="E28" s="43">
        <v>37</v>
      </c>
      <c r="F28" s="44">
        <f>_xlfn.XLOOKUP(TB_Salidas[[#This Row],[Producto]],TB_Producto[Producto],TB_Producto[Precio Unitario],"Producto Incorrecto")</f>
        <v>7</v>
      </c>
      <c r="G28" s="39">
        <f>TB_Salidas[[#This Row],[Cantidad Vendida]]*TB_Salidas[[#This Row],[Precio Unitario]]</f>
        <v>259</v>
      </c>
    </row>
    <row r="29" spans="2:7" ht="18" x14ac:dyDescent="0.35">
      <c r="B29" s="3">
        <v>44738</v>
      </c>
      <c r="C29" s="2">
        <f>MONTH(TB_Salidas[[#This Row],[Fecha]])</f>
        <v>6</v>
      </c>
      <c r="D29" s="42" t="s">
        <v>5</v>
      </c>
      <c r="E29" s="43">
        <v>110</v>
      </c>
      <c r="F29" s="44">
        <f>_xlfn.XLOOKUP(TB_Salidas[[#This Row],[Producto]],TB_Producto[Producto],TB_Producto[Precio Unitario],"Producto Incorrecto")</f>
        <v>5</v>
      </c>
      <c r="G29" s="39">
        <f>TB_Salidas[[#This Row],[Cantidad Vendida]]*TB_Salidas[[#This Row],[Precio Unitario]]</f>
        <v>550</v>
      </c>
    </row>
    <row r="30" spans="2:7" ht="18" x14ac:dyDescent="0.35">
      <c r="B30" s="3">
        <v>44738</v>
      </c>
      <c r="C30" s="2">
        <f>MONTH(TB_Salidas[[#This Row],[Fecha]])</f>
        <v>6</v>
      </c>
      <c r="D30" s="42" t="s">
        <v>32</v>
      </c>
      <c r="E30" s="43">
        <v>25</v>
      </c>
      <c r="F30" s="44">
        <f>_xlfn.XLOOKUP(TB_Salidas[[#This Row],[Producto]],TB_Producto[Producto],TB_Producto[Precio Unitario],"Producto Incorrecto")</f>
        <v>3</v>
      </c>
      <c r="G30" s="39">
        <f>TB_Salidas[[#This Row],[Cantidad Vendida]]*TB_Salidas[[#This Row],[Precio Unitario]]</f>
        <v>75</v>
      </c>
    </row>
    <row r="31" spans="2:7" ht="18" x14ac:dyDescent="0.35">
      <c r="B31" s="3">
        <v>44739</v>
      </c>
      <c r="C31" s="2">
        <f>MONTH(TB_Salidas[[#This Row],[Fecha]])</f>
        <v>6</v>
      </c>
      <c r="D31" s="42" t="s">
        <v>20</v>
      </c>
      <c r="E31" s="43">
        <v>25</v>
      </c>
      <c r="F31" s="44">
        <f>_xlfn.XLOOKUP(TB_Salidas[[#This Row],[Producto]],TB_Producto[Producto],TB_Producto[Precio Unitario],"Producto Incorrecto")</f>
        <v>3.5</v>
      </c>
      <c r="G31" s="39">
        <f>TB_Salidas[[#This Row],[Cantidad Vendida]]*TB_Salidas[[#This Row],[Precio Unitario]]</f>
        <v>87.5</v>
      </c>
    </row>
    <row r="32" spans="2:7" ht="18" x14ac:dyDescent="0.35">
      <c r="B32" s="3">
        <v>44749</v>
      </c>
      <c r="C32" s="2">
        <f>MONTH(TB_Salidas[[#This Row],[Fecha]])</f>
        <v>7</v>
      </c>
      <c r="D32" s="42" t="s">
        <v>26</v>
      </c>
      <c r="E32" s="43">
        <v>42</v>
      </c>
      <c r="F32" s="44">
        <f>_xlfn.XLOOKUP(TB_Salidas[[#This Row],[Producto]],TB_Producto[Producto],TB_Producto[Precio Unitario],"Producto Incorrecto")</f>
        <v>3</v>
      </c>
      <c r="G32" s="39">
        <f>TB_Salidas[[#This Row],[Cantidad Vendida]]*TB_Salidas[[#This Row],[Precio Unitario]]</f>
        <v>126</v>
      </c>
    </row>
    <row r="33" spans="2:7" ht="18" x14ac:dyDescent="0.35">
      <c r="B33" s="3">
        <v>44749</v>
      </c>
      <c r="C33" s="2">
        <f>MONTH(TB_Salidas[[#This Row],[Fecha]])</f>
        <v>7</v>
      </c>
      <c r="D33" s="42" t="s">
        <v>5</v>
      </c>
      <c r="E33" s="43">
        <v>92</v>
      </c>
      <c r="F33" s="39">
        <f>_xlfn.XLOOKUP(TB_Salidas[[#This Row],[Producto]],TB_Producto[Producto],TB_Producto[Precio Unitario],"Producto Incorrecto")</f>
        <v>5</v>
      </c>
      <c r="G33" s="39">
        <f>TB_Salidas[[#This Row],[Cantidad Vendida]]*TB_Salidas[[#This Row],[Precio Unitario]]</f>
        <v>460</v>
      </c>
    </row>
    <row r="34" spans="2:7" ht="18" x14ac:dyDescent="0.35">
      <c r="B34" s="3">
        <v>44758</v>
      </c>
      <c r="C34" s="2">
        <f>MONTH(TB_Salidas[[#This Row],[Fecha]])</f>
        <v>7</v>
      </c>
      <c r="D34" s="42" t="s">
        <v>20</v>
      </c>
      <c r="E34" s="43">
        <v>37</v>
      </c>
      <c r="F34" s="39">
        <f>_xlfn.XLOOKUP(TB_Salidas[[#This Row],[Producto]],TB_Producto[Producto],TB_Producto[Precio Unitario],"Producto Incorrecto")</f>
        <v>3.5</v>
      </c>
      <c r="G34" s="39">
        <f>TB_Salidas[[#This Row],[Cantidad Vendida]]*TB_Salidas[[#This Row],[Precio Unitario]]</f>
        <v>129.5</v>
      </c>
    </row>
    <row r="35" spans="2:7" ht="18" x14ac:dyDescent="0.35">
      <c r="B35" s="3">
        <v>44765</v>
      </c>
      <c r="C35" s="2">
        <f>MONTH(TB_Salidas[[#This Row],[Fecha]])</f>
        <v>7</v>
      </c>
      <c r="D35" s="42" t="s">
        <v>18</v>
      </c>
      <c r="E35" s="43">
        <v>75</v>
      </c>
      <c r="F35" s="39">
        <f>_xlfn.XLOOKUP(TB_Salidas[[#This Row],[Producto]],TB_Producto[Producto],TB_Producto[Precio Unitario],"Producto Incorrecto")</f>
        <v>7</v>
      </c>
      <c r="G35" s="39">
        <f>TB_Salidas[[#This Row],[Cantidad Vendida]]*TB_Salidas[[#This Row],[Precio Unitario]]</f>
        <v>525</v>
      </c>
    </row>
    <row r="36" spans="2:7" ht="18" x14ac:dyDescent="0.35">
      <c r="B36" s="3">
        <v>44772</v>
      </c>
      <c r="C36" s="2">
        <f>MONTH(TB_Salidas[[#This Row],[Fecha]])</f>
        <v>7</v>
      </c>
      <c r="D36" s="42" t="s">
        <v>32</v>
      </c>
      <c r="E36" s="43">
        <v>55</v>
      </c>
      <c r="F36" s="39">
        <f>_xlfn.XLOOKUP(TB_Salidas[[#This Row],[Producto]],TB_Producto[Producto],TB_Producto[Precio Unitario],"Producto Incorrecto")</f>
        <v>3</v>
      </c>
      <c r="G36" s="39">
        <f>TB_Salidas[[#This Row],[Cantidad Vendida]]*TB_Salidas[[#This Row],[Precio Unitario]]</f>
        <v>165</v>
      </c>
    </row>
    <row r="37" spans="2:7" ht="18" x14ac:dyDescent="0.35">
      <c r="B37" s="3">
        <v>44792</v>
      </c>
      <c r="C37" s="2">
        <f>MONTH(TB_Salidas[[#This Row],[Fecha]])</f>
        <v>8</v>
      </c>
      <c r="D37" s="42" t="s">
        <v>20</v>
      </c>
      <c r="E37" s="43">
        <v>17</v>
      </c>
      <c r="F37" s="39">
        <f>_xlfn.XLOOKUP(TB_Salidas[[#This Row],[Producto]],TB_Producto[Producto],TB_Producto[Precio Unitario],"Producto Incorrecto")</f>
        <v>3.5</v>
      </c>
      <c r="G37" s="39">
        <f>TB_Salidas[[#This Row],[Cantidad Vendida]]*TB_Salidas[[#This Row],[Precio Unitario]]</f>
        <v>59.5</v>
      </c>
    </row>
    <row r="38" spans="2:7" ht="18" x14ac:dyDescent="0.35">
      <c r="B38" s="3">
        <v>44794</v>
      </c>
      <c r="C38" s="2">
        <f>MONTH(TB_Salidas[[#This Row],[Fecha]])</f>
        <v>8</v>
      </c>
      <c r="D38" s="42" t="s">
        <v>18</v>
      </c>
      <c r="E38" s="43">
        <v>36</v>
      </c>
      <c r="F38" s="39">
        <f>_xlfn.XLOOKUP(TB_Salidas[[#This Row],[Producto]],TB_Producto[Producto],TB_Producto[Precio Unitario],"Producto Incorrecto")</f>
        <v>7</v>
      </c>
      <c r="G38" s="39">
        <f>TB_Salidas[[#This Row],[Cantidad Vendida]]*TB_Salidas[[#This Row],[Precio Unitario]]</f>
        <v>252</v>
      </c>
    </row>
    <row r="39" spans="2:7" ht="18" x14ac:dyDescent="0.35">
      <c r="B39" s="3">
        <v>44803</v>
      </c>
      <c r="C39" s="2">
        <f>MONTH(TB_Salidas[[#This Row],[Fecha]])</f>
        <v>8</v>
      </c>
      <c r="D39" s="42" t="s">
        <v>12</v>
      </c>
      <c r="E39" s="43">
        <v>92</v>
      </c>
      <c r="F39" s="39">
        <f>_xlfn.XLOOKUP(TB_Salidas[[#This Row],[Producto]],TB_Producto[Producto],TB_Producto[Precio Unitario],"Producto Incorrecto")</f>
        <v>2.75</v>
      </c>
      <c r="G39" s="39">
        <f>TB_Salidas[[#This Row],[Cantidad Vendida]]*TB_Salidas[[#This Row],[Precio Unitario]]</f>
        <v>253</v>
      </c>
    </row>
    <row r="40" spans="2:7" ht="18" x14ac:dyDescent="0.35">
      <c r="B40" s="3">
        <v>44803</v>
      </c>
      <c r="C40" s="2">
        <f>MONTH(TB_Salidas[[#This Row],[Fecha]])</f>
        <v>8</v>
      </c>
      <c r="D40" s="42" t="s">
        <v>32</v>
      </c>
      <c r="E40" s="43">
        <v>27</v>
      </c>
      <c r="F40" s="39">
        <f>_xlfn.XLOOKUP(TB_Salidas[[#This Row],[Producto]],TB_Producto[Producto],TB_Producto[Precio Unitario],"Producto Incorrecto")</f>
        <v>3</v>
      </c>
      <c r="G40" s="39">
        <f>TB_Salidas[[#This Row],[Cantidad Vendida]]*TB_Salidas[[#This Row],[Precio Unitario]]</f>
        <v>81</v>
      </c>
    </row>
    <row r="41" spans="2:7" ht="18" x14ac:dyDescent="0.35">
      <c r="B41" s="3">
        <v>44803</v>
      </c>
      <c r="C41" s="2">
        <f>MONTH(TB_Salidas[[#This Row],[Fecha]])</f>
        <v>8</v>
      </c>
      <c r="D41" s="42" t="s">
        <v>5</v>
      </c>
      <c r="E41" s="43">
        <v>100</v>
      </c>
      <c r="F41" s="39">
        <f>_xlfn.XLOOKUP(TB_Salidas[[#This Row],[Producto]],TB_Producto[Producto],TB_Producto[Precio Unitario],"Producto Incorrecto")</f>
        <v>5</v>
      </c>
      <c r="G41" s="39">
        <f>TB_Salidas[[#This Row],[Cantidad Vendida]]*TB_Salidas[[#This Row],[Precio Unitario]]</f>
        <v>500</v>
      </c>
    </row>
    <row r="42" spans="2:7" ht="18" x14ac:dyDescent="0.35">
      <c r="B42" s="3">
        <v>44811</v>
      </c>
      <c r="C42" s="2">
        <f>MONTH(TB_Salidas[[#This Row],[Fecha]])</f>
        <v>9</v>
      </c>
      <c r="D42" s="42" t="s">
        <v>27</v>
      </c>
      <c r="E42" s="43">
        <v>100</v>
      </c>
      <c r="F42" s="39">
        <f>_xlfn.XLOOKUP(TB_Salidas[[#This Row],[Producto]],TB_Producto[Producto],TB_Producto[Precio Unitario],"Producto Incorrecto")</f>
        <v>1</v>
      </c>
      <c r="G42" s="39">
        <f>TB_Salidas[[#This Row],[Cantidad Vendida]]*TB_Salidas[[#This Row],[Precio Unitario]]</f>
        <v>100</v>
      </c>
    </row>
    <row r="43" spans="2:7" ht="18" x14ac:dyDescent="0.35">
      <c r="B43" s="3">
        <v>44811</v>
      </c>
      <c r="C43" s="2">
        <f>MONTH(TB_Salidas[[#This Row],[Fecha]])</f>
        <v>9</v>
      </c>
      <c r="D43" s="42" t="s">
        <v>5</v>
      </c>
      <c r="E43" s="43">
        <v>35</v>
      </c>
      <c r="F43" s="39">
        <f>_xlfn.XLOOKUP(TB_Salidas[[#This Row],[Producto]],TB_Producto[Producto],TB_Producto[Precio Unitario],"Producto Incorrecto")</f>
        <v>5</v>
      </c>
      <c r="G43" s="39">
        <f>TB_Salidas[[#This Row],[Cantidad Vendida]]*TB_Salidas[[#This Row],[Precio Unitario]]</f>
        <v>175</v>
      </c>
    </row>
    <row r="44" spans="2:7" ht="18" x14ac:dyDescent="0.35">
      <c r="B44" s="3">
        <v>44821</v>
      </c>
      <c r="C44" s="2">
        <f>MONTH(TB_Salidas[[#This Row],[Fecha]])</f>
        <v>9</v>
      </c>
      <c r="D44" s="42" t="s">
        <v>18</v>
      </c>
      <c r="E44" s="43">
        <v>42</v>
      </c>
      <c r="F44" s="39">
        <f>_xlfn.XLOOKUP(TB_Salidas[[#This Row],[Producto]],TB_Producto[Producto],TB_Producto[Precio Unitario],"Producto Incorrecto")</f>
        <v>7</v>
      </c>
      <c r="G44" s="39">
        <f>TB_Salidas[[#This Row],[Cantidad Vendida]]*TB_Salidas[[#This Row],[Precio Unitario]]</f>
        <v>294</v>
      </c>
    </row>
    <row r="45" spans="2:7" ht="18" x14ac:dyDescent="0.35">
      <c r="B45" s="3">
        <v>44823</v>
      </c>
      <c r="C45" s="2">
        <f>MONTH(TB_Salidas[[#This Row],[Fecha]])</f>
        <v>9</v>
      </c>
      <c r="D45" s="42" t="s">
        <v>25</v>
      </c>
      <c r="E45" s="43">
        <v>32</v>
      </c>
      <c r="F45" s="39">
        <f>_xlfn.XLOOKUP(TB_Salidas[[#This Row],[Producto]],TB_Producto[Producto],TB_Producto[Precio Unitario],"Producto Incorrecto")</f>
        <v>7</v>
      </c>
      <c r="G45" s="39">
        <f>TB_Salidas[[#This Row],[Cantidad Vendida]]*TB_Salidas[[#This Row],[Precio Unitario]]</f>
        <v>224</v>
      </c>
    </row>
    <row r="46" spans="2:7" ht="18" x14ac:dyDescent="0.35">
      <c r="B46" s="3">
        <v>44829</v>
      </c>
      <c r="C46" s="2">
        <f>MONTH(TB_Salidas[[#This Row],[Fecha]])</f>
        <v>9</v>
      </c>
      <c r="D46" s="42" t="s">
        <v>32</v>
      </c>
      <c r="E46" s="43">
        <v>48</v>
      </c>
      <c r="F46" s="39">
        <f>_xlfn.XLOOKUP(TB_Salidas[[#This Row],[Producto]],TB_Producto[Producto],TB_Producto[Precio Unitario],"Producto Incorrecto")</f>
        <v>3</v>
      </c>
      <c r="G46" s="39">
        <f>TB_Salidas[[#This Row],[Cantidad Vendida]]*TB_Salidas[[#This Row],[Precio Unitario]]</f>
        <v>144</v>
      </c>
    </row>
    <row r="47" spans="2:7" ht="18" x14ac:dyDescent="0.35">
      <c r="B47" s="3">
        <v>44834</v>
      </c>
      <c r="C47" s="2">
        <f>MONTH(TB_Salidas[[#This Row],[Fecha]])</f>
        <v>9</v>
      </c>
      <c r="D47" s="42" t="s">
        <v>20</v>
      </c>
      <c r="E47" s="43">
        <v>30</v>
      </c>
      <c r="F47" s="39">
        <f>_xlfn.XLOOKUP(TB_Salidas[[#This Row],[Producto]],TB_Producto[Producto],TB_Producto[Precio Unitario],"Producto Incorrecto")</f>
        <v>3.5</v>
      </c>
      <c r="G47" s="39">
        <f>TB_Salidas[[#This Row],[Cantidad Vendida]]*TB_Salidas[[#This Row],[Precio Unitario]]</f>
        <v>105</v>
      </c>
    </row>
    <row r="48" spans="2:7" ht="18" x14ac:dyDescent="0.35">
      <c r="B48" s="3">
        <v>44838</v>
      </c>
      <c r="C48" s="2">
        <f>MONTH(TB_Salidas[[#This Row],[Fecha]])</f>
        <v>10</v>
      </c>
      <c r="D48" s="42" t="s">
        <v>18</v>
      </c>
      <c r="E48" s="43">
        <v>34</v>
      </c>
      <c r="F48" s="39">
        <f>_xlfn.XLOOKUP(TB_Salidas[[#This Row],[Producto]],TB_Producto[Producto],TB_Producto[Precio Unitario],"Producto Incorrecto")</f>
        <v>7</v>
      </c>
      <c r="G48" s="39">
        <f>TB_Salidas[[#This Row],[Cantidad Vendida]]*TB_Salidas[[#This Row],[Precio Unitario]]</f>
        <v>238</v>
      </c>
    </row>
    <row r="49" spans="2:7" ht="18" x14ac:dyDescent="0.35">
      <c r="B49" s="3">
        <v>44847</v>
      </c>
      <c r="C49" s="2">
        <f>MONTH(TB_Salidas[[#This Row],[Fecha]])</f>
        <v>10</v>
      </c>
      <c r="D49" s="42" t="s">
        <v>31</v>
      </c>
      <c r="E49" s="43">
        <v>30</v>
      </c>
      <c r="F49" s="39">
        <f>_xlfn.XLOOKUP(TB_Salidas[[#This Row],[Producto]],TB_Producto[Producto],TB_Producto[Precio Unitario],"Producto Incorrecto")</f>
        <v>5</v>
      </c>
      <c r="G49" s="39">
        <f>TB_Salidas[[#This Row],[Cantidad Vendida]]*TB_Salidas[[#This Row],[Precio Unitario]]</f>
        <v>150</v>
      </c>
    </row>
    <row r="50" spans="2:7" ht="18" x14ac:dyDescent="0.35">
      <c r="B50" s="3">
        <v>44851</v>
      </c>
      <c r="C50" s="2">
        <f>MONTH(TB_Salidas[[#This Row],[Fecha]])</f>
        <v>10</v>
      </c>
      <c r="D50" s="42" t="s">
        <v>32</v>
      </c>
      <c r="E50" s="43">
        <v>30</v>
      </c>
      <c r="F50" s="39">
        <f>_xlfn.XLOOKUP(TB_Salidas[[#This Row],[Producto]],TB_Producto[Producto],TB_Producto[Precio Unitario],"Producto Incorrecto")</f>
        <v>3</v>
      </c>
      <c r="G50" s="39">
        <f>TB_Salidas[[#This Row],[Cantidad Vendida]]*TB_Salidas[[#This Row],[Precio Unitario]]</f>
        <v>90</v>
      </c>
    </row>
    <row r="51" spans="2:7" ht="18" x14ac:dyDescent="0.35">
      <c r="B51" s="3">
        <v>44862</v>
      </c>
      <c r="C51" s="2">
        <f>MONTH(TB_Salidas[[#This Row],[Fecha]])</f>
        <v>10</v>
      </c>
      <c r="D51" s="42" t="s">
        <v>20</v>
      </c>
      <c r="E51" s="43">
        <v>15</v>
      </c>
      <c r="F51" s="39">
        <f>_xlfn.XLOOKUP(TB_Salidas[[#This Row],[Producto]],TB_Producto[Producto],TB_Producto[Precio Unitario],"Producto Incorrecto")</f>
        <v>3.5</v>
      </c>
      <c r="G51" s="39">
        <f>TB_Salidas[[#This Row],[Cantidad Vendida]]*TB_Salidas[[#This Row],[Precio Unitario]]</f>
        <v>52.5</v>
      </c>
    </row>
    <row r="52" spans="2:7" ht="18" x14ac:dyDescent="0.35">
      <c r="B52" s="3">
        <v>44865</v>
      </c>
      <c r="C52" s="2">
        <f>MONTH(TB_Salidas[[#This Row],[Fecha]])</f>
        <v>10</v>
      </c>
      <c r="D52" s="42" t="s">
        <v>26</v>
      </c>
      <c r="E52" s="43">
        <v>35</v>
      </c>
      <c r="F52" s="39">
        <f>_xlfn.XLOOKUP(TB_Salidas[[#This Row],[Producto]],TB_Producto[Producto],TB_Producto[Precio Unitario],"Producto Incorrecto")</f>
        <v>3</v>
      </c>
      <c r="G52" s="39">
        <f>TB_Salidas[[#This Row],[Cantidad Vendida]]*TB_Salidas[[#This Row],[Precio Unitario]]</f>
        <v>105</v>
      </c>
    </row>
    <row r="53" spans="2:7" ht="18" x14ac:dyDescent="0.35">
      <c r="B53" s="3">
        <v>44865</v>
      </c>
      <c r="C53" s="2">
        <f>MONTH(TB_Salidas[[#This Row],[Fecha]])</f>
        <v>10</v>
      </c>
      <c r="D53" s="42" t="s">
        <v>5</v>
      </c>
      <c r="E53" s="43">
        <v>30</v>
      </c>
      <c r="F53" s="39">
        <f>_xlfn.XLOOKUP(TB_Salidas[[#This Row],[Producto]],TB_Producto[Producto],TB_Producto[Precio Unitario],"Producto Incorrecto")</f>
        <v>5</v>
      </c>
      <c r="G53" s="39">
        <f>TB_Salidas[[#This Row],[Cantidad Vendida]]*TB_Salidas[[#This Row],[Precio Unitario]]</f>
        <v>150</v>
      </c>
    </row>
    <row r="54" spans="2:7" ht="18" x14ac:dyDescent="0.35">
      <c r="B54" s="3">
        <v>44869</v>
      </c>
      <c r="C54" s="2">
        <f>MONTH(TB_Salidas[[#This Row],[Fecha]])</f>
        <v>11</v>
      </c>
      <c r="D54" s="42" t="s">
        <v>20</v>
      </c>
      <c r="E54" s="43">
        <v>30</v>
      </c>
      <c r="F54" s="39">
        <f>_xlfn.XLOOKUP(TB_Salidas[[#This Row],[Producto]],TB_Producto[Producto],TB_Producto[Precio Unitario],"Producto Incorrecto")</f>
        <v>3.5</v>
      </c>
      <c r="G54" s="39">
        <f>TB_Salidas[[#This Row],[Cantidad Vendida]]*TB_Salidas[[#This Row],[Precio Unitario]]</f>
        <v>105</v>
      </c>
    </row>
    <row r="55" spans="2:7" ht="18" x14ac:dyDescent="0.35">
      <c r="B55" s="3">
        <v>44870</v>
      </c>
      <c r="C55" s="2">
        <f>MONTH(TB_Salidas[[#This Row],[Fecha]])</f>
        <v>11</v>
      </c>
      <c r="D55" s="42" t="s">
        <v>32</v>
      </c>
      <c r="E55" s="43">
        <v>15</v>
      </c>
      <c r="F55" s="39">
        <f>_xlfn.XLOOKUP(TB_Salidas[[#This Row],[Producto]],TB_Producto[Producto],TB_Producto[Precio Unitario],"Producto Incorrecto")</f>
        <v>3</v>
      </c>
      <c r="G55" s="39">
        <f>TB_Salidas[[#This Row],[Cantidad Vendida]]*TB_Salidas[[#This Row],[Precio Unitario]]</f>
        <v>45</v>
      </c>
    </row>
    <row r="56" spans="2:7" ht="18" x14ac:dyDescent="0.35">
      <c r="B56" s="3">
        <v>44872</v>
      </c>
      <c r="C56" s="2">
        <f>MONTH(TB_Salidas[[#This Row],[Fecha]])</f>
        <v>11</v>
      </c>
      <c r="D56" s="42" t="s">
        <v>5</v>
      </c>
      <c r="E56" s="43">
        <v>50</v>
      </c>
      <c r="F56" s="39">
        <f>_xlfn.XLOOKUP(TB_Salidas[[#This Row],[Producto]],TB_Producto[Producto],TB_Producto[Precio Unitario],"Producto Incorrecto")</f>
        <v>5</v>
      </c>
      <c r="G56" s="39">
        <f>TB_Salidas[[#This Row],[Cantidad Vendida]]*TB_Salidas[[#This Row],[Precio Unitario]]</f>
        <v>250</v>
      </c>
    </row>
    <row r="57" spans="2:7" ht="18" x14ac:dyDescent="0.35">
      <c r="B57" s="3">
        <v>44886</v>
      </c>
      <c r="C57" s="2">
        <f>MONTH(TB_Salidas[[#This Row],[Fecha]])</f>
        <v>11</v>
      </c>
      <c r="D57" s="42" t="s">
        <v>18</v>
      </c>
      <c r="E57" s="43">
        <v>24</v>
      </c>
      <c r="F57" s="39">
        <f>_xlfn.XLOOKUP(TB_Salidas[[#This Row],[Producto]],TB_Producto[Producto],TB_Producto[Precio Unitario],"Producto Incorrecto")</f>
        <v>7</v>
      </c>
      <c r="G57" s="39">
        <f>TB_Salidas[[#This Row],[Cantidad Vendida]]*TB_Salidas[[#This Row],[Precio Unitario]]</f>
        <v>168</v>
      </c>
    </row>
    <row r="58" spans="2:7" ht="18" x14ac:dyDescent="0.35">
      <c r="B58" s="3">
        <v>44897</v>
      </c>
      <c r="C58" s="2">
        <f>MONTH(TB_Salidas[[#This Row],[Fecha]])</f>
        <v>12</v>
      </c>
      <c r="D58" s="42" t="s">
        <v>32</v>
      </c>
      <c r="E58" s="43">
        <v>28</v>
      </c>
      <c r="F58" s="39">
        <f>_xlfn.XLOOKUP(TB_Salidas[[#This Row],[Producto]],TB_Producto[Producto],TB_Producto[Precio Unitario],"Producto Incorrecto")</f>
        <v>3</v>
      </c>
      <c r="G58" s="39">
        <f>TB_Salidas[[#This Row],[Cantidad Vendida]]*TB_Salidas[[#This Row],[Precio Unitario]]</f>
        <v>84</v>
      </c>
    </row>
    <row r="59" spans="2:7" ht="18" x14ac:dyDescent="0.35">
      <c r="B59" s="3">
        <v>44905</v>
      </c>
      <c r="C59" s="2">
        <f>MONTH(TB_Salidas[[#This Row],[Fecha]])</f>
        <v>12</v>
      </c>
      <c r="D59" s="42" t="s">
        <v>26</v>
      </c>
      <c r="E59" s="43">
        <v>25</v>
      </c>
      <c r="F59" s="39">
        <f>_xlfn.XLOOKUP(TB_Salidas[[#This Row],[Producto]],TB_Producto[Producto],TB_Producto[Precio Unitario],"Producto Incorrecto")</f>
        <v>3</v>
      </c>
      <c r="G59" s="39">
        <f>TB_Salidas[[#This Row],[Cantidad Vendida]]*TB_Salidas[[#This Row],[Precio Unitario]]</f>
        <v>75</v>
      </c>
    </row>
    <row r="60" spans="2:7" ht="18" x14ac:dyDescent="0.35">
      <c r="B60" s="3">
        <v>44915</v>
      </c>
      <c r="C60" s="2">
        <f>MONTH(TB_Salidas[[#This Row],[Fecha]])</f>
        <v>12</v>
      </c>
      <c r="D60" s="42" t="s">
        <v>5</v>
      </c>
      <c r="E60" s="43">
        <v>100</v>
      </c>
      <c r="F60" s="39">
        <f>_xlfn.XLOOKUP(TB_Salidas[[#This Row],[Producto]],TB_Producto[Producto],TB_Producto[Precio Unitario],"Producto Incorrecto")</f>
        <v>5</v>
      </c>
      <c r="G60" s="39">
        <f>TB_Salidas[[#This Row],[Cantidad Vendida]]*TB_Salidas[[#This Row],[Precio Unitario]]</f>
        <v>500</v>
      </c>
    </row>
    <row r="61" spans="2:7" ht="18" x14ac:dyDescent="0.35">
      <c r="B61" s="3">
        <v>44917</v>
      </c>
      <c r="C61" s="2">
        <f>MONTH(TB_Salidas[[#This Row],[Fecha]])</f>
        <v>12</v>
      </c>
      <c r="D61" s="42" t="s">
        <v>18</v>
      </c>
      <c r="E61" s="43">
        <v>23</v>
      </c>
      <c r="F61" s="39">
        <f>_xlfn.XLOOKUP(TB_Salidas[[#This Row],[Producto]],TB_Producto[Producto],TB_Producto[Precio Unitario],"Producto Incorrecto")</f>
        <v>7</v>
      </c>
      <c r="G61" s="39">
        <f>TB_Salidas[[#This Row],[Cantidad Vendida]]*TB_Salidas[[#This Row],[Precio Unitario]]</f>
        <v>161</v>
      </c>
    </row>
  </sheetData>
  <phoneticPr fontId="3" type="noConversion"/>
  <dataValidations count="1">
    <dataValidation type="list" allowBlank="1" showInputMessage="1" showErrorMessage="1" sqref="D5:D61" xr:uid="{A74964A8-91A9-45C8-9AC1-F74D15B74F40}">
      <formula1>Lista_Productos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A377-E484-4993-9A78-51A02F4E80EA}">
  <dimension ref="B1:J16"/>
  <sheetViews>
    <sheetView showGridLines="0" workbookViewId="0">
      <selection activeCell="C10" sqref="C10:Y27"/>
    </sheetView>
  </sheetViews>
  <sheetFormatPr baseColWidth="10" defaultColWidth="9.140625" defaultRowHeight="15" x14ac:dyDescent="0.2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bestFit="1" customWidth="1"/>
    <col min="7" max="7" width="3.28515625" customWidth="1"/>
  </cols>
  <sheetData>
    <row r="1" spans="2:10" s="5" customFormat="1" ht="60" customHeight="1" x14ac:dyDescent="0.25">
      <c r="E1" s="6"/>
      <c r="F1" s="7"/>
      <c r="G1" s="6" t="s">
        <v>71</v>
      </c>
    </row>
    <row r="2" spans="2:10" s="8" customFormat="1" ht="6" customHeight="1" x14ac:dyDescent="0.25">
      <c r="F2" s="9"/>
    </row>
    <row r="3" spans="2:10" x14ac:dyDescent="0.25">
      <c r="C3" s="60"/>
      <c r="F3" s="60"/>
    </row>
    <row r="4" spans="2:10" ht="9.75" customHeight="1" x14ac:dyDescent="0.35">
      <c r="C4" s="52"/>
      <c r="D4" s="59"/>
      <c r="E4" s="59"/>
      <c r="F4" s="59"/>
      <c r="G4" s="52"/>
    </row>
    <row r="5" spans="2:10" ht="27.75" customHeight="1" x14ac:dyDescent="0.35">
      <c r="B5" s="46"/>
      <c r="C5" s="52"/>
      <c r="D5" s="57" t="s">
        <v>61</v>
      </c>
      <c r="E5" s="58"/>
      <c r="F5" s="57" t="s">
        <v>2</v>
      </c>
      <c r="G5" s="52"/>
    </row>
    <row r="6" spans="2:10" s="51" customFormat="1" ht="27.75" customHeight="1" x14ac:dyDescent="0.35">
      <c r="B6" s="46"/>
      <c r="C6" s="52"/>
      <c r="D6" s="56" t="s">
        <v>70</v>
      </c>
      <c r="E6" s="52"/>
      <c r="F6" s="50" t="str">
        <f>"=Café"</f>
        <v>=Café</v>
      </c>
      <c r="G6" s="52"/>
      <c r="I6" s="55"/>
      <c r="J6" s="54"/>
    </row>
    <row r="7" spans="2:10" s="51" customFormat="1" ht="15" customHeight="1" x14ac:dyDescent="0.35">
      <c r="B7" s="46"/>
      <c r="C7" s="52"/>
      <c r="D7" s="53"/>
      <c r="E7" s="52"/>
      <c r="F7" s="53"/>
      <c r="G7" s="52"/>
    </row>
    <row r="8" spans="2:10" ht="27.75" customHeight="1" x14ac:dyDescent="0.25">
      <c r="B8" s="46"/>
      <c r="C8" s="47"/>
      <c r="D8" s="49" t="s">
        <v>64</v>
      </c>
      <c r="E8" s="49"/>
      <c r="F8" s="50">
        <f>DSUM(TB_Salidas[#All],Consulta!D8,Consulta!D5:F6)</f>
        <v>405</v>
      </c>
      <c r="G8" s="47" t="s">
        <v>69</v>
      </c>
    </row>
    <row r="9" spans="2:10" ht="15" customHeight="1" x14ac:dyDescent="0.25">
      <c r="B9" s="46"/>
      <c r="C9" s="47"/>
      <c r="D9" s="49"/>
      <c r="E9" s="49"/>
      <c r="F9" s="47"/>
      <c r="G9" s="47"/>
    </row>
    <row r="10" spans="2:10" ht="27.75" customHeight="1" x14ac:dyDescent="0.25">
      <c r="B10" s="46"/>
      <c r="C10" s="47"/>
      <c r="D10" s="49" t="s">
        <v>68</v>
      </c>
      <c r="E10" s="49"/>
      <c r="F10" s="50">
        <f>DSUM(TB_Entradas[#All],"Cantidad Comprada",Consulta!D5:F6)-F8</f>
        <v>5</v>
      </c>
      <c r="G10" s="47"/>
    </row>
    <row r="11" spans="2:10" ht="15" customHeight="1" x14ac:dyDescent="0.25">
      <c r="B11" s="46"/>
      <c r="C11" s="47"/>
      <c r="D11" s="49"/>
      <c r="E11" s="49"/>
      <c r="F11" s="49"/>
      <c r="G11" s="47"/>
    </row>
    <row r="12" spans="2:10" ht="27.75" customHeight="1" x14ac:dyDescent="0.25">
      <c r="B12" s="46"/>
      <c r="C12" s="47"/>
      <c r="D12" s="49" t="s">
        <v>67</v>
      </c>
      <c r="E12" s="49"/>
      <c r="F12" s="48">
        <f>DSUM(TB_Entradas[#All],Consulta!D12,Consulta!D5:F6)</f>
        <v>1230</v>
      </c>
      <c r="G12" s="47"/>
    </row>
    <row r="13" spans="2:10" ht="15" customHeight="1" x14ac:dyDescent="0.25">
      <c r="B13" s="46"/>
      <c r="C13" s="47"/>
      <c r="D13" s="49"/>
      <c r="E13" s="49"/>
      <c r="F13" s="47"/>
      <c r="G13" s="47"/>
    </row>
    <row r="14" spans="2:10" ht="27.75" customHeight="1" x14ac:dyDescent="0.25">
      <c r="B14" s="46"/>
      <c r="C14" s="47"/>
      <c r="D14" s="49" t="s">
        <v>65</v>
      </c>
      <c r="E14" s="49"/>
      <c r="F14" s="48">
        <f>DSUM(TB_Salidas[#All],Consulta!D14,Consulta!D5:F6)</f>
        <v>2025</v>
      </c>
      <c r="G14" s="47"/>
    </row>
    <row r="15" spans="2:10" ht="21.75" customHeight="1" x14ac:dyDescent="0.25">
      <c r="B15" s="46"/>
      <c r="C15" s="47"/>
      <c r="D15" s="47"/>
      <c r="E15" s="47"/>
      <c r="F15" s="47"/>
      <c r="G15" s="47"/>
    </row>
    <row r="16" spans="2:10" ht="12" customHeight="1" x14ac:dyDescent="0.25">
      <c r="B16" s="46"/>
      <c r="C16" s="46"/>
      <c r="D16" s="46"/>
      <c r="E16" s="46"/>
      <c r="F16" s="46"/>
      <c r="G16" s="4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E368-EC84-4B2E-9B37-359BF79BF9ED}">
  <dimension ref="B1:Q20"/>
  <sheetViews>
    <sheetView showGridLines="0" zoomScaleNormal="100" workbookViewId="0">
      <selection activeCell="C10" sqref="C10:Y27"/>
    </sheetView>
  </sheetViews>
  <sheetFormatPr baseColWidth="10" defaultColWidth="9.140625" defaultRowHeight="15" x14ac:dyDescent="0.25"/>
  <cols>
    <col min="1" max="1" width="3.85546875" customWidth="1"/>
    <col min="2" max="2" width="18.5703125" customWidth="1"/>
    <col min="3" max="5" width="13.42578125" customWidth="1"/>
    <col min="6" max="6" width="14" customWidth="1"/>
    <col min="7" max="7" width="22.28515625" customWidth="1"/>
    <col min="8" max="8" width="24.5703125" bestFit="1" customWidth="1"/>
    <col min="9" max="9" width="13.42578125" customWidth="1"/>
    <col min="10" max="10" width="15.5703125" customWidth="1"/>
    <col min="11" max="13" width="2.28515625" customWidth="1"/>
    <col min="14" max="14" width="14.28515625" customWidth="1"/>
    <col min="15" max="15" width="2.28515625" customWidth="1"/>
    <col min="16" max="16" width="14.28515625" customWidth="1"/>
    <col min="17" max="17" width="2.28515625" customWidth="1"/>
  </cols>
  <sheetData>
    <row r="1" spans="2:17" s="5" customFormat="1" ht="60" customHeight="1" x14ac:dyDescent="0.25">
      <c r="E1" s="6"/>
      <c r="F1" s="7"/>
      <c r="G1" s="6" t="s">
        <v>72</v>
      </c>
    </row>
    <row r="2" spans="2:17" s="8" customFormat="1" ht="6" customHeight="1" x14ac:dyDescent="0.25">
      <c r="F2" s="9"/>
    </row>
    <row r="5" spans="2:17" s="62" customFormat="1" ht="36" x14ac:dyDescent="0.25">
      <c r="B5" s="61" t="s">
        <v>2</v>
      </c>
      <c r="C5" s="61" t="s">
        <v>73</v>
      </c>
      <c r="D5" s="61" t="s">
        <v>74</v>
      </c>
      <c r="E5" s="61" t="s">
        <v>68</v>
      </c>
      <c r="F5" s="61" t="s">
        <v>35</v>
      </c>
      <c r="G5" s="61" t="s">
        <v>75</v>
      </c>
      <c r="H5" s="61" t="s">
        <v>65</v>
      </c>
      <c r="I5" s="61" t="s">
        <v>76</v>
      </c>
      <c r="J5" s="61" t="s">
        <v>77</v>
      </c>
    </row>
    <row r="6" spans="2:17" ht="18" x14ac:dyDescent="0.35">
      <c r="B6" s="64" t="s">
        <v>27</v>
      </c>
      <c r="C6" s="65">
        <f>SUMIF(TB_Entradas[Producto],TB_ControlStock[[#This Row],[Producto]],TB_Entradas[Cantidad Comprada])</f>
        <v>300</v>
      </c>
      <c r="D6" s="65">
        <f>SUMIF(TB_Salidas[Producto],TB_ControlStock[[#This Row],[Producto]],TB_Salidas[Cantidad Vendida])</f>
        <v>210</v>
      </c>
      <c r="E6" s="65">
        <f>TB_ControlStock[[#This Row],[Entradas]]-TB_ControlStock[[#This Row],[Salidas]]</f>
        <v>90</v>
      </c>
      <c r="F6" s="65">
        <f>_xlfn.XLOOKUP(TB_ControlStock[[#This Row],[Producto]],TB_Producto[Producto],TB_Producto[Stock Mínimo],"No Encontrado")</f>
        <v>30</v>
      </c>
      <c r="G6" s="64" t="str" cm="1">
        <f t="array" ref="G6">_xlfn.IFS(TB_ControlStock[[#This Row],[Cantidad en Stock]]&gt;TB_ControlStock[[#This Row],[Stock Mínimo]],"Stock OK",TB_ControlStock[[#This Row],[Cantidad en Stock]]=0,"Stock Agotado",TRUE,"Stock Bajo")</f>
        <v>Stock OK</v>
      </c>
      <c r="H6" s="66">
        <f>SUMIFS(TB_Salidas[Valor de Venta],TB_Salidas[Producto],TB_ControlStock[[#This Row],[Producto]])</f>
        <v>210</v>
      </c>
      <c r="I6" s="67">
        <f>SUMIFS(TB_Entradas[Valor de Compra],TB_Entradas[Producto],TB_ControlStock[[#This Row],[Producto]])</f>
        <v>150</v>
      </c>
      <c r="J6" s="67">
        <f>TB_ControlStock[[#This Row],[Valor de Venta]]-TB_ControlStock[[#This Row],[Costo Total]]</f>
        <v>60</v>
      </c>
      <c r="M6" s="59"/>
      <c r="N6" s="59"/>
      <c r="O6" s="59"/>
      <c r="P6" s="59"/>
      <c r="Q6" s="59"/>
    </row>
    <row r="7" spans="2:17" ht="18" customHeight="1" x14ac:dyDescent="0.35">
      <c r="B7" s="64" t="s">
        <v>22</v>
      </c>
      <c r="C7" s="65">
        <f>SUMIF(TB_Entradas[Producto],TB_ControlStock[[#This Row],[Producto]],TB_Entradas[Cantidad Comprada])</f>
        <v>0</v>
      </c>
      <c r="D7" s="65">
        <f>SUMIF(TB_Salidas[Producto],TB_ControlStock[[#This Row],[Producto]],TB_Salidas[Cantidad Vendida])</f>
        <v>0</v>
      </c>
      <c r="E7" s="65">
        <f>TB_ControlStock[[#This Row],[Entradas]]-TB_ControlStock[[#This Row],[Salidas]]</f>
        <v>0</v>
      </c>
      <c r="F7" s="65">
        <f>_xlfn.XLOOKUP(TB_ControlStock[[#This Row],[Producto]],TB_Producto[Producto],TB_Producto[Stock Mínimo],"No Encontrado")</f>
        <v>10</v>
      </c>
      <c r="G7" s="64" t="str" cm="1">
        <f t="array" ref="G7">_xlfn.IFS(TB_ControlStock[[#This Row],[Cantidad en Stock]]&gt;TB_ControlStock[[#This Row],[Stock Mínimo]],"Stock OK",TB_ControlStock[[#This Row],[Cantidad en Stock]]=0,"Stock Agotado",TRUE,"Stock Bajo")</f>
        <v>Stock Agotado</v>
      </c>
      <c r="H7" s="66">
        <f>SUMIFS(TB_Salidas[Valor de Venta],TB_Salidas[Producto],TB_ControlStock[[#This Row],[Producto]])</f>
        <v>0</v>
      </c>
      <c r="I7" s="67">
        <f>SUMIFS(TB_Entradas[Valor de Compra],TB_Entradas[Producto],TB_ControlStock[[#This Row],[Producto]])</f>
        <v>0</v>
      </c>
      <c r="J7" s="67">
        <f>TB_ControlStock[[#This Row],[Valor de Venta]]-TB_ControlStock[[#This Row],[Costo Total]]</f>
        <v>0</v>
      </c>
      <c r="L7" s="46"/>
      <c r="M7" s="59"/>
      <c r="N7" s="108" t="s">
        <v>78</v>
      </c>
      <c r="O7" s="108"/>
      <c r="P7" s="108"/>
      <c r="Q7" s="59"/>
    </row>
    <row r="8" spans="2:17" ht="16.149999999999999" customHeight="1" x14ac:dyDescent="0.35">
      <c r="B8" s="64" t="s">
        <v>5</v>
      </c>
      <c r="C8" s="65">
        <f>SUMIF(TB_Entradas[Producto],TB_ControlStock[[#This Row],[Producto]],TB_Entradas[Cantidad Comprada])</f>
        <v>1245</v>
      </c>
      <c r="D8" s="65">
        <f>SUMIF(TB_Salidas[Producto],TB_ControlStock[[#This Row],[Producto]],TB_Salidas[Cantidad Vendida])</f>
        <v>997</v>
      </c>
      <c r="E8" s="65">
        <f>TB_ControlStock[[#This Row],[Entradas]]-TB_ControlStock[[#This Row],[Salidas]]</f>
        <v>248</v>
      </c>
      <c r="F8" s="65">
        <f>_xlfn.XLOOKUP(TB_ControlStock[[#This Row],[Producto]],TB_Producto[Producto],TB_Producto[Stock Mínimo],"No Encontrado")</f>
        <v>20</v>
      </c>
      <c r="G8" s="64" t="str" cm="1">
        <f t="array" ref="G8">_xlfn.IFS(TB_ControlStock[[#This Row],[Cantidad en Stock]]&gt;TB_ControlStock[[#This Row],[Stock Mínimo]],"Stock OK",TB_ControlStock[[#This Row],[Cantidad en Stock]]=0,"Stock Agotado",TRUE,"Stock Bajo")</f>
        <v>Stock OK</v>
      </c>
      <c r="H8" s="66">
        <f>SUMIFS(TB_Salidas[Valor de Venta],TB_Salidas[Producto],TB_ControlStock[[#This Row],[Producto]])</f>
        <v>4985</v>
      </c>
      <c r="I8" s="67">
        <f>SUMIFS(TB_Entradas[Valor de Compra],TB_Entradas[Producto],TB_ControlStock[[#This Row],[Producto]])</f>
        <v>3735</v>
      </c>
      <c r="J8" s="67">
        <f>TB_ControlStock[[#This Row],[Valor de Venta]]-TB_ControlStock[[#This Row],[Costo Total]]</f>
        <v>1250</v>
      </c>
      <c r="L8" s="46"/>
      <c r="M8" s="59"/>
      <c r="N8" s="68" t="s">
        <v>77</v>
      </c>
      <c r="O8" s="59"/>
      <c r="P8" s="68" t="s">
        <v>2</v>
      </c>
      <c r="Q8" s="59"/>
    </row>
    <row r="9" spans="2:17" ht="18" x14ac:dyDescent="0.25">
      <c r="B9" s="64" t="s">
        <v>26</v>
      </c>
      <c r="C9" s="65">
        <f>SUMIF(TB_Entradas[Producto],TB_ControlStock[[#This Row],[Producto]],TB_Entradas[Cantidad Comprada])</f>
        <v>85</v>
      </c>
      <c r="D9" s="65">
        <f>SUMIF(TB_Salidas[Producto],TB_ControlStock[[#This Row],[Producto]],TB_Salidas[Cantidad Vendida])</f>
        <v>102</v>
      </c>
      <c r="E9" s="65">
        <f>TB_ControlStock[[#This Row],[Entradas]]-TB_ControlStock[[#This Row],[Salidas]]</f>
        <v>-17</v>
      </c>
      <c r="F9" s="65">
        <f>_xlfn.XLOOKUP(TB_ControlStock[[#This Row],[Producto]],TB_Producto[Producto],TB_Producto[Stock Mínimo],"No Encontrado")</f>
        <v>50</v>
      </c>
      <c r="G9" s="64" t="str" cm="1">
        <f t="array" ref="G9">_xlfn.IFS(TB_ControlStock[[#This Row],[Cantidad en Stock]]&gt;TB_ControlStock[[#This Row],[Stock Mínimo]],"Stock OK",TB_ControlStock[[#This Row],[Cantidad en Stock]]=0,"Stock Agotado",TRUE,"Stock Bajo")</f>
        <v>Stock Bajo</v>
      </c>
      <c r="H9" s="66">
        <f>SUMIFS(TB_Salidas[Valor de Venta],TB_Salidas[Producto],TB_ControlStock[[#This Row],[Producto]])</f>
        <v>306</v>
      </c>
      <c r="I9" s="67">
        <f>SUMIFS(TB_Entradas[Valor de Compra],TB_Entradas[Producto],TB_ControlStock[[#This Row],[Producto]])</f>
        <v>127.5</v>
      </c>
      <c r="J9" s="67">
        <f>TB_ControlStock[[#This Row],[Valor de Venta]]-TB_ControlStock[[#This Row],[Costo Total]]</f>
        <v>178.5</v>
      </c>
      <c r="L9" s="46"/>
      <c r="M9" s="69"/>
      <c r="N9" s="109">
        <f>MAX(TB_ControlStock[Ganancias])</f>
        <v>1250</v>
      </c>
      <c r="O9" s="69"/>
      <c r="P9" s="111" t="str">
        <f>DGET(TB_ControlStock[#All],1,N8:N9)</f>
        <v>Café</v>
      </c>
      <c r="Q9" s="69"/>
    </row>
    <row r="10" spans="2:17" ht="18" x14ac:dyDescent="0.25">
      <c r="B10" s="64" t="s">
        <v>40</v>
      </c>
      <c r="C10" s="65">
        <f>SUMIF(TB_Entradas[Producto],TB_ControlStock[[#This Row],[Producto]],TB_Entradas[Cantidad Comprada])</f>
        <v>0</v>
      </c>
      <c r="D10" s="65">
        <f>SUMIF(TB_Salidas[Producto],TB_ControlStock[[#This Row],[Producto]],TB_Salidas[Cantidad Vendida])</f>
        <v>0</v>
      </c>
      <c r="E10" s="65">
        <f>TB_ControlStock[[#This Row],[Entradas]]-TB_ControlStock[[#This Row],[Salidas]]</f>
        <v>0</v>
      </c>
      <c r="F10" s="65">
        <f>_xlfn.XLOOKUP(TB_ControlStock[[#This Row],[Producto]],TB_Producto[Producto],TB_Producto[Stock Mínimo],"No Encontrado")</f>
        <v>10</v>
      </c>
      <c r="G10" s="64" t="str" cm="1">
        <f t="array" ref="G10">_xlfn.IFS(TB_ControlStock[[#This Row],[Cantidad en Stock]]&gt;TB_ControlStock[[#This Row],[Stock Mínimo]],"Stock OK",TB_ControlStock[[#This Row],[Cantidad en Stock]]=0,"Stock Agotado",TRUE,"Stock Bajo")</f>
        <v>Stock Agotado</v>
      </c>
      <c r="H10" s="66">
        <f>SUMIFS(TB_Salidas[Valor de Venta],TB_Salidas[Producto],TB_ControlStock[[#This Row],[Producto]])</f>
        <v>0</v>
      </c>
      <c r="I10" s="67">
        <f>SUMIFS(TB_Entradas[Valor de Compra],TB_Entradas[Producto],TB_ControlStock[[#This Row],[Producto]])</f>
        <v>0</v>
      </c>
      <c r="J10" s="67">
        <f>TB_ControlStock[[#This Row],[Valor de Venta]]-TB_ControlStock[[#This Row],[Costo Total]]</f>
        <v>0</v>
      </c>
      <c r="L10" s="46"/>
      <c r="M10" s="69"/>
      <c r="N10" s="110"/>
      <c r="O10" s="69"/>
      <c r="P10" s="112"/>
      <c r="Q10" s="69"/>
    </row>
    <row r="11" spans="2:17" ht="18" x14ac:dyDescent="0.25">
      <c r="B11" s="64" t="s">
        <v>29</v>
      </c>
      <c r="C11" s="65">
        <f>SUMIF(TB_Entradas[Producto],TB_ControlStock[[#This Row],[Producto]],TB_Entradas[Cantidad Comprada])</f>
        <v>35</v>
      </c>
      <c r="D11" s="65">
        <f>SUMIF(TB_Salidas[Producto],TB_ControlStock[[#This Row],[Producto]],TB_Salidas[Cantidad Vendida])</f>
        <v>30</v>
      </c>
      <c r="E11" s="65">
        <f>TB_ControlStock[[#This Row],[Entradas]]-TB_ControlStock[[#This Row],[Salidas]]</f>
        <v>5</v>
      </c>
      <c r="F11" s="65">
        <f>_xlfn.XLOOKUP(TB_ControlStock[[#This Row],[Producto]],TB_Producto[Producto],TB_Producto[Stock Mínimo],"No Encontrado")</f>
        <v>20</v>
      </c>
      <c r="G11" s="64" t="str" cm="1">
        <f t="array" ref="G11">_xlfn.IFS(TB_ControlStock[[#This Row],[Cantidad en Stock]]&gt;TB_ControlStock[[#This Row],[Stock Mínimo]],"Stock OK",TB_ControlStock[[#This Row],[Cantidad en Stock]]=0,"Stock Agotado",TRUE,"Stock Bajo")</f>
        <v>Stock Bajo</v>
      </c>
      <c r="H11" s="66">
        <f>SUMIFS(TB_Salidas[Valor de Venta],TB_Salidas[Producto],TB_ControlStock[[#This Row],[Producto]])</f>
        <v>67.5</v>
      </c>
      <c r="I11" s="67">
        <f>SUMIFS(TB_Entradas[Valor de Compra],TB_Entradas[Producto],TB_ControlStock[[#This Row],[Producto]])</f>
        <v>43.75</v>
      </c>
      <c r="J11" s="67">
        <f>TB_ControlStock[[#This Row],[Valor de Venta]]-TB_ControlStock[[#This Row],[Costo Total]]</f>
        <v>23.75</v>
      </c>
      <c r="L11" s="46"/>
      <c r="M11" s="69"/>
      <c r="N11" s="69"/>
      <c r="O11" s="69"/>
      <c r="P11" s="69"/>
      <c r="Q11" s="69"/>
    </row>
    <row r="12" spans="2:17" ht="18" x14ac:dyDescent="0.25">
      <c r="B12" s="64" t="s">
        <v>18</v>
      </c>
      <c r="C12" s="65">
        <f>SUMIF(TB_Entradas[Producto],TB_ControlStock[[#This Row],[Producto]],TB_Entradas[Cantidad Comprada])</f>
        <v>564</v>
      </c>
      <c r="D12" s="65">
        <f>SUMIF(TB_Salidas[Producto],TB_ControlStock[[#This Row],[Producto]],TB_Salidas[Cantidad Vendida])</f>
        <v>510</v>
      </c>
      <c r="E12" s="65">
        <f>TB_ControlStock[[#This Row],[Entradas]]-TB_ControlStock[[#This Row],[Salidas]]</f>
        <v>54</v>
      </c>
      <c r="F12" s="65">
        <f>_xlfn.XLOOKUP(TB_ControlStock[[#This Row],[Producto]],TB_Producto[Producto],TB_Producto[Stock Mínimo],"No Encontrado")</f>
        <v>10</v>
      </c>
      <c r="G12" s="64" t="str" cm="1">
        <f t="array" ref="G12">_xlfn.IFS(TB_ControlStock[[#This Row],[Cantidad en Stock]]&gt;TB_ControlStock[[#This Row],[Stock Mínimo]],"Stock OK",TB_ControlStock[[#This Row],[Cantidad en Stock]]=0,"Stock Agotado",TRUE,"Stock Bajo")</f>
        <v>Stock OK</v>
      </c>
      <c r="H12" s="66">
        <f>SUMIFS(TB_Salidas[Valor de Venta],TB_Salidas[Producto],TB_ControlStock[[#This Row],[Producto]])</f>
        <v>3570</v>
      </c>
      <c r="I12" s="67">
        <f>SUMIFS(TB_Entradas[Valor de Compra],TB_Entradas[Producto],TB_ControlStock[[#This Row],[Producto]])</f>
        <v>2538</v>
      </c>
      <c r="J12" s="67">
        <f>TB_ControlStock[[#This Row],[Valor de Venta]]-TB_ControlStock[[#This Row],[Costo Total]]</f>
        <v>1032</v>
      </c>
      <c r="L12" s="46"/>
      <c r="M12" s="46"/>
      <c r="N12" s="46"/>
      <c r="O12" s="46"/>
      <c r="P12" s="46"/>
    </row>
    <row r="13" spans="2:17" ht="18" x14ac:dyDescent="0.25">
      <c r="B13" s="64" t="s">
        <v>32</v>
      </c>
      <c r="C13" s="65">
        <f>SUMIF(TB_Entradas[Producto],TB_ControlStock[[#This Row],[Producto]],TB_Entradas[Cantidad Comprada])</f>
        <v>450</v>
      </c>
      <c r="D13" s="65">
        <f>SUMIF(TB_Salidas[Producto],TB_ControlStock[[#This Row],[Producto]],TB_Salidas[Cantidad Vendida])</f>
        <v>450</v>
      </c>
      <c r="E13" s="65">
        <f>TB_ControlStock[[#This Row],[Entradas]]-TB_ControlStock[[#This Row],[Salidas]]</f>
        <v>0</v>
      </c>
      <c r="F13" s="65">
        <f>_xlfn.XLOOKUP(TB_ControlStock[[#This Row],[Producto]],TB_Producto[Producto],TB_Producto[Stock Mínimo],"No Encontrado")</f>
        <v>15</v>
      </c>
      <c r="G13" s="64" t="str" cm="1">
        <f t="array" ref="G13">_xlfn.IFS(TB_ControlStock[[#This Row],[Cantidad en Stock]]&gt;TB_ControlStock[[#This Row],[Stock Mínimo]],"Stock OK",TB_ControlStock[[#This Row],[Cantidad en Stock]]=0,"Stock Agotado",TRUE,"Stock Bajo")</f>
        <v>Stock Agotado</v>
      </c>
      <c r="H13" s="66">
        <f>SUMIFS(TB_Salidas[Valor de Venta],TB_Salidas[Producto],TB_ControlStock[[#This Row],[Producto]])</f>
        <v>1350</v>
      </c>
      <c r="I13" s="67">
        <f>SUMIFS(TB_Entradas[Valor de Compra],TB_Entradas[Producto],TB_ControlStock[[#This Row],[Producto]])</f>
        <v>1012.5</v>
      </c>
      <c r="J13" s="67">
        <f>TB_ControlStock[[#This Row],[Valor de Venta]]-TB_ControlStock[[#This Row],[Costo Total]]</f>
        <v>337.5</v>
      </c>
    </row>
    <row r="14" spans="2:17" ht="18" x14ac:dyDescent="0.25">
      <c r="B14" s="64" t="s">
        <v>20</v>
      </c>
      <c r="C14" s="65">
        <f>SUMIF(TB_Entradas[Producto],TB_ControlStock[[#This Row],[Producto]],TB_Entradas[Cantidad Comprada])</f>
        <v>404</v>
      </c>
      <c r="D14" s="65">
        <f>SUMIF(TB_Salidas[Producto],TB_ControlStock[[#This Row],[Producto]],TB_Salidas[Cantidad Vendida])</f>
        <v>349</v>
      </c>
      <c r="E14" s="65">
        <f>TB_ControlStock[[#This Row],[Entradas]]-TB_ControlStock[[#This Row],[Salidas]]</f>
        <v>55</v>
      </c>
      <c r="F14" s="65">
        <f>_xlfn.XLOOKUP(TB_ControlStock[[#This Row],[Producto]],TB_Producto[Producto],TB_Producto[Stock Mínimo],"No Encontrado")</f>
        <v>10</v>
      </c>
      <c r="G14" s="64" t="str" cm="1">
        <f t="array" ref="G14">_xlfn.IFS(TB_ControlStock[[#This Row],[Cantidad en Stock]]&gt;TB_ControlStock[[#This Row],[Stock Mínimo]],"Stock OK",TB_ControlStock[[#This Row],[Cantidad en Stock]]=0,"Stock Agotado",TRUE,"Stock Bajo")</f>
        <v>Stock OK</v>
      </c>
      <c r="H14" s="66">
        <f>SUMIFS(TB_Salidas[Valor de Venta],TB_Salidas[Producto],TB_ControlStock[[#This Row],[Producto]])</f>
        <v>1221.5</v>
      </c>
      <c r="I14" s="67">
        <f>SUMIFS(TB_Entradas[Valor de Compra],TB_Entradas[Producto],TB_ControlStock[[#This Row],[Producto]])</f>
        <v>606</v>
      </c>
      <c r="J14" s="67">
        <f>TB_ControlStock[[#This Row],[Valor de Venta]]-TB_ControlStock[[#This Row],[Costo Total]]</f>
        <v>615.5</v>
      </c>
    </row>
    <row r="15" spans="2:17" ht="18" x14ac:dyDescent="0.25">
      <c r="B15" s="64" t="s">
        <v>25</v>
      </c>
      <c r="C15" s="65">
        <f>SUMIF(TB_Entradas[Producto],TB_ControlStock[[#This Row],[Producto]],TB_Entradas[Cantidad Comprada])</f>
        <v>32</v>
      </c>
      <c r="D15" s="65">
        <f>SUMIF(TB_Salidas[Producto],TB_ControlStock[[#This Row],[Producto]],TB_Salidas[Cantidad Vendida])</f>
        <v>32</v>
      </c>
      <c r="E15" s="65">
        <f>TB_ControlStock[[#This Row],[Entradas]]-TB_ControlStock[[#This Row],[Salidas]]</f>
        <v>0</v>
      </c>
      <c r="F15" s="65">
        <f>_xlfn.XLOOKUP(TB_ControlStock[[#This Row],[Producto]],TB_Producto[Producto],TB_Producto[Stock Mínimo],"No Encontrado")</f>
        <v>15</v>
      </c>
      <c r="G15" s="64" t="str" cm="1">
        <f t="array" ref="G15">_xlfn.IFS(TB_ControlStock[[#This Row],[Cantidad en Stock]]&gt;TB_ControlStock[[#This Row],[Stock Mínimo]],"Stock OK",TB_ControlStock[[#This Row],[Cantidad en Stock]]=0,"Stock Agotado",TRUE,"Stock Bajo")</f>
        <v>Stock Agotado</v>
      </c>
      <c r="H15" s="66">
        <f>SUMIFS(TB_Salidas[Valor de Venta],TB_Salidas[Producto],TB_ControlStock[[#This Row],[Producto]])</f>
        <v>224</v>
      </c>
      <c r="I15" s="67">
        <f>SUMIFS(TB_Entradas[Valor de Compra],TB_Entradas[Producto],TB_ControlStock[[#This Row],[Producto]])</f>
        <v>128</v>
      </c>
      <c r="J15" s="67">
        <f>TB_ControlStock[[#This Row],[Valor de Venta]]-TB_ControlStock[[#This Row],[Costo Total]]</f>
        <v>96</v>
      </c>
    </row>
    <row r="16" spans="2:17" ht="18" x14ac:dyDescent="0.25">
      <c r="B16" s="64" t="s">
        <v>12</v>
      </c>
      <c r="C16" s="65">
        <f>SUMIF(TB_Entradas[Producto],TB_ControlStock[[#This Row],[Producto]],TB_Entradas[Cantidad Comprada])</f>
        <v>80</v>
      </c>
      <c r="D16" s="65">
        <f>SUMIF(TB_Salidas[Producto],TB_ControlStock[[#This Row],[Producto]],TB_Salidas[Cantidad Vendida])</f>
        <v>92</v>
      </c>
      <c r="E16" s="65">
        <f>TB_ControlStock[[#This Row],[Entradas]]-TB_ControlStock[[#This Row],[Salidas]]</f>
        <v>-12</v>
      </c>
      <c r="F16" s="65">
        <f>_xlfn.XLOOKUP(TB_ControlStock[[#This Row],[Producto]],TB_Producto[Producto],TB_Producto[Stock Mínimo],"No Encontrado")</f>
        <v>30</v>
      </c>
      <c r="G16" s="64" t="str" cm="1">
        <f t="array" ref="G16">_xlfn.IFS(TB_ControlStock[[#This Row],[Cantidad en Stock]]&gt;TB_ControlStock[[#This Row],[Stock Mínimo]],"Stock OK",TB_ControlStock[[#This Row],[Cantidad en Stock]]=0,"Stock Agotado",TRUE,"Stock Bajo")</f>
        <v>Stock Bajo</v>
      </c>
      <c r="H16" s="66">
        <f>SUMIFS(TB_Salidas[Valor de Venta],TB_Salidas[Producto],TB_ControlStock[[#This Row],[Producto]])</f>
        <v>253</v>
      </c>
      <c r="I16" s="67">
        <f>SUMIFS(TB_Entradas[Valor de Compra],TB_Entradas[Producto],TB_ControlStock[[#This Row],[Producto]])</f>
        <v>100</v>
      </c>
      <c r="J16" s="67">
        <f>TB_ControlStock[[#This Row],[Valor de Venta]]-TB_ControlStock[[#This Row],[Costo Total]]</f>
        <v>153</v>
      </c>
    </row>
    <row r="17" spans="2:10" ht="18" x14ac:dyDescent="0.25">
      <c r="B17" s="64" t="s">
        <v>31</v>
      </c>
      <c r="C17" s="65">
        <f>SUMIF(TB_Entradas[Producto],TB_ControlStock[[#This Row],[Producto]],TB_Entradas[Cantidad Comprada])</f>
        <v>42</v>
      </c>
      <c r="D17" s="65">
        <f>SUMIF(TB_Salidas[Producto],TB_ControlStock[[#This Row],[Producto]],TB_Salidas[Cantidad Vendida])</f>
        <v>65</v>
      </c>
      <c r="E17" s="65">
        <f>TB_ControlStock[[#This Row],[Entradas]]-TB_ControlStock[[#This Row],[Salidas]]</f>
        <v>-23</v>
      </c>
      <c r="F17" s="65">
        <f>_xlfn.XLOOKUP(TB_ControlStock[[#This Row],[Producto]],TB_Producto[Producto],TB_Producto[Stock Mínimo],"No Encontrado")</f>
        <v>15</v>
      </c>
      <c r="G17" s="64" t="str" cm="1">
        <f t="array" ref="G17">_xlfn.IFS(TB_ControlStock[[#This Row],[Cantidad en Stock]]&gt;TB_ControlStock[[#This Row],[Stock Mínimo]],"Stock OK",TB_ControlStock[[#This Row],[Cantidad en Stock]]=0,"Stock Agotado",TRUE,"Stock Bajo")</f>
        <v>Stock Bajo</v>
      </c>
      <c r="H17" s="66">
        <f>SUMIFS(TB_Salidas[Valor de Venta],TB_Salidas[Producto],TB_ControlStock[[#This Row],[Producto]])</f>
        <v>325</v>
      </c>
      <c r="I17" s="67">
        <f>SUMIFS(TB_Entradas[Valor de Compra],TB_Entradas[Producto],TB_ControlStock[[#This Row],[Producto]])</f>
        <v>105</v>
      </c>
      <c r="J17" s="67">
        <f>TB_ControlStock[[#This Row],[Valor de Venta]]-TB_ControlStock[[#This Row],[Costo Total]]</f>
        <v>220</v>
      </c>
    </row>
    <row r="20" spans="2:10" x14ac:dyDescent="0.25">
      <c r="J20" s="63"/>
    </row>
  </sheetData>
  <mergeCells count="3">
    <mergeCell ref="N7:P7"/>
    <mergeCell ref="N9:N10"/>
    <mergeCell ref="P9:P10"/>
  </mergeCells>
  <conditionalFormatting sqref="B6:J17">
    <cfRule type="expression" dxfId="12" priority="1">
      <formula>$G6="Stock Agotado"</formula>
    </cfRule>
    <cfRule type="expression" dxfId="11" priority="2">
      <formula>$G6="Stock Bajo"</formula>
    </cfRule>
  </conditionalFormatting>
  <dataValidations disablePrompts="1" count="1">
    <dataValidation type="list" allowBlank="1" showInputMessage="1" showErrorMessage="1" sqref="B6:B17" xr:uid="{CCAB9598-8427-4C4C-826B-F9157C8C0C5F}">
      <formula1>Lista_Productos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0E6F-896C-4E6C-8E7F-AF3A669BCF39}">
  <dimension ref="B1:AV28"/>
  <sheetViews>
    <sheetView showGridLines="0" zoomScaleNormal="100" workbookViewId="0">
      <selection activeCell="C10" sqref="C10:Y27"/>
    </sheetView>
  </sheetViews>
  <sheetFormatPr baseColWidth="10" defaultColWidth="2.42578125" defaultRowHeight="10.5" customHeight="1" x14ac:dyDescent="0.25"/>
  <cols>
    <col min="1" max="64" width="3.28515625" customWidth="1"/>
  </cols>
  <sheetData>
    <row r="1" spans="2:48" s="5" customFormat="1" ht="60" customHeight="1" x14ac:dyDescent="0.25">
      <c r="E1" s="6"/>
      <c r="F1" s="7"/>
      <c r="AD1" s="117" t="s">
        <v>79</v>
      </c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  <c r="AR1" s="117"/>
      <c r="AS1" s="117"/>
      <c r="AT1" s="117"/>
      <c r="AU1" s="117"/>
      <c r="AV1" s="117"/>
    </row>
    <row r="2" spans="2:48" s="8" customFormat="1" ht="6" customHeight="1" x14ac:dyDescent="0.25">
      <c r="F2" s="9"/>
    </row>
    <row r="3" spans="2:48" ht="6" customHeight="1" thickBot="1" x14ac:dyDescent="0.3"/>
    <row r="4" spans="2:48" ht="4.5" customHeight="1" x14ac:dyDescent="0.25">
      <c r="C4" s="118" t="s">
        <v>80</v>
      </c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20"/>
      <c r="AB4" s="118" t="s">
        <v>81</v>
      </c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20"/>
    </row>
    <row r="5" spans="2:48" ht="12.75" customHeight="1" x14ac:dyDescent="0.25">
      <c r="B5" s="46"/>
      <c r="C5" s="121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3"/>
      <c r="AA5" s="46"/>
      <c r="AB5" s="121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3"/>
    </row>
    <row r="6" spans="2:48" ht="12.75" customHeight="1" x14ac:dyDescent="0.35">
      <c r="B6" s="46"/>
      <c r="C6" s="70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2"/>
      <c r="AA6" s="46"/>
      <c r="AB6" s="70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83" t="s">
        <v>2</v>
      </c>
      <c r="AN6" s="73"/>
      <c r="AO6" s="73"/>
      <c r="AP6" s="73"/>
      <c r="AQ6" s="73"/>
      <c r="AR6" s="73"/>
      <c r="AS6" s="73"/>
      <c r="AT6" s="73"/>
      <c r="AU6" s="74"/>
    </row>
    <row r="7" spans="2:48" ht="12.75" customHeight="1" x14ac:dyDescent="0.35">
      <c r="B7" s="46"/>
      <c r="C7" s="70"/>
      <c r="D7" s="113" t="s">
        <v>82</v>
      </c>
      <c r="E7" s="113"/>
      <c r="F7" s="113"/>
      <c r="G7" s="113"/>
      <c r="H7" s="113"/>
      <c r="I7" s="113"/>
      <c r="J7" s="113"/>
      <c r="K7" s="113"/>
      <c r="L7" s="113"/>
      <c r="M7" s="113"/>
      <c r="N7" s="124">
        <f>COUNTA(_xlfn.UNIQUE(Salidas!D5:D61))</f>
        <v>10</v>
      </c>
      <c r="O7" s="116"/>
      <c r="P7" s="116"/>
      <c r="Q7" s="116"/>
      <c r="R7" s="116"/>
      <c r="S7" s="116"/>
      <c r="T7" s="116"/>
      <c r="U7" s="116"/>
      <c r="V7" s="75"/>
      <c r="AA7" s="46"/>
      <c r="AB7" s="70"/>
      <c r="AC7" s="113" t="s">
        <v>83</v>
      </c>
      <c r="AD7" s="113"/>
      <c r="AE7" s="113"/>
      <c r="AF7" s="113"/>
      <c r="AG7" s="113"/>
      <c r="AH7" s="113"/>
      <c r="AI7" s="113"/>
      <c r="AJ7" s="113"/>
      <c r="AK7" s="113"/>
      <c r="AL7" s="113"/>
      <c r="AM7" s="116" t="s">
        <v>5</v>
      </c>
      <c r="AN7" s="116"/>
      <c r="AO7" s="116"/>
      <c r="AP7" s="116"/>
      <c r="AQ7" s="116"/>
      <c r="AR7" s="116"/>
      <c r="AS7" s="116"/>
      <c r="AT7" s="116"/>
      <c r="AU7" s="75"/>
    </row>
    <row r="8" spans="2:48" ht="12.75" customHeight="1" x14ac:dyDescent="0.35">
      <c r="B8" s="46"/>
      <c r="C8" s="70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6"/>
      <c r="O8" s="116"/>
      <c r="P8" s="116"/>
      <c r="Q8" s="116"/>
      <c r="R8" s="116"/>
      <c r="S8" s="116"/>
      <c r="T8" s="116"/>
      <c r="U8" s="116"/>
      <c r="V8" s="75"/>
      <c r="AA8" s="46"/>
      <c r="AB8" s="70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6"/>
      <c r="AN8" s="116"/>
      <c r="AO8" s="116"/>
      <c r="AP8" s="116"/>
      <c r="AQ8" s="116"/>
      <c r="AR8" s="116"/>
      <c r="AS8" s="116"/>
      <c r="AT8" s="116"/>
      <c r="AU8" s="75"/>
    </row>
    <row r="9" spans="2:48" ht="12.75" customHeight="1" x14ac:dyDescent="0.35">
      <c r="B9" s="46"/>
      <c r="C9" s="70"/>
      <c r="D9" s="76"/>
      <c r="E9" s="76"/>
      <c r="F9" s="76"/>
      <c r="G9" s="76"/>
      <c r="H9" s="76"/>
      <c r="I9" s="76"/>
      <c r="J9" s="76"/>
      <c r="K9" s="76"/>
      <c r="L9" s="76"/>
      <c r="M9" s="76"/>
      <c r="N9" s="77"/>
      <c r="O9" s="77"/>
      <c r="P9" s="77"/>
      <c r="Q9" s="77"/>
      <c r="R9" s="77"/>
      <c r="S9" s="77"/>
      <c r="T9" s="77"/>
      <c r="U9" s="77"/>
      <c r="V9" s="75"/>
      <c r="AA9" s="46"/>
      <c r="AB9" s="70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7"/>
      <c r="AN9" s="77"/>
      <c r="AO9" s="77"/>
      <c r="AP9" s="77"/>
      <c r="AQ9" s="77"/>
      <c r="AR9" s="77"/>
      <c r="AS9" s="77"/>
      <c r="AT9" s="77"/>
      <c r="AU9" s="75"/>
    </row>
    <row r="10" spans="2:48" ht="12.75" customHeight="1" x14ac:dyDescent="0.35">
      <c r="B10" s="46"/>
      <c r="C10" s="70"/>
      <c r="D10" s="113" t="s">
        <v>84</v>
      </c>
      <c r="E10" s="113"/>
      <c r="F10" s="113"/>
      <c r="G10" s="113"/>
      <c r="H10" s="113"/>
      <c r="I10" s="113"/>
      <c r="J10" s="113"/>
      <c r="K10" s="113"/>
      <c r="L10" s="113"/>
      <c r="M10" s="113"/>
      <c r="N10" s="116">
        <f>SUM('Control de Stock'!E6:E17)</f>
        <v>400</v>
      </c>
      <c r="O10" s="116"/>
      <c r="P10" s="116"/>
      <c r="Q10" s="116"/>
      <c r="R10" s="116"/>
      <c r="S10" s="116"/>
      <c r="T10" s="116"/>
      <c r="U10" s="116"/>
      <c r="V10" s="75"/>
      <c r="AA10" s="46"/>
      <c r="AB10" s="70"/>
      <c r="AC10" s="113" t="s">
        <v>84</v>
      </c>
      <c r="AD10" s="113"/>
      <c r="AE10" s="113"/>
      <c r="AF10" s="113"/>
      <c r="AG10" s="113"/>
      <c r="AH10" s="113"/>
      <c r="AI10" s="113"/>
      <c r="AJ10" s="113"/>
      <c r="AK10" s="113"/>
      <c r="AL10" s="113"/>
      <c r="AM10" s="116">
        <f>DSUM(TB_ControlStock[#All],"Cantidad en Stock",CriteriosProducto)</f>
        <v>248</v>
      </c>
      <c r="AN10" s="116"/>
      <c r="AO10" s="116"/>
      <c r="AP10" s="116"/>
      <c r="AQ10" s="116"/>
      <c r="AR10" s="116"/>
      <c r="AS10" s="116"/>
      <c r="AT10" s="116"/>
      <c r="AU10" s="75"/>
    </row>
    <row r="11" spans="2:48" ht="12.75" customHeight="1" x14ac:dyDescent="0.35">
      <c r="B11" s="46"/>
      <c r="C11" s="70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6"/>
      <c r="O11" s="116"/>
      <c r="P11" s="116"/>
      <c r="Q11" s="116"/>
      <c r="R11" s="116"/>
      <c r="S11" s="116"/>
      <c r="T11" s="116"/>
      <c r="U11" s="116"/>
      <c r="V11" s="75"/>
      <c r="AA11" s="46"/>
      <c r="AB11" s="70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6"/>
      <c r="AN11" s="116"/>
      <c r="AO11" s="116"/>
      <c r="AP11" s="116"/>
      <c r="AQ11" s="116"/>
      <c r="AR11" s="116"/>
      <c r="AS11" s="116"/>
      <c r="AT11" s="116"/>
      <c r="AU11" s="75"/>
    </row>
    <row r="12" spans="2:48" ht="12.75" customHeight="1" x14ac:dyDescent="0.35">
      <c r="B12" s="46"/>
      <c r="C12" s="70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8"/>
      <c r="O12" s="78"/>
      <c r="P12" s="78"/>
      <c r="Q12" s="78"/>
      <c r="R12" s="78"/>
      <c r="S12" s="78"/>
      <c r="T12" s="78"/>
      <c r="U12" s="78"/>
      <c r="V12" s="75"/>
      <c r="AA12" s="46"/>
      <c r="AB12" s="70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8"/>
      <c r="AN12" s="78"/>
      <c r="AO12" s="78"/>
      <c r="AP12" s="78"/>
      <c r="AQ12" s="78"/>
      <c r="AR12" s="78"/>
      <c r="AS12" s="78"/>
      <c r="AT12" s="78"/>
      <c r="AU12" s="75"/>
    </row>
    <row r="13" spans="2:48" ht="12.75" customHeight="1" x14ac:dyDescent="0.35">
      <c r="B13" s="46"/>
      <c r="C13" s="70"/>
      <c r="D13" s="113" t="s">
        <v>85</v>
      </c>
      <c r="E13" s="113"/>
      <c r="F13" s="113"/>
      <c r="G13" s="113"/>
      <c r="H13" s="113"/>
      <c r="I13" s="113"/>
      <c r="J13" s="113"/>
      <c r="K13" s="113"/>
      <c r="L13" s="113"/>
      <c r="M13" s="113"/>
      <c r="N13" s="115">
        <f>SUM(TB_ControlStock[Valor de Venta])</f>
        <v>12512</v>
      </c>
      <c r="O13" s="115"/>
      <c r="P13" s="115"/>
      <c r="Q13" s="115"/>
      <c r="R13" s="115"/>
      <c r="S13" s="115"/>
      <c r="T13" s="115"/>
      <c r="U13" s="115"/>
      <c r="V13" s="75"/>
      <c r="AA13" s="46"/>
      <c r="AB13" s="70"/>
      <c r="AC13" s="113" t="s">
        <v>85</v>
      </c>
      <c r="AD13" s="113"/>
      <c r="AE13" s="113"/>
      <c r="AF13" s="113"/>
      <c r="AG13" s="113"/>
      <c r="AH13" s="113"/>
      <c r="AI13" s="113"/>
      <c r="AJ13" s="113"/>
      <c r="AK13" s="113"/>
      <c r="AL13" s="113"/>
      <c r="AM13" s="115">
        <f>DSUM(TB_ControlStock[#All],7,CriteriosProducto)</f>
        <v>4985</v>
      </c>
      <c r="AN13" s="115"/>
      <c r="AO13" s="115"/>
      <c r="AP13" s="115"/>
      <c r="AQ13" s="115"/>
      <c r="AR13" s="115"/>
      <c r="AS13" s="115"/>
      <c r="AT13" s="115"/>
      <c r="AU13" s="75"/>
    </row>
    <row r="14" spans="2:48" ht="12.75" customHeight="1" x14ac:dyDescent="0.35">
      <c r="B14" s="46"/>
      <c r="C14" s="70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5"/>
      <c r="O14" s="115"/>
      <c r="P14" s="115"/>
      <c r="Q14" s="115"/>
      <c r="R14" s="115"/>
      <c r="S14" s="115"/>
      <c r="T14" s="115"/>
      <c r="U14" s="115"/>
      <c r="V14" s="75"/>
      <c r="AA14" s="46"/>
      <c r="AB14" s="70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5"/>
      <c r="AN14" s="115"/>
      <c r="AO14" s="115"/>
      <c r="AP14" s="115"/>
      <c r="AQ14" s="115"/>
      <c r="AR14" s="115"/>
      <c r="AS14" s="115"/>
      <c r="AT14" s="115"/>
      <c r="AU14" s="75"/>
    </row>
    <row r="15" spans="2:48" ht="12.75" customHeight="1" x14ac:dyDescent="0.35">
      <c r="B15" s="46"/>
      <c r="C15" s="70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8"/>
      <c r="O15" s="78"/>
      <c r="P15" s="78"/>
      <c r="Q15" s="78"/>
      <c r="R15" s="78"/>
      <c r="S15" s="78"/>
      <c r="T15" s="78"/>
      <c r="U15" s="78"/>
      <c r="V15" s="75"/>
      <c r="AA15" s="46"/>
      <c r="AB15" s="70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8"/>
      <c r="AN15" s="78"/>
      <c r="AO15" s="78"/>
      <c r="AP15" s="78"/>
      <c r="AQ15" s="78"/>
      <c r="AR15" s="78"/>
      <c r="AS15" s="78"/>
      <c r="AT15" s="78"/>
      <c r="AU15" s="75"/>
    </row>
    <row r="16" spans="2:48" ht="12.75" customHeight="1" x14ac:dyDescent="0.35">
      <c r="B16" s="46"/>
      <c r="C16" s="70"/>
      <c r="D16" s="113" t="s">
        <v>86</v>
      </c>
      <c r="E16" s="113"/>
      <c r="F16" s="113"/>
      <c r="G16" s="113"/>
      <c r="H16" s="113"/>
      <c r="I16" s="113"/>
      <c r="J16" s="113"/>
      <c r="K16" s="113"/>
      <c r="L16" s="113"/>
      <c r="M16" s="113"/>
      <c r="N16" s="115">
        <f>SUM(TB_ControlStock[Costo Total])</f>
        <v>8545.75</v>
      </c>
      <c r="O16" s="115"/>
      <c r="P16" s="115"/>
      <c r="Q16" s="115"/>
      <c r="R16" s="115"/>
      <c r="S16" s="115"/>
      <c r="T16" s="115"/>
      <c r="U16" s="115"/>
      <c r="V16" s="75"/>
      <c r="AA16" s="46"/>
      <c r="AB16" s="70"/>
      <c r="AC16" s="113" t="s">
        <v>86</v>
      </c>
      <c r="AD16" s="113"/>
      <c r="AE16" s="113"/>
      <c r="AF16" s="113"/>
      <c r="AG16" s="113"/>
      <c r="AH16" s="113"/>
      <c r="AI16" s="113"/>
      <c r="AJ16" s="113"/>
      <c r="AK16" s="113"/>
      <c r="AL16" s="113"/>
      <c r="AM16" s="115">
        <f>DSUM(TB_ControlStock[#All],8,CriteriosProducto)</f>
        <v>3735</v>
      </c>
      <c r="AN16" s="115"/>
      <c r="AO16" s="115"/>
      <c r="AP16" s="115"/>
      <c r="AQ16" s="115"/>
      <c r="AR16" s="115"/>
      <c r="AS16" s="115"/>
      <c r="AT16" s="115"/>
      <c r="AU16" s="75"/>
    </row>
    <row r="17" spans="2:47" ht="12.75" customHeight="1" x14ac:dyDescent="0.35">
      <c r="B17" s="46"/>
      <c r="C17" s="70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5"/>
      <c r="O17" s="115"/>
      <c r="P17" s="115"/>
      <c r="Q17" s="115"/>
      <c r="R17" s="115"/>
      <c r="S17" s="115"/>
      <c r="T17" s="115"/>
      <c r="U17" s="115"/>
      <c r="V17" s="75"/>
      <c r="AA17" s="46"/>
      <c r="AB17" s="70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5"/>
      <c r="AN17" s="115"/>
      <c r="AO17" s="115"/>
      <c r="AP17" s="115"/>
      <c r="AQ17" s="115"/>
      <c r="AR17" s="115"/>
      <c r="AS17" s="115"/>
      <c r="AT17" s="115"/>
      <c r="AU17" s="75"/>
    </row>
    <row r="18" spans="2:47" ht="12.75" customHeight="1" x14ac:dyDescent="0.35">
      <c r="B18" s="46"/>
      <c r="C18" s="70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8"/>
      <c r="O18" s="78"/>
      <c r="P18" s="78"/>
      <c r="Q18" s="78"/>
      <c r="R18" s="78"/>
      <c r="S18" s="78"/>
      <c r="T18" s="78"/>
      <c r="U18" s="78"/>
      <c r="V18" s="75"/>
      <c r="AA18" s="46"/>
      <c r="AB18" s="70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8"/>
      <c r="AN18" s="78"/>
      <c r="AO18" s="78"/>
      <c r="AP18" s="78"/>
      <c r="AQ18" s="78"/>
      <c r="AR18" s="78"/>
      <c r="AS18" s="78"/>
      <c r="AT18" s="78"/>
      <c r="AU18" s="75"/>
    </row>
    <row r="19" spans="2:47" ht="12.75" customHeight="1" x14ac:dyDescent="0.35">
      <c r="B19" s="46"/>
      <c r="C19" s="70"/>
      <c r="D19" s="113" t="s">
        <v>87</v>
      </c>
      <c r="E19" s="113"/>
      <c r="F19" s="113"/>
      <c r="G19" s="113"/>
      <c r="H19" s="113"/>
      <c r="I19" s="113"/>
      <c r="J19" s="113"/>
      <c r="K19" s="113"/>
      <c r="L19" s="113"/>
      <c r="M19" s="113"/>
      <c r="N19" s="115">
        <f>N13-N16</f>
        <v>3966.25</v>
      </c>
      <c r="O19" s="115"/>
      <c r="P19" s="115"/>
      <c r="Q19" s="115"/>
      <c r="R19" s="115"/>
      <c r="S19" s="115"/>
      <c r="T19" s="115"/>
      <c r="U19" s="115"/>
      <c r="V19" s="75"/>
      <c r="AA19" s="46"/>
      <c r="AB19" s="70"/>
      <c r="AC19" s="113" t="s">
        <v>87</v>
      </c>
      <c r="AD19" s="113"/>
      <c r="AE19" s="113"/>
      <c r="AF19" s="113"/>
      <c r="AG19" s="113"/>
      <c r="AH19" s="113"/>
      <c r="AI19" s="113"/>
      <c r="AJ19" s="113"/>
      <c r="AK19" s="113"/>
      <c r="AL19" s="113"/>
      <c r="AM19" s="115">
        <f>DSUM(TB_ControlStock[#All],9,CriteriosProducto)</f>
        <v>1250</v>
      </c>
      <c r="AN19" s="115"/>
      <c r="AO19" s="115"/>
      <c r="AP19" s="115"/>
      <c r="AQ19" s="115"/>
      <c r="AR19" s="115"/>
      <c r="AS19" s="115"/>
      <c r="AT19" s="115"/>
      <c r="AU19" s="75"/>
    </row>
    <row r="20" spans="2:47" ht="12.75" customHeight="1" x14ac:dyDescent="0.35">
      <c r="B20" s="46"/>
      <c r="C20" s="70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5"/>
      <c r="O20" s="115"/>
      <c r="P20" s="115"/>
      <c r="Q20" s="115"/>
      <c r="R20" s="115"/>
      <c r="S20" s="115"/>
      <c r="T20" s="115"/>
      <c r="U20" s="115"/>
      <c r="V20" s="75"/>
      <c r="AA20" s="46"/>
      <c r="AB20" s="70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5"/>
      <c r="AN20" s="115"/>
      <c r="AO20" s="115"/>
      <c r="AP20" s="115"/>
      <c r="AQ20" s="115"/>
      <c r="AR20" s="115"/>
      <c r="AS20" s="115"/>
      <c r="AT20" s="115"/>
      <c r="AU20" s="75"/>
    </row>
    <row r="21" spans="2:47" ht="12.75" customHeight="1" x14ac:dyDescent="0.35">
      <c r="B21" s="46"/>
      <c r="C21" s="70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8"/>
      <c r="O21" s="78"/>
      <c r="P21" s="78"/>
      <c r="Q21" s="78"/>
      <c r="R21" s="78"/>
      <c r="S21" s="78"/>
      <c r="T21" s="78"/>
      <c r="U21" s="78"/>
      <c r="V21" s="75"/>
      <c r="AA21" s="46"/>
      <c r="AB21" s="70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8"/>
      <c r="AN21" s="78"/>
      <c r="AO21" s="78"/>
      <c r="AP21" s="78"/>
      <c r="AQ21" s="78"/>
      <c r="AR21" s="78"/>
      <c r="AS21" s="78"/>
      <c r="AT21" s="78"/>
      <c r="AU21" s="75"/>
    </row>
    <row r="22" spans="2:47" ht="12.75" customHeight="1" x14ac:dyDescent="0.35">
      <c r="B22" s="46"/>
      <c r="C22" s="70"/>
      <c r="D22" s="113" t="s">
        <v>88</v>
      </c>
      <c r="E22" s="113"/>
      <c r="F22" s="113"/>
      <c r="G22" s="113"/>
      <c r="H22" s="113"/>
      <c r="I22" s="113"/>
      <c r="J22" s="113"/>
      <c r="K22" s="113"/>
      <c r="L22" s="113"/>
      <c r="M22" s="113"/>
      <c r="N22" s="114">
        <f>N19/N16</f>
        <v>0.46411959160986455</v>
      </c>
      <c r="O22" s="114"/>
      <c r="P22" s="114"/>
      <c r="Q22" s="114"/>
      <c r="R22" s="114"/>
      <c r="S22" s="114"/>
      <c r="T22" s="114"/>
      <c r="U22" s="114"/>
      <c r="V22" s="75"/>
      <c r="AA22" s="46"/>
      <c r="AB22" s="70"/>
      <c r="AC22" s="113" t="s">
        <v>88</v>
      </c>
      <c r="AD22" s="113"/>
      <c r="AE22" s="113"/>
      <c r="AF22" s="113"/>
      <c r="AG22" s="113"/>
      <c r="AH22" s="113"/>
      <c r="AI22" s="113"/>
      <c r="AJ22" s="113"/>
      <c r="AK22" s="113"/>
      <c r="AL22" s="113"/>
      <c r="AM22" s="114">
        <f>AM19/AM16</f>
        <v>0.33467202141900937</v>
      </c>
      <c r="AN22" s="114"/>
      <c r="AO22" s="114"/>
      <c r="AP22" s="114"/>
      <c r="AQ22" s="114"/>
      <c r="AR22" s="114"/>
      <c r="AS22" s="114"/>
      <c r="AT22" s="114"/>
      <c r="AU22" s="75"/>
    </row>
    <row r="23" spans="2:47" ht="12.75" customHeight="1" x14ac:dyDescent="0.35">
      <c r="B23" s="46"/>
      <c r="C23" s="70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4"/>
      <c r="O23" s="114"/>
      <c r="P23" s="114"/>
      <c r="Q23" s="114"/>
      <c r="R23" s="114"/>
      <c r="S23" s="114"/>
      <c r="T23" s="114"/>
      <c r="U23" s="114"/>
      <c r="V23" s="75"/>
      <c r="AA23" s="46"/>
      <c r="AB23" s="70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4"/>
      <c r="AN23" s="114"/>
      <c r="AO23" s="114"/>
      <c r="AP23" s="114"/>
      <c r="AQ23" s="114"/>
      <c r="AR23" s="114"/>
      <c r="AS23" s="114"/>
      <c r="AT23" s="114"/>
      <c r="AU23" s="75"/>
    </row>
    <row r="24" spans="2:47" ht="12.75" customHeight="1" thickBot="1" x14ac:dyDescent="0.4">
      <c r="B24" s="46"/>
      <c r="C24" s="79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1"/>
      <c r="O24" s="81"/>
      <c r="P24" s="81"/>
      <c r="Q24" s="81"/>
      <c r="R24" s="81"/>
      <c r="S24" s="81"/>
      <c r="T24" s="81"/>
      <c r="U24" s="81"/>
      <c r="V24" s="82"/>
      <c r="AA24" s="46"/>
      <c r="AB24" s="79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1"/>
      <c r="AN24" s="81"/>
      <c r="AO24" s="81"/>
      <c r="AP24" s="81"/>
      <c r="AQ24" s="81"/>
      <c r="AR24" s="81"/>
      <c r="AS24" s="81"/>
      <c r="AT24" s="81"/>
      <c r="AU24" s="82"/>
    </row>
    <row r="25" spans="2:47" ht="12.75" customHeight="1" x14ac:dyDescent="0.25"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</row>
    <row r="26" spans="2:47" ht="12.75" customHeight="1" x14ac:dyDescent="0.25"/>
    <row r="27" spans="2:47" ht="12.75" customHeight="1" x14ac:dyDescent="0.25"/>
    <row r="28" spans="2:47" ht="12.75" customHeight="1" x14ac:dyDescent="0.25"/>
  </sheetData>
  <sheetProtection selectLockedCells="1"/>
  <mergeCells count="27">
    <mergeCell ref="AD1:AV1"/>
    <mergeCell ref="C4:V5"/>
    <mergeCell ref="AB4:AU5"/>
    <mergeCell ref="D7:M8"/>
    <mergeCell ref="N7:U8"/>
    <mergeCell ref="AC7:AL8"/>
    <mergeCell ref="AM7:AT8"/>
    <mergeCell ref="D10:M11"/>
    <mergeCell ref="N10:U11"/>
    <mergeCell ref="AC10:AL11"/>
    <mergeCell ref="AM10:AT11"/>
    <mergeCell ref="D13:M14"/>
    <mergeCell ref="N13:U14"/>
    <mergeCell ref="AC13:AL14"/>
    <mergeCell ref="AM13:AT14"/>
    <mergeCell ref="D22:M23"/>
    <mergeCell ref="N22:U23"/>
    <mergeCell ref="AC22:AL23"/>
    <mergeCell ref="AM22:AT23"/>
    <mergeCell ref="D16:M17"/>
    <mergeCell ref="N16:U17"/>
    <mergeCell ref="AC16:AL17"/>
    <mergeCell ref="AM16:AT17"/>
    <mergeCell ref="D19:M20"/>
    <mergeCell ref="N19:U20"/>
    <mergeCell ref="AC19:AL20"/>
    <mergeCell ref="AM19:AT20"/>
  </mergeCells>
  <dataValidations count="1">
    <dataValidation type="list" allowBlank="1" showInputMessage="1" showErrorMessage="1" sqref="AM7:AT8" xr:uid="{C09AAF50-0210-4A46-A056-965C80620D95}">
      <formula1>Lista_Productos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1969-54B1-4C0F-977F-4E40758DD3FA}">
  <dimension ref="B1:DV48"/>
  <sheetViews>
    <sheetView showGridLines="0" tabSelected="1" zoomScaleNormal="100" workbookViewId="0">
      <selection activeCell="AA7" sqref="AA7"/>
    </sheetView>
  </sheetViews>
  <sheetFormatPr baseColWidth="10" defaultColWidth="2.140625" defaultRowHeight="9" customHeight="1" x14ac:dyDescent="0.25"/>
  <cols>
    <col min="1" max="1" width="2.140625" customWidth="1"/>
    <col min="15" max="15" width="3.42578125" customWidth="1"/>
    <col min="16" max="16" width="2.140625" customWidth="1"/>
  </cols>
  <sheetData>
    <row r="1" spans="2:99" ht="9" customHeight="1" thickBot="1" x14ac:dyDescent="0.3">
      <c r="B1" s="125" t="s">
        <v>89</v>
      </c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85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</row>
    <row r="2" spans="2:99" ht="9" customHeight="1" x14ac:dyDescent="0.25"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85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F2" s="127" t="s">
        <v>90</v>
      </c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9"/>
      <c r="AU2" s="87"/>
      <c r="AX2" s="127" t="s">
        <v>91</v>
      </c>
      <c r="AY2" s="128"/>
      <c r="AZ2" s="128"/>
      <c r="BA2" s="128"/>
      <c r="BB2" s="128"/>
      <c r="BC2" s="128"/>
      <c r="BD2" s="128"/>
      <c r="BE2" s="128"/>
      <c r="BF2" s="128"/>
      <c r="BG2" s="128"/>
      <c r="BH2" s="128"/>
      <c r="BI2" s="128"/>
      <c r="BJ2" s="128"/>
      <c r="BK2" s="128"/>
      <c r="BL2" s="129"/>
      <c r="BM2" s="87"/>
      <c r="BP2" s="133" t="s">
        <v>92</v>
      </c>
      <c r="BQ2" s="134"/>
      <c r="BR2" s="134"/>
      <c r="BS2" s="134"/>
      <c r="BT2" s="134"/>
      <c r="BU2" s="134"/>
      <c r="BV2" s="134"/>
      <c r="BW2" s="134"/>
      <c r="BX2" s="134"/>
      <c r="BY2" s="134"/>
      <c r="BZ2" s="134"/>
      <c r="CA2" s="134"/>
      <c r="CB2" s="134"/>
      <c r="CC2" s="134"/>
      <c r="CD2" s="135"/>
    </row>
    <row r="3" spans="2:99" ht="9" customHeight="1" thickBot="1" x14ac:dyDescent="0.3"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85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F3" s="130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2"/>
      <c r="AU3" s="87"/>
      <c r="AX3" s="130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2"/>
      <c r="BM3" s="87"/>
      <c r="BP3" s="136"/>
      <c r="BQ3" s="137"/>
      <c r="BR3" s="137"/>
      <c r="BS3" s="137"/>
      <c r="BT3" s="137"/>
      <c r="BU3" s="137"/>
      <c r="BV3" s="137"/>
      <c r="BW3" s="137"/>
      <c r="BX3" s="137"/>
      <c r="BY3" s="137"/>
      <c r="BZ3" s="137"/>
      <c r="CA3" s="137"/>
      <c r="CB3" s="137"/>
      <c r="CC3" s="137"/>
      <c r="CD3" s="138"/>
    </row>
    <row r="4" spans="2:99" ht="9" customHeight="1" x14ac:dyDescent="0.25"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85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F4" s="139">
        <f>SUM(TB_Salidas[Valor de Venta])</f>
        <v>12512</v>
      </c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/>
      <c r="AS4" s="140"/>
      <c r="AT4" s="141"/>
      <c r="AU4" s="88"/>
      <c r="AX4" s="139">
        <f>SUM(TB_Entradas[Valor de Compra])</f>
        <v>8557</v>
      </c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  <c r="BJ4" s="140"/>
      <c r="BK4" s="140"/>
      <c r="BL4" s="141"/>
      <c r="BM4" s="89"/>
      <c r="BN4" s="90"/>
      <c r="BO4" s="90"/>
      <c r="BP4" s="145">
        <f>(AF4-AX4)/AX4</f>
        <v>0.46219469440224376</v>
      </c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7"/>
    </row>
    <row r="5" spans="2:99" ht="9" customHeight="1" x14ac:dyDescent="0.25"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85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F5" s="139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1"/>
      <c r="AU5" s="88"/>
      <c r="AX5" s="139"/>
      <c r="AY5" s="140"/>
      <c r="AZ5" s="140"/>
      <c r="BA5" s="140"/>
      <c r="BB5" s="140"/>
      <c r="BC5" s="140"/>
      <c r="BD5" s="140"/>
      <c r="BE5" s="140"/>
      <c r="BF5" s="140"/>
      <c r="BG5" s="140"/>
      <c r="BH5" s="140"/>
      <c r="BI5" s="140"/>
      <c r="BJ5" s="140"/>
      <c r="BK5" s="140"/>
      <c r="BL5" s="141"/>
      <c r="BM5" s="89"/>
      <c r="BN5" s="90"/>
      <c r="BO5" s="90"/>
      <c r="BP5" s="145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7"/>
    </row>
    <row r="6" spans="2:99" ht="9" customHeight="1" x14ac:dyDescent="0.25"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F6" s="139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141"/>
      <c r="AU6" s="88"/>
      <c r="AX6" s="139"/>
      <c r="AY6" s="140"/>
      <c r="AZ6" s="140"/>
      <c r="BA6" s="140"/>
      <c r="BB6" s="140"/>
      <c r="BC6" s="140"/>
      <c r="BD6" s="140"/>
      <c r="BE6" s="140"/>
      <c r="BF6" s="140"/>
      <c r="BG6" s="140"/>
      <c r="BH6" s="140"/>
      <c r="BI6" s="140"/>
      <c r="BJ6" s="140"/>
      <c r="BK6" s="140"/>
      <c r="BL6" s="141"/>
      <c r="BM6" s="89"/>
      <c r="BN6" s="90"/>
      <c r="BO6" s="90"/>
      <c r="BP6" s="145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7"/>
    </row>
    <row r="7" spans="2:99" ht="9" customHeight="1" thickBot="1" x14ac:dyDescent="0.3">
      <c r="B7" s="91"/>
      <c r="Z7" s="91"/>
      <c r="AF7" s="142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4"/>
      <c r="AU7" s="88"/>
      <c r="AX7" s="142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4"/>
      <c r="BM7" s="89"/>
      <c r="BN7" s="90"/>
      <c r="BO7" s="90"/>
      <c r="BP7" s="148"/>
      <c r="BQ7" s="149"/>
      <c r="BR7" s="149"/>
      <c r="BS7" s="149"/>
      <c r="BT7" s="149"/>
      <c r="BU7" s="149"/>
      <c r="BV7" s="149"/>
      <c r="BW7" s="149"/>
      <c r="BX7" s="149"/>
      <c r="BY7" s="149"/>
      <c r="BZ7" s="149"/>
      <c r="CA7" s="149"/>
      <c r="CB7" s="149"/>
      <c r="CC7" s="149"/>
      <c r="CD7" s="150"/>
      <c r="CE7" s="92"/>
      <c r="CF7" s="92"/>
      <c r="CG7" s="93"/>
      <c r="CH7" s="93"/>
      <c r="CI7" s="93"/>
      <c r="CJ7" s="93"/>
      <c r="CK7" s="93"/>
      <c r="CL7" s="93"/>
      <c r="CM7" s="93"/>
      <c r="CN7" s="93"/>
      <c r="CO7" s="93"/>
      <c r="CP7" s="93"/>
      <c r="CQ7" s="93"/>
      <c r="CR7" s="93"/>
      <c r="CS7" s="93"/>
      <c r="CT7" s="93"/>
      <c r="CU7" s="93"/>
    </row>
    <row r="8" spans="2:99" ht="9" customHeight="1" thickBot="1" x14ac:dyDescent="0.3">
      <c r="B8" s="91"/>
      <c r="C8" s="151" t="s">
        <v>93</v>
      </c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152"/>
      <c r="Y8" s="153"/>
      <c r="Z8" s="91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X8" s="95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92"/>
      <c r="CF8" s="92"/>
      <c r="CG8" s="93"/>
      <c r="CT8" s="93"/>
      <c r="CU8" s="93"/>
    </row>
    <row r="9" spans="2:99" ht="9" customHeight="1" thickBot="1" x14ac:dyDescent="0.3">
      <c r="B9" s="96"/>
      <c r="C9" s="154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6"/>
      <c r="Z9" s="96"/>
      <c r="AB9" s="151" t="s">
        <v>94</v>
      </c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52"/>
      <c r="BG9" s="152"/>
      <c r="BH9" s="152"/>
      <c r="BI9" s="152"/>
      <c r="BJ9" s="152"/>
      <c r="BK9" s="152"/>
      <c r="BL9" s="152"/>
      <c r="BM9" s="152"/>
      <c r="BN9" s="152"/>
      <c r="BO9" s="152"/>
      <c r="BP9" s="152"/>
      <c r="BQ9" s="152"/>
      <c r="BR9" s="152"/>
      <c r="BS9" s="152"/>
      <c r="BT9" s="152"/>
      <c r="BU9" s="152"/>
      <c r="BV9" s="152"/>
      <c r="BW9" s="152"/>
      <c r="BX9" s="152"/>
      <c r="BY9" s="152"/>
      <c r="BZ9" s="152"/>
      <c r="CA9" s="152"/>
      <c r="CB9" s="152"/>
      <c r="CC9" s="152"/>
      <c r="CD9" s="152"/>
      <c r="CE9" s="152"/>
      <c r="CF9" s="153"/>
      <c r="CG9" s="97"/>
    </row>
    <row r="10" spans="2:99" ht="9" customHeight="1" thickBot="1" x14ac:dyDescent="0.3">
      <c r="B10" s="96"/>
      <c r="C10" s="157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9"/>
      <c r="Z10" s="96"/>
      <c r="AB10" s="154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6"/>
    </row>
    <row r="11" spans="2:99" ht="9" customHeight="1" x14ac:dyDescent="0.25">
      <c r="B11" s="96"/>
      <c r="C11" s="157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9"/>
      <c r="Z11" s="96"/>
      <c r="AB11" s="157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  <c r="BA11" s="158"/>
      <c r="BB11" s="158"/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8"/>
      <c r="BN11" s="158"/>
      <c r="BO11" s="158"/>
      <c r="BP11" s="158"/>
      <c r="BQ11" s="158"/>
      <c r="BR11" s="158"/>
      <c r="BS11" s="158"/>
      <c r="BT11" s="158"/>
      <c r="BU11" s="158"/>
      <c r="BV11" s="158"/>
      <c r="BW11" s="158"/>
      <c r="BX11" s="158"/>
      <c r="BY11" s="158"/>
      <c r="BZ11" s="158"/>
      <c r="CA11" s="158"/>
      <c r="CB11" s="158"/>
      <c r="CC11" s="158"/>
      <c r="CD11" s="158"/>
      <c r="CE11" s="158"/>
      <c r="CF11" s="159"/>
    </row>
    <row r="12" spans="2:99" ht="9" customHeight="1" x14ac:dyDescent="0.25">
      <c r="B12" s="96"/>
      <c r="C12" s="157"/>
      <c r="D12" s="158"/>
      <c r="E12" s="158"/>
      <c r="F12" s="158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9"/>
      <c r="Z12" s="96"/>
      <c r="AB12" s="157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58"/>
      <c r="BN12" s="158"/>
      <c r="BO12" s="158"/>
      <c r="BP12" s="158"/>
      <c r="BQ12" s="158"/>
      <c r="BR12" s="158"/>
      <c r="BS12" s="158"/>
      <c r="BT12" s="158"/>
      <c r="BU12" s="158"/>
      <c r="BV12" s="158"/>
      <c r="BW12" s="158"/>
      <c r="BX12" s="158"/>
      <c r="BY12" s="158"/>
      <c r="BZ12" s="158"/>
      <c r="CA12" s="158"/>
      <c r="CB12" s="158"/>
      <c r="CC12" s="158"/>
      <c r="CD12" s="158"/>
      <c r="CE12" s="158"/>
      <c r="CF12" s="159"/>
    </row>
    <row r="13" spans="2:99" ht="9" customHeight="1" x14ac:dyDescent="0.25">
      <c r="B13" s="96"/>
      <c r="C13" s="157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9"/>
      <c r="Z13" s="96"/>
      <c r="AA13" s="92"/>
      <c r="AB13" s="157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  <c r="BA13" s="158"/>
      <c r="BB13" s="158"/>
      <c r="BC13" s="158"/>
      <c r="BD13" s="158"/>
      <c r="BE13" s="158"/>
      <c r="BF13" s="158"/>
      <c r="BG13" s="158"/>
      <c r="BH13" s="158"/>
      <c r="BI13" s="158"/>
      <c r="BJ13" s="158"/>
      <c r="BK13" s="158"/>
      <c r="BL13" s="158"/>
      <c r="BM13" s="158"/>
      <c r="BN13" s="158"/>
      <c r="BO13" s="158"/>
      <c r="BP13" s="158"/>
      <c r="BQ13" s="158"/>
      <c r="BR13" s="158"/>
      <c r="BS13" s="158"/>
      <c r="BT13" s="158"/>
      <c r="BU13" s="158"/>
      <c r="BV13" s="158"/>
      <c r="BW13" s="158"/>
      <c r="BX13" s="158"/>
      <c r="BY13" s="158"/>
      <c r="BZ13" s="158"/>
      <c r="CA13" s="158"/>
      <c r="CB13" s="158"/>
      <c r="CC13" s="158"/>
      <c r="CD13" s="158"/>
      <c r="CE13" s="158"/>
      <c r="CF13" s="159"/>
    </row>
    <row r="14" spans="2:99" ht="9" customHeight="1" x14ac:dyDescent="0.25">
      <c r="C14" s="157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9"/>
      <c r="Z14" s="92"/>
      <c r="AB14" s="157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158"/>
      <c r="CA14" s="158"/>
      <c r="CB14" s="158"/>
      <c r="CC14" s="158"/>
      <c r="CD14" s="158"/>
      <c r="CE14" s="158"/>
      <c r="CF14" s="159"/>
    </row>
    <row r="15" spans="2:99" ht="9" customHeight="1" x14ac:dyDescent="0.25">
      <c r="C15" s="157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9"/>
      <c r="Z15" s="92"/>
      <c r="AB15" s="157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8"/>
      <c r="BN15" s="158"/>
      <c r="BO15" s="158"/>
      <c r="BP15" s="158"/>
      <c r="BQ15" s="158"/>
      <c r="BR15" s="158"/>
      <c r="BS15" s="158"/>
      <c r="BT15" s="158"/>
      <c r="BU15" s="158"/>
      <c r="BV15" s="158"/>
      <c r="BW15" s="158"/>
      <c r="BX15" s="158"/>
      <c r="BY15" s="158"/>
      <c r="BZ15" s="158"/>
      <c r="CA15" s="158"/>
      <c r="CB15" s="158"/>
      <c r="CC15" s="158"/>
      <c r="CD15" s="158"/>
      <c r="CE15" s="158"/>
      <c r="CF15" s="159"/>
    </row>
    <row r="16" spans="2:99" ht="9" customHeight="1" x14ac:dyDescent="0.25">
      <c r="C16" s="157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9"/>
      <c r="Z16" s="92"/>
      <c r="AB16" s="157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  <c r="BB16" s="158"/>
      <c r="BC16" s="158"/>
      <c r="BD16" s="158"/>
      <c r="BE16" s="158"/>
      <c r="BF16" s="158"/>
      <c r="BG16" s="158"/>
      <c r="BH16" s="158"/>
      <c r="BI16" s="158"/>
      <c r="BJ16" s="158"/>
      <c r="BK16" s="158"/>
      <c r="BL16" s="158"/>
      <c r="BM16" s="158"/>
      <c r="BN16" s="158"/>
      <c r="BO16" s="158"/>
      <c r="BP16" s="158"/>
      <c r="BQ16" s="158"/>
      <c r="BR16" s="158"/>
      <c r="BS16" s="158"/>
      <c r="BT16" s="158"/>
      <c r="BU16" s="158"/>
      <c r="BV16" s="158"/>
      <c r="BW16" s="158"/>
      <c r="BX16" s="158"/>
      <c r="BY16" s="158"/>
      <c r="BZ16" s="158"/>
      <c r="CA16" s="158"/>
      <c r="CB16" s="158"/>
      <c r="CC16" s="158"/>
      <c r="CD16" s="158"/>
      <c r="CE16" s="158"/>
      <c r="CF16" s="159"/>
    </row>
    <row r="17" spans="2:84" ht="9" customHeight="1" x14ac:dyDescent="0.25">
      <c r="C17" s="157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9"/>
      <c r="Z17" s="92"/>
      <c r="AB17" s="157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  <c r="BI17" s="158"/>
      <c r="BJ17" s="158"/>
      <c r="BK17" s="158"/>
      <c r="BL17" s="158"/>
      <c r="BM17" s="158"/>
      <c r="BN17" s="158"/>
      <c r="BO17" s="158"/>
      <c r="BP17" s="158"/>
      <c r="BQ17" s="158"/>
      <c r="BR17" s="158"/>
      <c r="BS17" s="158"/>
      <c r="BT17" s="158"/>
      <c r="BU17" s="158"/>
      <c r="BV17" s="158"/>
      <c r="BW17" s="158"/>
      <c r="BX17" s="158"/>
      <c r="BY17" s="158"/>
      <c r="BZ17" s="158"/>
      <c r="CA17" s="158"/>
      <c r="CB17" s="158"/>
      <c r="CC17" s="158"/>
      <c r="CD17" s="158"/>
      <c r="CE17" s="158"/>
      <c r="CF17" s="159"/>
    </row>
    <row r="18" spans="2:84" ht="9" customHeight="1" x14ac:dyDescent="0.25">
      <c r="C18" s="157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9"/>
      <c r="Z18" s="92"/>
      <c r="AB18" s="157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58"/>
      <c r="BJ18" s="158"/>
      <c r="BK18" s="158"/>
      <c r="BL18" s="158"/>
      <c r="BM18" s="158"/>
      <c r="BN18" s="158"/>
      <c r="BO18" s="158"/>
      <c r="BP18" s="158"/>
      <c r="BQ18" s="158"/>
      <c r="BR18" s="158"/>
      <c r="BS18" s="158"/>
      <c r="BT18" s="158"/>
      <c r="BU18" s="158"/>
      <c r="BV18" s="158"/>
      <c r="BW18" s="158"/>
      <c r="BX18" s="158"/>
      <c r="BY18" s="158"/>
      <c r="BZ18" s="158"/>
      <c r="CA18" s="158"/>
      <c r="CB18" s="158"/>
      <c r="CC18" s="158"/>
      <c r="CD18" s="158"/>
      <c r="CE18" s="158"/>
      <c r="CF18" s="159"/>
    </row>
    <row r="19" spans="2:84" ht="9" customHeight="1" x14ac:dyDescent="0.25">
      <c r="C19" s="157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9"/>
      <c r="AB19" s="157"/>
      <c r="AC19" s="158"/>
      <c r="AD19" s="158"/>
      <c r="AE19" s="158"/>
      <c r="AF19" s="158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58"/>
      <c r="BN19" s="158"/>
      <c r="BO19" s="158"/>
      <c r="BP19" s="158"/>
      <c r="BQ19" s="158"/>
      <c r="BR19" s="158"/>
      <c r="BS19" s="158"/>
      <c r="BT19" s="158"/>
      <c r="BU19" s="158"/>
      <c r="BV19" s="158"/>
      <c r="BW19" s="158"/>
      <c r="BX19" s="158"/>
      <c r="BY19" s="158"/>
      <c r="BZ19" s="158"/>
      <c r="CA19" s="158"/>
      <c r="CB19" s="158"/>
      <c r="CC19" s="158"/>
      <c r="CD19" s="158"/>
      <c r="CE19" s="158"/>
      <c r="CF19" s="159"/>
    </row>
    <row r="20" spans="2:84" ht="9" customHeight="1" x14ac:dyDescent="0.25">
      <c r="C20" s="157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9"/>
      <c r="AB20" s="157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  <c r="BA20" s="158"/>
      <c r="BB20" s="158"/>
      <c r="BC20" s="158"/>
      <c r="BD20" s="158"/>
      <c r="BE20" s="158"/>
      <c r="BF20" s="158"/>
      <c r="BG20" s="158"/>
      <c r="BH20" s="158"/>
      <c r="BI20" s="158"/>
      <c r="BJ20" s="158"/>
      <c r="BK20" s="158"/>
      <c r="BL20" s="158"/>
      <c r="BM20" s="158"/>
      <c r="BN20" s="158"/>
      <c r="BO20" s="158"/>
      <c r="BP20" s="158"/>
      <c r="BQ20" s="158"/>
      <c r="BR20" s="158"/>
      <c r="BS20" s="158"/>
      <c r="BT20" s="158"/>
      <c r="BU20" s="158"/>
      <c r="BV20" s="158"/>
      <c r="BW20" s="158"/>
      <c r="BX20" s="158"/>
      <c r="BY20" s="158"/>
      <c r="BZ20" s="158"/>
      <c r="CA20" s="158"/>
      <c r="CB20" s="158"/>
      <c r="CC20" s="158"/>
      <c r="CD20" s="158"/>
      <c r="CE20" s="158"/>
      <c r="CF20" s="159"/>
    </row>
    <row r="21" spans="2:84" ht="9" customHeight="1" x14ac:dyDescent="0.25">
      <c r="C21" s="157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9"/>
      <c r="Z21" s="92"/>
      <c r="AB21" s="157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58"/>
      <c r="BN21" s="158"/>
      <c r="BO21" s="158"/>
      <c r="BP21" s="158"/>
      <c r="BQ21" s="158"/>
      <c r="BR21" s="158"/>
      <c r="BS21" s="158"/>
      <c r="BT21" s="158"/>
      <c r="BU21" s="158"/>
      <c r="BV21" s="158"/>
      <c r="BW21" s="158"/>
      <c r="BX21" s="158"/>
      <c r="BY21" s="158"/>
      <c r="BZ21" s="158"/>
      <c r="CA21" s="158"/>
      <c r="CB21" s="158"/>
      <c r="CC21" s="158"/>
      <c r="CD21" s="158"/>
      <c r="CE21" s="158"/>
      <c r="CF21" s="159"/>
    </row>
    <row r="22" spans="2:84" ht="9" customHeight="1" x14ac:dyDescent="0.25">
      <c r="C22" s="157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9"/>
      <c r="Z22" s="92"/>
      <c r="AB22" s="157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58"/>
      <c r="BN22" s="158"/>
      <c r="BO22" s="158"/>
      <c r="BP22" s="158"/>
      <c r="BQ22" s="158"/>
      <c r="BR22" s="158"/>
      <c r="BS22" s="158"/>
      <c r="BT22" s="158"/>
      <c r="BU22" s="158"/>
      <c r="BV22" s="158"/>
      <c r="BW22" s="158"/>
      <c r="BX22" s="158"/>
      <c r="BY22" s="158"/>
      <c r="BZ22" s="158"/>
      <c r="CA22" s="158"/>
      <c r="CB22" s="158"/>
      <c r="CC22" s="158"/>
      <c r="CD22" s="158"/>
      <c r="CE22" s="158"/>
      <c r="CF22" s="159"/>
    </row>
    <row r="23" spans="2:84" ht="9" customHeight="1" x14ac:dyDescent="0.25">
      <c r="C23" s="157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9"/>
      <c r="Z23" s="92"/>
      <c r="AB23" s="157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58"/>
      <c r="BN23" s="158"/>
      <c r="BO23" s="158"/>
      <c r="BP23" s="158"/>
      <c r="BQ23" s="158"/>
      <c r="BR23" s="158"/>
      <c r="BS23" s="158"/>
      <c r="BT23" s="158"/>
      <c r="BU23" s="158"/>
      <c r="BV23" s="158"/>
      <c r="BW23" s="158"/>
      <c r="BX23" s="158"/>
      <c r="BY23" s="158"/>
      <c r="BZ23" s="158"/>
      <c r="CA23" s="158"/>
      <c r="CB23" s="158"/>
      <c r="CC23" s="158"/>
      <c r="CD23" s="158"/>
      <c r="CE23" s="158"/>
      <c r="CF23" s="159"/>
    </row>
    <row r="24" spans="2:84" ht="9" customHeight="1" x14ac:dyDescent="0.25">
      <c r="C24" s="157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9"/>
      <c r="Z24" s="92"/>
      <c r="AB24" s="157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58"/>
      <c r="BN24" s="158"/>
      <c r="BO24" s="158"/>
      <c r="BP24" s="158"/>
      <c r="BQ24" s="158"/>
      <c r="BR24" s="158"/>
      <c r="BS24" s="158"/>
      <c r="BT24" s="158"/>
      <c r="BU24" s="158"/>
      <c r="BV24" s="158"/>
      <c r="BW24" s="158"/>
      <c r="BX24" s="158"/>
      <c r="BY24" s="158"/>
      <c r="BZ24" s="158"/>
      <c r="CA24" s="158"/>
      <c r="CB24" s="158"/>
      <c r="CC24" s="158"/>
      <c r="CD24" s="158"/>
      <c r="CE24" s="158"/>
      <c r="CF24" s="159"/>
    </row>
    <row r="25" spans="2:84" ht="9" customHeight="1" thickBot="1" x14ac:dyDescent="0.3">
      <c r="C25" s="157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9"/>
      <c r="Z25" s="92"/>
      <c r="AA25" s="98"/>
      <c r="AB25" s="160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61"/>
      <c r="AS25" s="161"/>
      <c r="AT25" s="161"/>
      <c r="AU25" s="161"/>
      <c r="AV25" s="161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1"/>
      <c r="BK25" s="161"/>
      <c r="BL25" s="161"/>
      <c r="BM25" s="161"/>
      <c r="BN25" s="161"/>
      <c r="BO25" s="161"/>
      <c r="BP25" s="161"/>
      <c r="BQ25" s="161"/>
      <c r="BR25" s="161"/>
      <c r="BS25" s="161"/>
      <c r="BT25" s="161"/>
      <c r="BU25" s="161"/>
      <c r="BV25" s="161"/>
      <c r="BW25" s="161"/>
      <c r="BX25" s="161"/>
      <c r="BY25" s="161"/>
      <c r="BZ25" s="161"/>
      <c r="CA25" s="161"/>
      <c r="CB25" s="161"/>
      <c r="CC25" s="161"/>
      <c r="CD25" s="161"/>
      <c r="CE25" s="161"/>
      <c r="CF25" s="162"/>
    </row>
    <row r="26" spans="2:84" ht="9" customHeight="1" x14ac:dyDescent="0.25">
      <c r="C26" s="157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9"/>
      <c r="Z26" s="92"/>
    </row>
    <row r="27" spans="2:84" ht="9" customHeight="1" thickBot="1" x14ac:dyDescent="0.3">
      <c r="B27" s="99"/>
      <c r="C27" s="160"/>
      <c r="D27" s="161"/>
      <c r="E27" s="161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2"/>
      <c r="Z27" s="92"/>
    </row>
    <row r="28" spans="2:84" ht="9" customHeight="1" thickBot="1" x14ac:dyDescent="0.3">
      <c r="Z28" s="92"/>
      <c r="AB28" s="151" t="s">
        <v>95</v>
      </c>
      <c r="AC28" s="152"/>
      <c r="AD28" s="152"/>
      <c r="AE28" s="152"/>
      <c r="AF28" s="152"/>
      <c r="AG28" s="152"/>
      <c r="AH28" s="152"/>
      <c r="AI28" s="152"/>
      <c r="AJ28" s="152"/>
      <c r="AK28" s="152"/>
      <c r="AL28" s="152"/>
      <c r="AM28" s="152"/>
      <c r="AN28" s="152"/>
      <c r="AO28" s="152"/>
      <c r="AP28" s="152"/>
      <c r="AQ28" s="152"/>
      <c r="AR28" s="152"/>
      <c r="AS28" s="152"/>
      <c r="AT28" s="152"/>
      <c r="AU28" s="152"/>
      <c r="AV28" s="152"/>
      <c r="AW28" s="152"/>
      <c r="AX28" s="152"/>
      <c r="AY28" s="152"/>
      <c r="AZ28" s="152"/>
      <c r="BA28" s="152"/>
      <c r="BB28" s="152"/>
      <c r="BC28" s="152"/>
      <c r="BD28" s="152"/>
      <c r="BE28" s="152"/>
      <c r="BF28" s="152"/>
      <c r="BG28" s="152"/>
      <c r="BH28" s="152"/>
      <c r="BI28" s="152"/>
      <c r="BJ28" s="152"/>
      <c r="BK28" s="152"/>
      <c r="BL28" s="152"/>
      <c r="BM28" s="152"/>
      <c r="BN28" s="153"/>
      <c r="BO28" s="100"/>
      <c r="BP28" s="163" t="s">
        <v>96</v>
      </c>
      <c r="BQ28" s="164"/>
      <c r="BR28" s="164"/>
      <c r="BS28" s="164"/>
      <c r="BT28" s="164"/>
      <c r="BU28" s="164"/>
      <c r="BV28" s="164"/>
      <c r="BW28" s="164"/>
      <c r="BX28" s="164"/>
      <c r="BY28" s="164"/>
      <c r="BZ28" s="164"/>
      <c r="CA28" s="164"/>
      <c r="CB28" s="164"/>
      <c r="CC28" s="164"/>
      <c r="CD28" s="164"/>
      <c r="CE28" s="164"/>
      <c r="CF28" s="165"/>
    </row>
    <row r="29" spans="2:84" ht="9" customHeight="1" thickBot="1" x14ac:dyDescent="0.3">
      <c r="C29" s="151" t="s">
        <v>97</v>
      </c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3"/>
      <c r="AB29" s="154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6"/>
      <c r="BO29" s="100"/>
      <c r="BP29" s="166"/>
      <c r="BQ29" s="167"/>
      <c r="BR29" s="167"/>
      <c r="BS29" s="167"/>
      <c r="BT29" s="167"/>
      <c r="BU29" s="167"/>
      <c r="BV29" s="167"/>
      <c r="BW29" s="167"/>
      <c r="BX29" s="167"/>
      <c r="BY29" s="167"/>
      <c r="BZ29" s="167"/>
      <c r="CA29" s="167"/>
      <c r="CB29" s="167"/>
      <c r="CC29" s="167"/>
      <c r="CD29" s="167"/>
      <c r="CE29" s="167"/>
      <c r="CF29" s="168"/>
    </row>
    <row r="30" spans="2:84" ht="9" customHeight="1" thickBot="1" x14ac:dyDescent="0.3">
      <c r="B30" s="101"/>
      <c r="C30" s="154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6"/>
      <c r="AB30" s="102"/>
      <c r="AN30" s="169"/>
      <c r="AO30" s="169"/>
      <c r="AP30" s="169"/>
      <c r="AQ30" s="169"/>
      <c r="AR30" s="169"/>
      <c r="AS30" s="169"/>
      <c r="AT30" s="169"/>
      <c r="AU30" s="169"/>
      <c r="AV30" s="169"/>
      <c r="AW30" s="169"/>
      <c r="AX30" s="169"/>
      <c r="AY30" s="169"/>
      <c r="AZ30" s="169"/>
      <c r="BA30" s="169"/>
      <c r="BB30" s="169"/>
      <c r="BC30" s="169"/>
      <c r="BN30" s="103"/>
      <c r="BP30" s="170"/>
      <c r="BQ30" s="171"/>
      <c r="BR30" s="171"/>
      <c r="BS30" s="171"/>
      <c r="BT30" s="171"/>
      <c r="BU30" s="171"/>
      <c r="BV30" s="171"/>
      <c r="BW30" s="171"/>
      <c r="BX30" s="171"/>
      <c r="BY30" s="171"/>
      <c r="BZ30" s="171"/>
      <c r="CA30" s="171"/>
      <c r="CB30" s="171"/>
      <c r="CC30" s="171"/>
      <c r="CD30" s="171"/>
      <c r="CE30" s="171"/>
      <c r="CF30" s="172"/>
    </row>
    <row r="31" spans="2:84" ht="9" customHeight="1" x14ac:dyDescent="0.25">
      <c r="C31" s="176" t="s">
        <v>98</v>
      </c>
      <c r="D31" s="177"/>
      <c r="E31" s="177"/>
      <c r="F31" s="178"/>
      <c r="G31" s="182" t="str">
        <f>'Ranking Facturacion'!E2</f>
        <v>Café</v>
      </c>
      <c r="H31" s="182"/>
      <c r="I31" s="182"/>
      <c r="J31" s="182"/>
      <c r="K31" s="182"/>
      <c r="L31" s="182"/>
      <c r="M31" s="182"/>
      <c r="N31" s="182"/>
      <c r="O31" s="182"/>
      <c r="P31" s="182"/>
      <c r="Q31" s="184">
        <f>'Ranking Facturacion'!F2</f>
        <v>4985</v>
      </c>
      <c r="R31" s="185"/>
      <c r="S31" s="185"/>
      <c r="T31" s="185"/>
      <c r="U31" s="185"/>
      <c r="V31" s="185"/>
      <c r="W31" s="185"/>
      <c r="X31" s="185"/>
      <c r="Y31" s="186"/>
      <c r="AB31" s="102"/>
      <c r="AN31" s="169"/>
      <c r="AO31" s="169"/>
      <c r="AP31" s="169"/>
      <c r="AQ31" s="169"/>
      <c r="AR31" s="169"/>
      <c r="AS31" s="169"/>
      <c r="AT31" s="169"/>
      <c r="AU31" s="169"/>
      <c r="AV31" s="169"/>
      <c r="AW31" s="169"/>
      <c r="AX31" s="169"/>
      <c r="AY31" s="169"/>
      <c r="AZ31" s="169"/>
      <c r="BA31" s="169"/>
      <c r="BB31" s="169"/>
      <c r="BC31" s="169"/>
      <c r="BN31" s="103"/>
      <c r="BP31" s="170"/>
      <c r="BQ31" s="171"/>
      <c r="BR31" s="171"/>
      <c r="BS31" s="171"/>
      <c r="BT31" s="171"/>
      <c r="BU31" s="171"/>
      <c r="BV31" s="171"/>
      <c r="BW31" s="171"/>
      <c r="BX31" s="171"/>
      <c r="BY31" s="171"/>
      <c r="BZ31" s="171"/>
      <c r="CA31" s="171"/>
      <c r="CB31" s="171"/>
      <c r="CC31" s="171"/>
      <c r="CD31" s="171"/>
      <c r="CE31" s="171"/>
      <c r="CF31" s="172"/>
    </row>
    <row r="32" spans="2:84" ht="9" customHeight="1" x14ac:dyDescent="0.25">
      <c r="C32" s="176"/>
      <c r="D32" s="177"/>
      <c r="E32" s="177"/>
      <c r="F32" s="178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4"/>
      <c r="R32" s="185"/>
      <c r="S32" s="185"/>
      <c r="T32" s="185"/>
      <c r="U32" s="185"/>
      <c r="V32" s="185"/>
      <c r="W32" s="185"/>
      <c r="X32" s="185"/>
      <c r="Y32" s="186"/>
      <c r="AB32" s="170"/>
      <c r="AC32" s="171"/>
      <c r="AD32" s="171"/>
      <c r="AE32" s="171"/>
      <c r="AF32" s="171"/>
      <c r="AG32" s="171"/>
      <c r="AH32" s="171"/>
      <c r="AI32" s="171"/>
      <c r="AJ32" s="171"/>
      <c r="AK32" s="171"/>
      <c r="AL32" s="171"/>
      <c r="AM32" s="171"/>
      <c r="AN32" s="171"/>
      <c r="AO32" s="171"/>
      <c r="AP32" s="171"/>
      <c r="AQ32" s="171"/>
      <c r="AR32" s="171"/>
      <c r="AS32" s="171"/>
      <c r="AT32" s="171"/>
      <c r="AU32" s="171"/>
      <c r="AV32" s="171"/>
      <c r="AW32" s="171"/>
      <c r="AX32" s="171"/>
      <c r="AY32" s="171"/>
      <c r="AZ32" s="171"/>
      <c r="BA32" s="171"/>
      <c r="BB32" s="171"/>
      <c r="BC32" s="171"/>
      <c r="BD32" s="171"/>
      <c r="BE32" s="171"/>
      <c r="BF32" s="171"/>
      <c r="BG32" s="171"/>
      <c r="BH32" s="171"/>
      <c r="BI32" s="171"/>
      <c r="BJ32" s="171"/>
      <c r="BK32" s="171"/>
      <c r="BL32" s="171"/>
      <c r="BM32" s="171"/>
      <c r="BN32" s="172"/>
      <c r="BP32" s="170"/>
      <c r="BQ32" s="171"/>
      <c r="BR32" s="171"/>
      <c r="BS32" s="171"/>
      <c r="BT32" s="171"/>
      <c r="BU32" s="171"/>
      <c r="BV32" s="171"/>
      <c r="BW32" s="171"/>
      <c r="BX32" s="171"/>
      <c r="BY32" s="171"/>
      <c r="BZ32" s="171"/>
      <c r="CA32" s="171"/>
      <c r="CB32" s="171"/>
      <c r="CC32" s="171"/>
      <c r="CD32" s="171"/>
      <c r="CE32" s="171"/>
      <c r="CF32" s="172"/>
    </row>
    <row r="33" spans="2:126" ht="9" customHeight="1" thickBot="1" x14ac:dyDescent="0.3">
      <c r="C33" s="179"/>
      <c r="D33" s="180"/>
      <c r="E33" s="180"/>
      <c r="F33" s="181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7"/>
      <c r="R33" s="188"/>
      <c r="S33" s="188"/>
      <c r="T33" s="188"/>
      <c r="U33" s="188"/>
      <c r="V33" s="188"/>
      <c r="W33" s="188"/>
      <c r="X33" s="188"/>
      <c r="Y33" s="189"/>
      <c r="AB33" s="170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1"/>
      <c r="BC33" s="171"/>
      <c r="BD33" s="171"/>
      <c r="BE33" s="171"/>
      <c r="BF33" s="171"/>
      <c r="BG33" s="171"/>
      <c r="BH33" s="171"/>
      <c r="BI33" s="171"/>
      <c r="BJ33" s="171"/>
      <c r="BK33" s="171"/>
      <c r="BL33" s="171"/>
      <c r="BM33" s="171"/>
      <c r="BN33" s="172"/>
      <c r="BP33" s="170"/>
      <c r="BQ33" s="171"/>
      <c r="BR33" s="171"/>
      <c r="BS33" s="171"/>
      <c r="BT33" s="171"/>
      <c r="BU33" s="171"/>
      <c r="BV33" s="171"/>
      <c r="BW33" s="171"/>
      <c r="BX33" s="171"/>
      <c r="BY33" s="171"/>
      <c r="BZ33" s="171"/>
      <c r="CA33" s="171"/>
      <c r="CB33" s="171"/>
      <c r="CC33" s="171"/>
      <c r="CD33" s="171"/>
      <c r="CE33" s="171"/>
      <c r="CF33" s="172"/>
    </row>
    <row r="34" spans="2:126" ht="9" customHeight="1" x14ac:dyDescent="0.25">
      <c r="C34" s="176" t="s">
        <v>99</v>
      </c>
      <c r="D34" s="177"/>
      <c r="E34" s="177"/>
      <c r="F34" s="178"/>
      <c r="G34" s="190" t="str">
        <f>'Ranking Facturacion'!E3</f>
        <v>Cappuccino</v>
      </c>
      <c r="H34" s="191"/>
      <c r="I34" s="191"/>
      <c r="J34" s="191"/>
      <c r="K34" s="191"/>
      <c r="L34" s="191"/>
      <c r="M34" s="191"/>
      <c r="N34" s="191"/>
      <c r="O34" s="191"/>
      <c r="P34" s="192"/>
      <c r="Q34" s="197">
        <f>'Ranking Facturacion'!F3</f>
        <v>3570</v>
      </c>
      <c r="R34" s="198"/>
      <c r="S34" s="198"/>
      <c r="T34" s="198"/>
      <c r="U34" s="198"/>
      <c r="V34" s="198"/>
      <c r="W34" s="198"/>
      <c r="X34" s="198"/>
      <c r="Y34" s="199"/>
      <c r="Z34" s="99"/>
      <c r="AB34" s="170"/>
      <c r="AC34" s="171"/>
      <c r="AD34" s="171"/>
      <c r="AE34" s="171"/>
      <c r="AF34" s="171"/>
      <c r="AG34" s="171"/>
      <c r="AH34" s="171"/>
      <c r="AI34" s="171"/>
      <c r="AJ34" s="171"/>
      <c r="AK34" s="171"/>
      <c r="AL34" s="171"/>
      <c r="AM34" s="171"/>
      <c r="AN34" s="171"/>
      <c r="AO34" s="171"/>
      <c r="AP34" s="171"/>
      <c r="AQ34" s="171"/>
      <c r="AR34" s="171"/>
      <c r="AS34" s="171"/>
      <c r="AT34" s="171"/>
      <c r="AU34" s="171"/>
      <c r="AV34" s="171"/>
      <c r="AW34" s="171"/>
      <c r="AX34" s="171"/>
      <c r="AY34" s="171"/>
      <c r="AZ34" s="171"/>
      <c r="BA34" s="171"/>
      <c r="BB34" s="171"/>
      <c r="BC34" s="171"/>
      <c r="BD34" s="171"/>
      <c r="BE34" s="171"/>
      <c r="BF34" s="171"/>
      <c r="BG34" s="171"/>
      <c r="BH34" s="171"/>
      <c r="BI34" s="171"/>
      <c r="BJ34" s="171"/>
      <c r="BK34" s="171"/>
      <c r="BL34" s="171"/>
      <c r="BM34" s="171"/>
      <c r="BN34" s="172"/>
      <c r="BP34" s="170"/>
      <c r="BQ34" s="171"/>
      <c r="BR34" s="171"/>
      <c r="BS34" s="171"/>
      <c r="BT34" s="171"/>
      <c r="BU34" s="171"/>
      <c r="BV34" s="171"/>
      <c r="BW34" s="171"/>
      <c r="BX34" s="171"/>
      <c r="BY34" s="171"/>
      <c r="BZ34" s="171"/>
      <c r="CA34" s="171"/>
      <c r="CB34" s="171"/>
      <c r="CC34" s="171"/>
      <c r="CD34" s="171"/>
      <c r="CE34" s="171"/>
      <c r="CF34" s="172"/>
    </row>
    <row r="35" spans="2:126" ht="9" customHeight="1" x14ac:dyDescent="0.25">
      <c r="B35" s="99"/>
      <c r="C35" s="176"/>
      <c r="D35" s="177"/>
      <c r="E35" s="177"/>
      <c r="F35" s="178"/>
      <c r="G35" s="193"/>
      <c r="H35" s="182"/>
      <c r="I35" s="182"/>
      <c r="J35" s="182"/>
      <c r="K35" s="182"/>
      <c r="L35" s="182"/>
      <c r="M35" s="182"/>
      <c r="N35" s="182"/>
      <c r="O35" s="182"/>
      <c r="P35" s="194"/>
      <c r="Q35" s="184"/>
      <c r="R35" s="185"/>
      <c r="S35" s="185"/>
      <c r="T35" s="185"/>
      <c r="U35" s="185"/>
      <c r="V35" s="185"/>
      <c r="W35" s="185"/>
      <c r="X35" s="185"/>
      <c r="Y35" s="186"/>
      <c r="Z35" s="104"/>
      <c r="AA35" s="104"/>
      <c r="AB35" s="170"/>
      <c r="AC35" s="171"/>
      <c r="AD35" s="171"/>
      <c r="AE35" s="171"/>
      <c r="AF35" s="171"/>
      <c r="AG35" s="171"/>
      <c r="AH35" s="171"/>
      <c r="AI35" s="171"/>
      <c r="AJ35" s="171"/>
      <c r="AK35" s="171"/>
      <c r="AL35" s="171"/>
      <c r="AM35" s="171"/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1"/>
      <c r="BA35" s="171"/>
      <c r="BB35" s="171"/>
      <c r="BC35" s="171"/>
      <c r="BD35" s="171"/>
      <c r="BE35" s="171"/>
      <c r="BF35" s="171"/>
      <c r="BG35" s="171"/>
      <c r="BH35" s="171"/>
      <c r="BI35" s="171"/>
      <c r="BJ35" s="171"/>
      <c r="BK35" s="171"/>
      <c r="BL35" s="171"/>
      <c r="BM35" s="171"/>
      <c r="BN35" s="172"/>
      <c r="BP35" s="170"/>
      <c r="BQ35" s="171"/>
      <c r="BR35" s="171"/>
      <c r="BS35" s="171"/>
      <c r="BT35" s="171"/>
      <c r="BU35" s="171"/>
      <c r="BV35" s="171"/>
      <c r="BW35" s="171"/>
      <c r="BX35" s="171"/>
      <c r="BY35" s="171"/>
      <c r="BZ35" s="171"/>
      <c r="CA35" s="171"/>
      <c r="CB35" s="171"/>
      <c r="CC35" s="171"/>
      <c r="CD35" s="171"/>
      <c r="CE35" s="171"/>
      <c r="CF35" s="172"/>
    </row>
    <row r="36" spans="2:126" ht="9" customHeight="1" thickBot="1" x14ac:dyDescent="0.3">
      <c r="C36" s="179"/>
      <c r="D36" s="180"/>
      <c r="E36" s="180"/>
      <c r="F36" s="181"/>
      <c r="G36" s="195"/>
      <c r="H36" s="183"/>
      <c r="I36" s="183"/>
      <c r="J36" s="183"/>
      <c r="K36" s="183"/>
      <c r="L36" s="183"/>
      <c r="M36" s="183"/>
      <c r="N36" s="183"/>
      <c r="O36" s="183"/>
      <c r="P36" s="196"/>
      <c r="Q36" s="187"/>
      <c r="R36" s="188"/>
      <c r="S36" s="188"/>
      <c r="T36" s="188"/>
      <c r="U36" s="188"/>
      <c r="V36" s="188"/>
      <c r="W36" s="188"/>
      <c r="X36" s="188"/>
      <c r="Y36" s="189"/>
      <c r="Z36" s="104"/>
      <c r="AA36" s="104"/>
      <c r="AB36" s="170"/>
      <c r="AC36" s="171"/>
      <c r="AD36" s="171"/>
      <c r="AE36" s="171"/>
      <c r="AF36" s="171"/>
      <c r="AG36" s="171"/>
      <c r="AH36" s="171"/>
      <c r="AI36" s="171"/>
      <c r="AJ36" s="171"/>
      <c r="AK36" s="171"/>
      <c r="AL36" s="171"/>
      <c r="AM36" s="171"/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1"/>
      <c r="AY36" s="171"/>
      <c r="AZ36" s="171"/>
      <c r="BA36" s="171"/>
      <c r="BB36" s="171"/>
      <c r="BC36" s="171"/>
      <c r="BD36" s="171"/>
      <c r="BE36" s="171"/>
      <c r="BF36" s="171"/>
      <c r="BG36" s="171"/>
      <c r="BH36" s="171"/>
      <c r="BI36" s="171"/>
      <c r="BJ36" s="171"/>
      <c r="BK36" s="171"/>
      <c r="BL36" s="171"/>
      <c r="BM36" s="171"/>
      <c r="BN36" s="172"/>
      <c r="BP36" s="170"/>
      <c r="BQ36" s="171"/>
      <c r="BR36" s="171"/>
      <c r="BS36" s="171"/>
      <c r="BT36" s="171"/>
      <c r="BU36" s="171"/>
      <c r="BV36" s="171"/>
      <c r="BW36" s="171"/>
      <c r="BX36" s="171"/>
      <c r="BY36" s="171"/>
      <c r="BZ36" s="171"/>
      <c r="CA36" s="171"/>
      <c r="CB36" s="171"/>
      <c r="CC36" s="171"/>
      <c r="CD36" s="171"/>
      <c r="CE36" s="171"/>
      <c r="CF36" s="172"/>
    </row>
    <row r="37" spans="2:126" ht="9" customHeight="1" x14ac:dyDescent="0.25">
      <c r="C37" s="176" t="s">
        <v>100</v>
      </c>
      <c r="D37" s="177"/>
      <c r="E37" s="177"/>
      <c r="F37" s="178"/>
      <c r="G37" s="190" t="str">
        <f>'Ranking Facturacion'!E4</f>
        <v>Sándwiche de pollo</v>
      </c>
      <c r="H37" s="191"/>
      <c r="I37" s="191"/>
      <c r="J37" s="191"/>
      <c r="K37" s="191"/>
      <c r="L37" s="191"/>
      <c r="M37" s="191"/>
      <c r="N37" s="191"/>
      <c r="O37" s="191"/>
      <c r="P37" s="192"/>
      <c r="Q37" s="197">
        <f>'Ranking Facturacion'!F4</f>
        <v>1350</v>
      </c>
      <c r="R37" s="198"/>
      <c r="S37" s="198"/>
      <c r="T37" s="198"/>
      <c r="U37" s="198"/>
      <c r="V37" s="198"/>
      <c r="W37" s="198"/>
      <c r="X37" s="198"/>
      <c r="Y37" s="199"/>
      <c r="Z37" s="201"/>
      <c r="AB37" s="170"/>
      <c r="AC37" s="171"/>
      <c r="AD37" s="171"/>
      <c r="AE37" s="171"/>
      <c r="AF37" s="171"/>
      <c r="AG37" s="171"/>
      <c r="AH37" s="171"/>
      <c r="AI37" s="171"/>
      <c r="AJ37" s="171"/>
      <c r="AK37" s="171"/>
      <c r="AL37" s="171"/>
      <c r="AM37" s="171"/>
      <c r="AN37" s="171"/>
      <c r="AO37" s="171"/>
      <c r="AP37" s="171"/>
      <c r="AQ37" s="171"/>
      <c r="AR37" s="171"/>
      <c r="AS37" s="171"/>
      <c r="AT37" s="171"/>
      <c r="AU37" s="171"/>
      <c r="AV37" s="171"/>
      <c r="AW37" s="171"/>
      <c r="AX37" s="171"/>
      <c r="AY37" s="171"/>
      <c r="AZ37" s="171"/>
      <c r="BA37" s="171"/>
      <c r="BB37" s="171"/>
      <c r="BC37" s="171"/>
      <c r="BD37" s="171"/>
      <c r="BE37" s="171"/>
      <c r="BF37" s="171"/>
      <c r="BG37" s="171"/>
      <c r="BH37" s="171"/>
      <c r="BI37" s="171"/>
      <c r="BJ37" s="171"/>
      <c r="BK37" s="171"/>
      <c r="BL37" s="171"/>
      <c r="BM37" s="171"/>
      <c r="BN37" s="172"/>
      <c r="BP37" s="170"/>
      <c r="BQ37" s="171"/>
      <c r="BR37" s="171"/>
      <c r="BS37" s="171"/>
      <c r="BT37" s="171"/>
      <c r="BU37" s="171"/>
      <c r="BV37" s="171"/>
      <c r="BW37" s="171"/>
      <c r="BX37" s="171"/>
      <c r="BY37" s="171"/>
      <c r="BZ37" s="171"/>
      <c r="CA37" s="171"/>
      <c r="CB37" s="171"/>
      <c r="CC37" s="171"/>
      <c r="CD37" s="171"/>
      <c r="CE37" s="171"/>
      <c r="CF37" s="172"/>
    </row>
    <row r="38" spans="2:126" ht="9" customHeight="1" x14ac:dyDescent="0.25">
      <c r="C38" s="176"/>
      <c r="D38" s="177"/>
      <c r="E38" s="177"/>
      <c r="F38" s="178"/>
      <c r="G38" s="193"/>
      <c r="H38" s="182"/>
      <c r="I38" s="182"/>
      <c r="J38" s="182"/>
      <c r="K38" s="182"/>
      <c r="L38" s="182"/>
      <c r="M38" s="182"/>
      <c r="N38" s="182"/>
      <c r="O38" s="182"/>
      <c r="P38" s="194"/>
      <c r="Q38" s="184"/>
      <c r="R38" s="185"/>
      <c r="S38" s="185"/>
      <c r="T38" s="185"/>
      <c r="U38" s="185"/>
      <c r="V38" s="185"/>
      <c r="W38" s="185"/>
      <c r="X38" s="185"/>
      <c r="Y38" s="186"/>
      <c r="Z38" s="201"/>
      <c r="AB38" s="170"/>
      <c r="AC38" s="171"/>
      <c r="AD38" s="171"/>
      <c r="AE38" s="171"/>
      <c r="AF38" s="171"/>
      <c r="AG38" s="171"/>
      <c r="AH38" s="171"/>
      <c r="AI38" s="171"/>
      <c r="AJ38" s="171"/>
      <c r="AK38" s="171"/>
      <c r="AL38" s="171"/>
      <c r="AM38" s="171"/>
      <c r="AN38" s="171"/>
      <c r="AO38" s="171"/>
      <c r="AP38" s="171"/>
      <c r="AQ38" s="171"/>
      <c r="AR38" s="171"/>
      <c r="AS38" s="171"/>
      <c r="AT38" s="171"/>
      <c r="AU38" s="171"/>
      <c r="AV38" s="171"/>
      <c r="AW38" s="171"/>
      <c r="AX38" s="171"/>
      <c r="AY38" s="171"/>
      <c r="AZ38" s="171"/>
      <c r="BA38" s="171"/>
      <c r="BB38" s="171"/>
      <c r="BC38" s="171"/>
      <c r="BD38" s="171"/>
      <c r="BE38" s="171"/>
      <c r="BF38" s="171"/>
      <c r="BG38" s="171"/>
      <c r="BH38" s="171"/>
      <c r="BI38" s="171"/>
      <c r="BJ38" s="171"/>
      <c r="BK38" s="171"/>
      <c r="BL38" s="171"/>
      <c r="BM38" s="171"/>
      <c r="BN38" s="172"/>
      <c r="BP38" s="170"/>
      <c r="BQ38" s="171"/>
      <c r="BR38" s="171"/>
      <c r="BS38" s="171"/>
      <c r="BT38" s="171"/>
      <c r="BU38" s="171"/>
      <c r="BV38" s="171"/>
      <c r="BW38" s="171"/>
      <c r="BX38" s="171"/>
      <c r="BY38" s="171"/>
      <c r="BZ38" s="171"/>
      <c r="CA38" s="171"/>
      <c r="CB38" s="171"/>
      <c r="CC38" s="171"/>
      <c r="CD38" s="171"/>
      <c r="CE38" s="171"/>
      <c r="CF38" s="172"/>
    </row>
    <row r="39" spans="2:126" ht="9" customHeight="1" thickBot="1" x14ac:dyDescent="0.3">
      <c r="C39" s="179"/>
      <c r="D39" s="180"/>
      <c r="E39" s="180"/>
      <c r="F39" s="181"/>
      <c r="G39" s="195"/>
      <c r="H39" s="183"/>
      <c r="I39" s="183"/>
      <c r="J39" s="183"/>
      <c r="K39" s="183"/>
      <c r="L39" s="183"/>
      <c r="M39" s="183"/>
      <c r="N39" s="183"/>
      <c r="O39" s="183"/>
      <c r="P39" s="196"/>
      <c r="Q39" s="187"/>
      <c r="R39" s="188"/>
      <c r="S39" s="188"/>
      <c r="T39" s="188"/>
      <c r="U39" s="188"/>
      <c r="V39" s="188"/>
      <c r="W39" s="188"/>
      <c r="X39" s="188"/>
      <c r="Y39" s="189"/>
      <c r="Z39" s="201"/>
      <c r="AB39" s="170"/>
      <c r="AC39" s="171"/>
      <c r="AD39" s="171"/>
      <c r="AE39" s="171"/>
      <c r="AF39" s="171"/>
      <c r="AG39" s="171"/>
      <c r="AH39" s="171"/>
      <c r="AI39" s="171"/>
      <c r="AJ39" s="171"/>
      <c r="AK39" s="171"/>
      <c r="AL39" s="171"/>
      <c r="AM39" s="171"/>
      <c r="AN39" s="171"/>
      <c r="AO39" s="171"/>
      <c r="AP39" s="171"/>
      <c r="AQ39" s="171"/>
      <c r="AR39" s="171"/>
      <c r="AS39" s="171"/>
      <c r="AT39" s="171"/>
      <c r="AU39" s="171"/>
      <c r="AV39" s="171"/>
      <c r="AW39" s="171"/>
      <c r="AX39" s="171"/>
      <c r="AY39" s="171"/>
      <c r="AZ39" s="171"/>
      <c r="BA39" s="171"/>
      <c r="BB39" s="171"/>
      <c r="BC39" s="171"/>
      <c r="BD39" s="171"/>
      <c r="BE39" s="171"/>
      <c r="BF39" s="171"/>
      <c r="BG39" s="171"/>
      <c r="BH39" s="171"/>
      <c r="BI39" s="171"/>
      <c r="BJ39" s="171"/>
      <c r="BK39" s="171"/>
      <c r="BL39" s="171"/>
      <c r="BM39" s="171"/>
      <c r="BN39" s="172"/>
      <c r="BP39" s="170"/>
      <c r="BQ39" s="171"/>
      <c r="BR39" s="171"/>
      <c r="BS39" s="171"/>
      <c r="BT39" s="171"/>
      <c r="BU39" s="171"/>
      <c r="BV39" s="171"/>
      <c r="BW39" s="171"/>
      <c r="BX39" s="171"/>
      <c r="BY39" s="171"/>
      <c r="BZ39" s="171"/>
      <c r="CA39" s="171"/>
      <c r="CB39" s="171"/>
      <c r="CC39" s="171"/>
      <c r="CD39" s="171"/>
      <c r="CE39" s="171"/>
      <c r="CF39" s="172"/>
    </row>
    <row r="40" spans="2:126" ht="9" customHeight="1" x14ac:dyDescent="0.25">
      <c r="C40" s="176" t="s">
        <v>101</v>
      </c>
      <c r="D40" s="177"/>
      <c r="E40" s="177"/>
      <c r="F40" s="178"/>
      <c r="G40" s="190" t="str">
        <f>'Ranking Facturacion'!E5</f>
        <v>Churros</v>
      </c>
      <c r="H40" s="191"/>
      <c r="I40" s="191"/>
      <c r="J40" s="191"/>
      <c r="K40" s="191"/>
      <c r="L40" s="191"/>
      <c r="M40" s="191"/>
      <c r="N40" s="191"/>
      <c r="O40" s="191"/>
      <c r="P40" s="192"/>
      <c r="Q40" s="197">
        <f>'Ranking Facturacion'!F5</f>
        <v>1221.5</v>
      </c>
      <c r="R40" s="198"/>
      <c r="S40" s="198"/>
      <c r="T40" s="198"/>
      <c r="U40" s="198"/>
      <c r="V40" s="198"/>
      <c r="W40" s="198"/>
      <c r="X40" s="198"/>
      <c r="Y40" s="199"/>
      <c r="Z40" s="201"/>
      <c r="AB40" s="170"/>
      <c r="AC40" s="171"/>
      <c r="AD40" s="171"/>
      <c r="AE40" s="171"/>
      <c r="AF40" s="171"/>
      <c r="AG40" s="171"/>
      <c r="AH40" s="171"/>
      <c r="AI40" s="171"/>
      <c r="AJ40" s="171"/>
      <c r="AK40" s="171"/>
      <c r="AL40" s="171"/>
      <c r="AM40" s="171"/>
      <c r="AN40" s="171"/>
      <c r="AO40" s="171"/>
      <c r="AP40" s="171"/>
      <c r="AQ40" s="171"/>
      <c r="AR40" s="171"/>
      <c r="AS40" s="171"/>
      <c r="AT40" s="171"/>
      <c r="AU40" s="171"/>
      <c r="AV40" s="171"/>
      <c r="AW40" s="171"/>
      <c r="AX40" s="171"/>
      <c r="AY40" s="171"/>
      <c r="AZ40" s="171"/>
      <c r="BA40" s="171"/>
      <c r="BB40" s="171"/>
      <c r="BC40" s="171"/>
      <c r="BD40" s="171"/>
      <c r="BE40" s="171"/>
      <c r="BF40" s="171"/>
      <c r="BG40" s="171"/>
      <c r="BH40" s="171"/>
      <c r="BI40" s="171"/>
      <c r="BJ40" s="171"/>
      <c r="BK40" s="171"/>
      <c r="BL40" s="171"/>
      <c r="BM40" s="171"/>
      <c r="BN40" s="172"/>
      <c r="BP40" s="170"/>
      <c r="BQ40" s="171"/>
      <c r="BR40" s="171"/>
      <c r="BS40" s="171"/>
      <c r="BT40" s="171"/>
      <c r="BU40" s="171"/>
      <c r="BV40" s="171"/>
      <c r="BW40" s="171"/>
      <c r="BX40" s="171"/>
      <c r="BY40" s="171"/>
      <c r="BZ40" s="171"/>
      <c r="CA40" s="171"/>
      <c r="CB40" s="171"/>
      <c r="CC40" s="171"/>
      <c r="CD40" s="171"/>
      <c r="CE40" s="171"/>
      <c r="CF40" s="172"/>
    </row>
    <row r="41" spans="2:126" ht="9" customHeight="1" x14ac:dyDescent="0.25">
      <c r="C41" s="176"/>
      <c r="D41" s="177"/>
      <c r="E41" s="177"/>
      <c r="F41" s="178"/>
      <c r="G41" s="193"/>
      <c r="H41" s="182"/>
      <c r="I41" s="182"/>
      <c r="J41" s="182"/>
      <c r="K41" s="182"/>
      <c r="L41" s="182"/>
      <c r="M41" s="182"/>
      <c r="N41" s="182"/>
      <c r="O41" s="182"/>
      <c r="P41" s="194"/>
      <c r="Q41" s="184"/>
      <c r="R41" s="185"/>
      <c r="S41" s="185"/>
      <c r="T41" s="185"/>
      <c r="U41" s="185"/>
      <c r="V41" s="185"/>
      <c r="W41" s="185"/>
      <c r="X41" s="185"/>
      <c r="Y41" s="186"/>
      <c r="Z41" s="201"/>
      <c r="AB41" s="170"/>
      <c r="AC41" s="171"/>
      <c r="AD41" s="171"/>
      <c r="AE41" s="171"/>
      <c r="AF41" s="171"/>
      <c r="AG41" s="171"/>
      <c r="AH41" s="171"/>
      <c r="AI41" s="171"/>
      <c r="AJ41" s="171"/>
      <c r="AK41" s="171"/>
      <c r="AL41" s="171"/>
      <c r="AM41" s="171"/>
      <c r="AN41" s="171"/>
      <c r="AO41" s="171"/>
      <c r="AP41" s="171"/>
      <c r="AQ41" s="171"/>
      <c r="AR41" s="171"/>
      <c r="AS41" s="171"/>
      <c r="AT41" s="171"/>
      <c r="AU41" s="171"/>
      <c r="AV41" s="171"/>
      <c r="AW41" s="171"/>
      <c r="AX41" s="171"/>
      <c r="AY41" s="171"/>
      <c r="AZ41" s="171"/>
      <c r="BA41" s="171"/>
      <c r="BB41" s="171"/>
      <c r="BC41" s="171"/>
      <c r="BD41" s="171"/>
      <c r="BE41" s="171"/>
      <c r="BF41" s="171"/>
      <c r="BG41" s="171"/>
      <c r="BH41" s="171"/>
      <c r="BI41" s="171"/>
      <c r="BJ41" s="171"/>
      <c r="BK41" s="171"/>
      <c r="BL41" s="171"/>
      <c r="BM41" s="171"/>
      <c r="BN41" s="172"/>
      <c r="BP41" s="170"/>
      <c r="BQ41" s="171"/>
      <c r="BR41" s="171"/>
      <c r="BS41" s="171"/>
      <c r="BT41" s="171"/>
      <c r="BU41" s="171"/>
      <c r="BV41" s="171"/>
      <c r="BW41" s="171"/>
      <c r="BX41" s="171"/>
      <c r="BY41" s="171"/>
      <c r="BZ41" s="171"/>
      <c r="CA41" s="171"/>
      <c r="CB41" s="171"/>
      <c r="CC41" s="171"/>
      <c r="CD41" s="171"/>
      <c r="CE41" s="171"/>
      <c r="CF41" s="172"/>
    </row>
    <row r="42" spans="2:126" ht="9" customHeight="1" thickBot="1" x14ac:dyDescent="0.3">
      <c r="C42" s="179"/>
      <c r="D42" s="180"/>
      <c r="E42" s="180"/>
      <c r="F42" s="181"/>
      <c r="G42" s="195"/>
      <c r="H42" s="183"/>
      <c r="I42" s="183"/>
      <c r="J42" s="183"/>
      <c r="K42" s="183"/>
      <c r="L42" s="183"/>
      <c r="M42" s="183"/>
      <c r="N42" s="183"/>
      <c r="O42" s="183"/>
      <c r="P42" s="196"/>
      <c r="Q42" s="187"/>
      <c r="R42" s="188"/>
      <c r="S42" s="188"/>
      <c r="T42" s="188"/>
      <c r="U42" s="188"/>
      <c r="V42" s="188"/>
      <c r="W42" s="188"/>
      <c r="X42" s="188"/>
      <c r="Y42" s="189"/>
      <c r="Z42" s="201"/>
      <c r="AB42" s="170"/>
      <c r="AC42" s="171"/>
      <c r="AD42" s="171"/>
      <c r="AE42" s="171"/>
      <c r="AF42" s="171"/>
      <c r="AG42" s="171"/>
      <c r="AH42" s="171"/>
      <c r="AI42" s="171"/>
      <c r="AJ42" s="171"/>
      <c r="AK42" s="171"/>
      <c r="AL42" s="171"/>
      <c r="AM42" s="171"/>
      <c r="AN42" s="171"/>
      <c r="AO42" s="171"/>
      <c r="AP42" s="171"/>
      <c r="AQ42" s="171"/>
      <c r="AR42" s="171"/>
      <c r="AS42" s="171"/>
      <c r="AT42" s="171"/>
      <c r="AU42" s="171"/>
      <c r="AV42" s="171"/>
      <c r="AW42" s="171"/>
      <c r="AX42" s="171"/>
      <c r="AY42" s="171"/>
      <c r="AZ42" s="171"/>
      <c r="BA42" s="171"/>
      <c r="BB42" s="171"/>
      <c r="BC42" s="171"/>
      <c r="BD42" s="171"/>
      <c r="BE42" s="171"/>
      <c r="BF42" s="171"/>
      <c r="BG42" s="171"/>
      <c r="BH42" s="171"/>
      <c r="BI42" s="171"/>
      <c r="BJ42" s="171"/>
      <c r="BK42" s="171"/>
      <c r="BL42" s="171"/>
      <c r="BM42" s="171"/>
      <c r="BN42" s="172"/>
      <c r="BP42" s="170"/>
      <c r="BQ42" s="171"/>
      <c r="BR42" s="171"/>
      <c r="BS42" s="171"/>
      <c r="BT42" s="171"/>
      <c r="BU42" s="171"/>
      <c r="BV42" s="171"/>
      <c r="BW42" s="171"/>
      <c r="BX42" s="171"/>
      <c r="BY42" s="171"/>
      <c r="BZ42" s="171"/>
      <c r="CA42" s="171"/>
      <c r="CB42" s="171"/>
      <c r="CC42" s="171"/>
      <c r="CD42" s="171"/>
      <c r="CE42" s="171"/>
      <c r="CF42" s="172"/>
    </row>
    <row r="43" spans="2:126" ht="9" customHeight="1" x14ac:dyDescent="0.25">
      <c r="C43" s="202" t="s">
        <v>102</v>
      </c>
      <c r="D43" s="203"/>
      <c r="E43" s="203"/>
      <c r="F43" s="204"/>
      <c r="G43" s="190" t="str">
        <f>'Ranking Facturacion'!E6</f>
        <v>Hamburguesa</v>
      </c>
      <c r="H43" s="191"/>
      <c r="I43" s="191"/>
      <c r="J43" s="191"/>
      <c r="K43" s="191"/>
      <c r="L43" s="191"/>
      <c r="M43" s="191"/>
      <c r="N43" s="191"/>
      <c r="O43" s="191"/>
      <c r="P43" s="192"/>
      <c r="Q43" s="197">
        <f>'Ranking Facturacion'!F6</f>
        <v>325</v>
      </c>
      <c r="R43" s="198"/>
      <c r="S43" s="198"/>
      <c r="T43" s="198"/>
      <c r="U43" s="198"/>
      <c r="V43" s="198"/>
      <c r="W43" s="198"/>
      <c r="X43" s="198"/>
      <c r="Y43" s="199"/>
      <c r="Z43" s="201"/>
      <c r="AB43" s="170"/>
      <c r="AC43" s="171"/>
      <c r="AD43" s="171"/>
      <c r="AE43" s="171"/>
      <c r="AF43" s="171"/>
      <c r="AG43" s="171"/>
      <c r="AH43" s="171"/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  <c r="AU43" s="171"/>
      <c r="AV43" s="171"/>
      <c r="AW43" s="171"/>
      <c r="AX43" s="171"/>
      <c r="AY43" s="171"/>
      <c r="AZ43" s="171"/>
      <c r="BA43" s="171"/>
      <c r="BB43" s="171"/>
      <c r="BC43" s="171"/>
      <c r="BD43" s="171"/>
      <c r="BE43" s="171"/>
      <c r="BF43" s="171"/>
      <c r="BG43" s="171"/>
      <c r="BH43" s="171"/>
      <c r="BI43" s="171"/>
      <c r="BJ43" s="171"/>
      <c r="BK43" s="171"/>
      <c r="BL43" s="171"/>
      <c r="BM43" s="171"/>
      <c r="BN43" s="172"/>
      <c r="BP43" s="170"/>
      <c r="BQ43" s="171"/>
      <c r="BR43" s="171"/>
      <c r="BS43" s="171"/>
      <c r="BT43" s="171"/>
      <c r="BU43" s="171"/>
      <c r="BV43" s="171"/>
      <c r="BW43" s="171"/>
      <c r="BX43" s="171"/>
      <c r="BY43" s="171"/>
      <c r="BZ43" s="171"/>
      <c r="CA43" s="171"/>
      <c r="CB43" s="171"/>
      <c r="CC43" s="171"/>
      <c r="CD43" s="171"/>
      <c r="CE43" s="171"/>
      <c r="CF43" s="172"/>
    </row>
    <row r="44" spans="2:126" ht="9" customHeight="1" x14ac:dyDescent="0.25">
      <c r="C44" s="176"/>
      <c r="D44" s="177"/>
      <c r="E44" s="177"/>
      <c r="F44" s="178"/>
      <c r="G44" s="193"/>
      <c r="H44" s="182"/>
      <c r="I44" s="182"/>
      <c r="J44" s="182"/>
      <c r="K44" s="182"/>
      <c r="L44" s="182"/>
      <c r="M44" s="182"/>
      <c r="N44" s="182"/>
      <c r="O44" s="182"/>
      <c r="P44" s="194"/>
      <c r="Q44" s="184"/>
      <c r="R44" s="185"/>
      <c r="S44" s="185"/>
      <c r="T44" s="185"/>
      <c r="U44" s="185"/>
      <c r="V44" s="185"/>
      <c r="W44" s="185"/>
      <c r="X44" s="185"/>
      <c r="Y44" s="186"/>
      <c r="Z44" s="201"/>
      <c r="AB44" s="170"/>
      <c r="AC44" s="171"/>
      <c r="AD44" s="171"/>
      <c r="AE44" s="171"/>
      <c r="AF44" s="171"/>
      <c r="AG44" s="171"/>
      <c r="AH44" s="171"/>
      <c r="AI44" s="171"/>
      <c r="AJ44" s="171"/>
      <c r="AK44" s="171"/>
      <c r="AL44" s="171"/>
      <c r="AM44" s="171"/>
      <c r="AN44" s="171"/>
      <c r="AO44" s="171"/>
      <c r="AP44" s="171"/>
      <c r="AQ44" s="171"/>
      <c r="AR44" s="171"/>
      <c r="AS44" s="171"/>
      <c r="AT44" s="171"/>
      <c r="AU44" s="171"/>
      <c r="AV44" s="171"/>
      <c r="AW44" s="171"/>
      <c r="AX44" s="171"/>
      <c r="AY44" s="171"/>
      <c r="AZ44" s="171"/>
      <c r="BA44" s="171"/>
      <c r="BB44" s="171"/>
      <c r="BC44" s="171"/>
      <c r="BD44" s="171"/>
      <c r="BE44" s="171"/>
      <c r="BF44" s="171"/>
      <c r="BG44" s="171"/>
      <c r="BH44" s="171"/>
      <c r="BI44" s="171"/>
      <c r="BJ44" s="171"/>
      <c r="BK44" s="171"/>
      <c r="BL44" s="171"/>
      <c r="BM44" s="171"/>
      <c r="BN44" s="172"/>
      <c r="BP44" s="170"/>
      <c r="BQ44" s="171"/>
      <c r="BR44" s="171"/>
      <c r="BS44" s="171"/>
      <c r="BT44" s="171"/>
      <c r="BU44" s="171"/>
      <c r="BV44" s="171"/>
      <c r="BW44" s="171"/>
      <c r="BX44" s="171"/>
      <c r="BY44" s="171"/>
      <c r="BZ44" s="171"/>
      <c r="CA44" s="171"/>
      <c r="CB44" s="171"/>
      <c r="CC44" s="171"/>
      <c r="CD44" s="171"/>
      <c r="CE44" s="171"/>
      <c r="CF44" s="172"/>
    </row>
    <row r="45" spans="2:126" ht="9" customHeight="1" thickBot="1" x14ac:dyDescent="0.3">
      <c r="C45" s="205"/>
      <c r="D45" s="206"/>
      <c r="E45" s="206"/>
      <c r="F45" s="207"/>
      <c r="G45" s="195"/>
      <c r="H45" s="183"/>
      <c r="I45" s="183"/>
      <c r="J45" s="183"/>
      <c r="K45" s="183"/>
      <c r="L45" s="183"/>
      <c r="M45" s="183"/>
      <c r="N45" s="183"/>
      <c r="O45" s="183"/>
      <c r="P45" s="196"/>
      <c r="Q45" s="187"/>
      <c r="R45" s="188"/>
      <c r="S45" s="188"/>
      <c r="T45" s="188"/>
      <c r="U45" s="188"/>
      <c r="V45" s="188"/>
      <c r="W45" s="188"/>
      <c r="X45" s="188"/>
      <c r="Y45" s="189"/>
      <c r="AB45" s="173"/>
      <c r="AC45" s="174"/>
      <c r="AD45" s="174"/>
      <c r="AE45" s="174"/>
      <c r="AF45" s="174"/>
      <c r="AG45" s="174"/>
      <c r="AH45" s="174"/>
      <c r="AI45" s="174"/>
      <c r="AJ45" s="174"/>
      <c r="AK45" s="174"/>
      <c r="AL45" s="174"/>
      <c r="AM45" s="174"/>
      <c r="AN45" s="174"/>
      <c r="AO45" s="174"/>
      <c r="AP45" s="174"/>
      <c r="AQ45" s="174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174"/>
      <c r="BI45" s="174"/>
      <c r="BJ45" s="174"/>
      <c r="BK45" s="174"/>
      <c r="BL45" s="174"/>
      <c r="BM45" s="174"/>
      <c r="BN45" s="175"/>
      <c r="BP45" s="173"/>
      <c r="BQ45" s="174"/>
      <c r="BR45" s="174"/>
      <c r="BS45" s="174"/>
      <c r="BT45" s="174"/>
      <c r="BU45" s="174"/>
      <c r="BV45" s="174"/>
      <c r="BW45" s="174"/>
      <c r="BX45" s="174"/>
      <c r="BY45" s="174"/>
      <c r="BZ45" s="174"/>
      <c r="CA45" s="174"/>
      <c r="CB45" s="174"/>
      <c r="CC45" s="174"/>
      <c r="CD45" s="174"/>
      <c r="CE45" s="174"/>
      <c r="CF45" s="175"/>
    </row>
    <row r="46" spans="2:126" ht="9" customHeight="1" x14ac:dyDescent="0.25">
      <c r="DJ46" s="208"/>
      <c r="DK46" s="208"/>
      <c r="DL46" s="208"/>
      <c r="DM46" s="208"/>
      <c r="DN46" s="208"/>
      <c r="DO46" s="208"/>
      <c r="DP46" s="208"/>
      <c r="DQ46" s="208"/>
      <c r="DR46" s="208"/>
      <c r="DS46" s="208"/>
      <c r="DT46" s="208"/>
      <c r="DU46" s="208"/>
      <c r="DV46" s="208"/>
    </row>
    <row r="47" spans="2:126" ht="9" customHeight="1" x14ac:dyDescent="0.25">
      <c r="DJ47" s="208"/>
      <c r="DK47" s="208"/>
      <c r="DL47" s="208"/>
      <c r="DM47" s="208"/>
      <c r="DN47" s="208"/>
      <c r="DO47" s="208"/>
      <c r="DP47" s="208"/>
      <c r="DQ47" s="208"/>
      <c r="DR47" s="208"/>
      <c r="DS47" s="208"/>
      <c r="DT47" s="208"/>
      <c r="DU47" s="208"/>
      <c r="DV47" s="208"/>
    </row>
    <row r="48" spans="2:126" ht="9" customHeight="1" x14ac:dyDescent="0.25">
      <c r="DJ48" s="200"/>
      <c r="DK48" s="200"/>
      <c r="DL48" s="200"/>
      <c r="DM48" s="200"/>
      <c r="DN48" s="200"/>
      <c r="DO48" s="200"/>
      <c r="DP48" s="200"/>
      <c r="DQ48" s="200"/>
      <c r="DR48" s="200"/>
      <c r="DS48" s="200"/>
      <c r="DT48" s="200"/>
      <c r="DU48" s="200"/>
      <c r="DV48" s="200"/>
    </row>
  </sheetData>
  <mergeCells count="38">
    <mergeCell ref="DJ48:DV48"/>
    <mergeCell ref="Z39:Z40"/>
    <mergeCell ref="C40:F42"/>
    <mergeCell ref="G40:P42"/>
    <mergeCell ref="Q40:Y42"/>
    <mergeCell ref="Z41:Z42"/>
    <mergeCell ref="C43:F45"/>
    <mergeCell ref="G43:P45"/>
    <mergeCell ref="Q43:Y45"/>
    <mergeCell ref="Z43:Z44"/>
    <mergeCell ref="C37:F39"/>
    <mergeCell ref="G37:P39"/>
    <mergeCell ref="Q37:Y39"/>
    <mergeCell ref="Z37:Z38"/>
    <mergeCell ref="DJ46:DV47"/>
    <mergeCell ref="C8:Y9"/>
    <mergeCell ref="AB9:CF10"/>
    <mergeCell ref="C10:Y27"/>
    <mergeCell ref="AB11:CF25"/>
    <mergeCell ref="AB28:BN29"/>
    <mergeCell ref="BP28:CF29"/>
    <mergeCell ref="C29:Y30"/>
    <mergeCell ref="AN30:BC31"/>
    <mergeCell ref="BP30:CF45"/>
    <mergeCell ref="C31:F33"/>
    <mergeCell ref="G31:P33"/>
    <mergeCell ref="Q31:Y33"/>
    <mergeCell ref="AB32:BN45"/>
    <mergeCell ref="C34:F36"/>
    <mergeCell ref="G34:P36"/>
    <mergeCell ref="Q34:Y36"/>
    <mergeCell ref="B1:O5"/>
    <mergeCell ref="AF2:AT3"/>
    <mergeCell ref="AX2:BL3"/>
    <mergeCell ref="BP2:CD3"/>
    <mergeCell ref="AF4:AT7"/>
    <mergeCell ref="AX4:BL7"/>
    <mergeCell ref="BP4:CD7"/>
  </mergeCells>
  <dataValidations disablePrompts="1" count="1">
    <dataValidation type="list" allowBlank="1" showInputMessage="1" showErrorMessage="1" sqref="AN30:BB31" xr:uid="{328A1E82-2077-42F8-8AF7-7B2D6E6DF26C}">
      <formula1>Lista_Productos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5" ma:contentTypeDescription="Crie um novo documento." ma:contentTypeScope="" ma:versionID="356590f5a0d689a097ccf88dfc74651c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358450caccba16b195b14fe92929b549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3.xml><?xml version="1.0" encoding="utf-8"?>
<ds:datastoreItem xmlns:ds="http://schemas.openxmlformats.org/officeDocument/2006/customXml" ds:itemID="{F93013FB-E102-4D6E-ABBB-5EEF1B62F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3</vt:i4>
      </vt:variant>
    </vt:vector>
  </HeadingPairs>
  <TitlesOfParts>
    <vt:vector size="14" baseType="lpstr">
      <vt:lpstr>Productos</vt:lpstr>
      <vt:lpstr>Top 5 Productos</vt:lpstr>
      <vt:lpstr>Ranking Facturacion</vt:lpstr>
      <vt:lpstr>Facturacion vs Gastos</vt:lpstr>
      <vt:lpstr>Proveedor</vt:lpstr>
      <vt:lpstr>Entradas</vt:lpstr>
      <vt:lpstr>Salidas</vt:lpstr>
      <vt:lpstr>Consulta</vt:lpstr>
      <vt:lpstr>Control de Stock</vt:lpstr>
      <vt:lpstr>Cuadro Resumen</vt:lpstr>
      <vt:lpstr>Dashboard</vt:lpstr>
      <vt:lpstr>CriteriosProducto</vt:lpstr>
      <vt:lpstr>Lista_Productos</vt:lpstr>
      <vt:lpstr>Lista_Proveedores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Office Resolve Testes</cp:lastModifiedBy>
  <cp:revision/>
  <dcterms:created xsi:type="dcterms:W3CDTF">2022-11-17T13:49:56Z</dcterms:created>
  <dcterms:modified xsi:type="dcterms:W3CDTF">2023-05-16T00:49:27Z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