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Alura\Serenatto\"/>
    </mc:Choice>
  </mc:AlternateContent>
  <xr:revisionPtr revIDLastSave="0" documentId="13_ncr:1_{D7F18D28-AB75-49BA-91FB-14C978B49F6C}" xr6:coauthVersionLast="47" xr6:coauthVersionMax="47" xr10:uidLastSave="{00000000-0000-0000-0000-000000000000}"/>
  <bookViews>
    <workbookView xWindow="38280" yWindow="-120" windowWidth="20640" windowHeight="11760" tabRatio="781" activeTab="3" xr2:uid="{87BE7180-3E81-4FE5-B433-FFDBA552102C}"/>
  </bookViews>
  <sheets>
    <sheet name="Productos" sheetId="2" r:id="rId1"/>
    <sheet name="Proveedor" sheetId="3" r:id="rId2"/>
    <sheet name="Entradas" sheetId="4" r:id="rId3"/>
    <sheet name="Salidas" sheetId="5" r:id="rId4"/>
    <sheet name="Consulta" sheetId="6" r:id="rId5"/>
    <sheet name="Control de Stock" sheetId="7" r:id="rId6"/>
    <sheet name="Cuadro Resumen" sheetId="9" r:id="rId7"/>
  </sheets>
  <definedNames>
    <definedName name="CriteriosProducto">'Cuadro Resumen'!$AM$6:$AM$7</definedName>
    <definedName name="Lista_Productos">TB_Producto[Producto]</definedName>
    <definedName name="Lista_Proveedores">TB_Proveedor[Empresa]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5" l="1"/>
  <c r="F33" i="5" s="1"/>
  <c r="E34" i="5"/>
  <c r="E35" i="5"/>
  <c r="F35" i="5" s="1"/>
  <c r="E36" i="5"/>
  <c r="E37" i="5"/>
  <c r="E38" i="5"/>
  <c r="E39" i="5"/>
  <c r="E40" i="5"/>
  <c r="F40" i="5" s="1"/>
  <c r="E41" i="5"/>
  <c r="F41" i="5" s="1"/>
  <c r="E42" i="5"/>
  <c r="F42" i="5" s="1"/>
  <c r="E43" i="5"/>
  <c r="F43" i="5" s="1"/>
  <c r="E44" i="5"/>
  <c r="F44" i="5" s="1"/>
  <c r="E45" i="5"/>
  <c r="F45" i="5" s="1"/>
  <c r="E46" i="5"/>
  <c r="E47" i="5"/>
  <c r="F47" i="5" s="1"/>
  <c r="E48" i="5"/>
  <c r="E49" i="5"/>
  <c r="E50" i="5"/>
  <c r="E51" i="5"/>
  <c r="E52" i="5"/>
  <c r="F52" i="5" s="1"/>
  <c r="E53" i="5"/>
  <c r="F53" i="5" s="1"/>
  <c r="E54" i="5"/>
  <c r="F54" i="5" s="1"/>
  <c r="E55" i="5"/>
  <c r="F55" i="5" s="1"/>
  <c r="E56" i="5"/>
  <c r="F56" i="5" s="1"/>
  <c r="E57" i="5"/>
  <c r="F57" i="5" s="1"/>
  <c r="E58" i="5"/>
  <c r="F58" i="5" s="1"/>
  <c r="E59" i="5"/>
  <c r="F59" i="5" s="1"/>
  <c r="E60" i="5"/>
  <c r="F60" i="5" s="1"/>
  <c r="E61" i="5"/>
  <c r="F61" i="5" s="1"/>
  <c r="F34" i="5"/>
  <c r="F36" i="5"/>
  <c r="F37" i="5"/>
  <c r="F38" i="5"/>
  <c r="F39" i="5"/>
  <c r="F46" i="5"/>
  <c r="F48" i="5"/>
  <c r="F49" i="5"/>
  <c r="F50" i="5"/>
  <c r="F51" i="5"/>
  <c r="N7" i="9"/>
  <c r="F32" i="4"/>
  <c r="G32" i="4" s="1"/>
  <c r="F33" i="4"/>
  <c r="G33" i="4" s="1"/>
  <c r="F34" i="4"/>
  <c r="F35" i="4"/>
  <c r="F36" i="4"/>
  <c r="G36" i="4" s="1"/>
  <c r="F37" i="4"/>
  <c r="F38" i="4"/>
  <c r="G38" i="4" s="1"/>
  <c r="F39" i="4"/>
  <c r="G39" i="4" s="1"/>
  <c r="F40" i="4"/>
  <c r="G40" i="4" s="1"/>
  <c r="F41" i="4"/>
  <c r="F42" i="4"/>
  <c r="F43" i="4"/>
  <c r="G43" i="4" s="1"/>
  <c r="F44" i="4"/>
  <c r="G44" i="4" s="1"/>
  <c r="F45" i="4"/>
  <c r="G45" i="4" s="1"/>
  <c r="F46" i="4"/>
  <c r="G46" i="4" s="1"/>
  <c r="F47" i="4"/>
  <c r="F48" i="4"/>
  <c r="G48" i="4" s="1"/>
  <c r="F49" i="4"/>
  <c r="F50" i="4"/>
  <c r="G50" i="4" s="1"/>
  <c r="F51" i="4"/>
  <c r="G51" i="4" s="1"/>
  <c r="F52" i="4"/>
  <c r="G52" i="4" s="1"/>
  <c r="F53" i="4"/>
  <c r="F54" i="4"/>
  <c r="F55" i="4"/>
  <c r="G55" i="4" s="1"/>
  <c r="F56" i="4"/>
  <c r="G56" i="4" s="1"/>
  <c r="F57" i="4"/>
  <c r="G57" i="4" s="1"/>
  <c r="F58" i="4"/>
  <c r="G58" i="4" s="1"/>
  <c r="F59" i="4"/>
  <c r="G59" i="4" s="1"/>
  <c r="G34" i="4"/>
  <c r="G35" i="4"/>
  <c r="G37" i="4"/>
  <c r="G41" i="4"/>
  <c r="G42" i="4"/>
  <c r="G47" i="4"/>
  <c r="G49" i="4"/>
  <c r="G53" i="4"/>
  <c r="G54" i="4"/>
  <c r="F6" i="7" l="1"/>
  <c r="F7" i="7"/>
  <c r="F8" i="7"/>
  <c r="F9" i="7"/>
  <c r="F10" i="7"/>
  <c r="F11" i="7"/>
  <c r="F12" i="7"/>
  <c r="F13" i="7"/>
  <c r="F14" i="7"/>
  <c r="F15" i="7"/>
  <c r="F16" i="7"/>
  <c r="F17" i="7"/>
  <c r="D6" i="7"/>
  <c r="C6" i="7"/>
  <c r="C7" i="7"/>
  <c r="C8" i="7"/>
  <c r="C9" i="7"/>
  <c r="C10" i="7"/>
  <c r="C11" i="7"/>
  <c r="C12" i="7"/>
  <c r="C13" i="7"/>
  <c r="C14" i="7"/>
  <c r="C15" i="7"/>
  <c r="C16" i="7"/>
  <c r="C17" i="7"/>
  <c r="D7" i="7"/>
  <c r="D8" i="7"/>
  <c r="D9" i="7"/>
  <c r="D10" i="7"/>
  <c r="D11" i="7"/>
  <c r="D12" i="7"/>
  <c r="D13" i="7"/>
  <c r="D14" i="7"/>
  <c r="D15" i="7"/>
  <c r="D16" i="7"/>
  <c r="D17" i="7"/>
  <c r="E16" i="7" l="1"/>
  <c r="E15" i="7"/>
  <c r="G15" i="7" s="1" a="1"/>
  <c r="G15" i="7" s="1"/>
  <c r="E14" i="7"/>
  <c r="E13" i="7"/>
  <c r="G13" i="7" s="1" a="1"/>
  <c r="G13" i="7" s="1"/>
  <c r="E12" i="7"/>
  <c r="E11" i="7"/>
  <c r="G11" i="7" s="1" a="1"/>
  <c r="G11" i="7" s="1"/>
  <c r="E10" i="7"/>
  <c r="G10" i="7" s="1" a="1"/>
  <c r="G10" i="7" s="1"/>
  <c r="E9" i="7"/>
  <c r="G9" i="7" s="1" a="1"/>
  <c r="G9" i="7" s="1"/>
  <c r="E17" i="7"/>
  <c r="G17" i="7" s="1" a="1"/>
  <c r="G17" i="7" s="1"/>
  <c r="E8" i="7"/>
  <c r="AM10" i="9" s="1"/>
  <c r="E7" i="7"/>
  <c r="G7" i="7" s="1" a="1"/>
  <c r="G7" i="7" s="1"/>
  <c r="E6" i="7"/>
  <c r="G16" i="7" a="1"/>
  <c r="G16" i="7" s="1"/>
  <c r="G12" i="7" a="1"/>
  <c r="G12" i="7" s="1"/>
  <c r="G14" i="7" a="1"/>
  <c r="G14" i="7" s="1"/>
  <c r="F8" i="6"/>
  <c r="F10" i="6" s="1"/>
  <c r="F6" i="6"/>
  <c r="N10" i="9" l="1"/>
  <c r="G6" i="7" a="1"/>
  <c r="G6" i="7" s="1"/>
  <c r="G8" i="7" a="1"/>
  <c r="G8" i="7" s="1"/>
  <c r="E5" i="5"/>
  <c r="E6" i="5"/>
  <c r="F6" i="5" s="1"/>
  <c r="E7" i="5"/>
  <c r="F7" i="5" s="1"/>
  <c r="H7" i="7" s="1"/>
  <c r="E8" i="5"/>
  <c r="F8" i="5" s="1"/>
  <c r="H10" i="7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 s="1"/>
  <c r="H16" i="7" s="1"/>
  <c r="E22" i="5"/>
  <c r="F22" i="5" s="1"/>
  <c r="E23" i="5"/>
  <c r="F23" i="5" s="1"/>
  <c r="E24" i="5"/>
  <c r="F24" i="5" s="1"/>
  <c r="E25" i="5"/>
  <c r="F25" i="5" s="1"/>
  <c r="H15" i="7" s="1"/>
  <c r="E26" i="5"/>
  <c r="F26" i="5" s="1"/>
  <c r="E27" i="5"/>
  <c r="F27" i="5" s="1"/>
  <c r="E28" i="5"/>
  <c r="F28" i="5" s="1"/>
  <c r="E29" i="5"/>
  <c r="F29" i="5" s="1"/>
  <c r="E30" i="5"/>
  <c r="F30" i="5" s="1"/>
  <c r="E31" i="5"/>
  <c r="F31" i="5" s="1"/>
  <c r="E32" i="5"/>
  <c r="F32" i="5" s="1"/>
  <c r="F6" i="4"/>
  <c r="F7" i="4"/>
  <c r="G7" i="4" s="1"/>
  <c r="F8" i="4"/>
  <c r="G8" i="4" s="1"/>
  <c r="I7" i="7" s="1"/>
  <c r="F9" i="4"/>
  <c r="G9" i="4" s="1"/>
  <c r="I10" i="7" s="1"/>
  <c r="F10" i="4"/>
  <c r="G10" i="4" s="1"/>
  <c r="F11" i="4"/>
  <c r="G11" i="4" s="1"/>
  <c r="F12" i="4"/>
  <c r="G12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I9" i="7" s="1"/>
  <c r="F23" i="4"/>
  <c r="G23" i="4" s="1"/>
  <c r="I16" i="7" s="1"/>
  <c r="F24" i="4"/>
  <c r="G24" i="4" s="1"/>
  <c r="F25" i="4"/>
  <c r="G25" i="4" s="1"/>
  <c r="F26" i="4"/>
  <c r="G26" i="4" s="1"/>
  <c r="F27" i="4"/>
  <c r="G27" i="4" s="1"/>
  <c r="I15" i="7" s="1"/>
  <c r="F28" i="4"/>
  <c r="G28" i="4" s="1"/>
  <c r="F29" i="4"/>
  <c r="G29" i="4" s="1"/>
  <c r="F30" i="4"/>
  <c r="G30" i="4" s="1"/>
  <c r="F31" i="4"/>
  <c r="G31" i="4" s="1"/>
  <c r="H6" i="7" l="1"/>
  <c r="F5" i="5"/>
  <c r="H17" i="7"/>
  <c r="H9" i="7"/>
  <c r="J9" i="7" s="1"/>
  <c r="H12" i="7"/>
  <c r="H13" i="7"/>
  <c r="I12" i="7"/>
  <c r="I13" i="7"/>
  <c r="I14" i="7"/>
  <c r="I17" i="7"/>
  <c r="G6" i="4"/>
  <c r="J15" i="7"/>
  <c r="I8" i="7"/>
  <c r="AM16" i="9" s="1"/>
  <c r="J16" i="7"/>
  <c r="H11" i="7"/>
  <c r="I6" i="7"/>
  <c r="J10" i="7"/>
  <c r="J7" i="7"/>
  <c r="F14" i="6"/>
  <c r="H8" i="7"/>
  <c r="I11" i="7"/>
  <c r="H14" i="7"/>
  <c r="F12" i="6"/>
  <c r="J12" i="7" l="1"/>
  <c r="J17" i="7"/>
  <c r="J13" i="7"/>
  <c r="J14" i="7"/>
  <c r="J11" i="7"/>
  <c r="N16" i="9"/>
  <c r="AM13" i="9"/>
  <c r="J8" i="7"/>
  <c r="AM19" i="9" s="1"/>
  <c r="AM22" i="9" s="1"/>
  <c r="J6" i="7"/>
  <c r="N13" i="9"/>
  <c r="N9" i="7" l="1"/>
  <c r="P9" i="7" s="1"/>
  <c r="N19" i="9"/>
  <c r="N2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<sst xmlns="http://schemas.openxmlformats.org/spreadsheetml/2006/main" count="313" uniqueCount="89">
  <si>
    <t>Mercado Express</t>
  </si>
  <si>
    <t>Frigorífico Z</t>
  </si>
  <si>
    <t>Producto</t>
  </si>
  <si>
    <t>Proveedor</t>
  </si>
  <si>
    <t>Aperitivos La Grande</t>
  </si>
  <si>
    <t>Café</t>
  </si>
  <si>
    <t>Kg</t>
  </si>
  <si>
    <t>Té</t>
  </si>
  <si>
    <t>Croissant</t>
  </si>
  <si>
    <t>Unidad</t>
  </si>
  <si>
    <t>Chocolate</t>
  </si>
  <si>
    <t>Pastel</t>
  </si>
  <si>
    <t>Mini Pizza</t>
  </si>
  <si>
    <t>Quiche</t>
  </si>
  <si>
    <t>Wrap</t>
  </si>
  <si>
    <t>Omelettes</t>
  </si>
  <si>
    <t>Cupcake</t>
  </si>
  <si>
    <t>Quesadilla</t>
  </si>
  <si>
    <t>Cappuccino</t>
  </si>
  <si>
    <t>Tostadas</t>
  </si>
  <si>
    <t>Churros</t>
  </si>
  <si>
    <t>Caja</t>
  </si>
  <si>
    <t>Arepas</t>
  </si>
  <si>
    <t>Nuggets</t>
  </si>
  <si>
    <t>Empanada</t>
  </si>
  <si>
    <t>Alfajor</t>
  </si>
  <si>
    <t>Zumo de Naranja</t>
  </si>
  <si>
    <t>Gaseosa</t>
  </si>
  <si>
    <t>Agua</t>
  </si>
  <si>
    <t>Ensalada</t>
  </si>
  <si>
    <t>Embalaje</t>
  </si>
  <si>
    <t>Hamburguesa</t>
  </si>
  <si>
    <t>Sándwiche de pollo</t>
  </si>
  <si>
    <t>Registro de Productos</t>
  </si>
  <si>
    <t>Unidad de Medida</t>
  </si>
  <si>
    <t>Stock Mínimo</t>
  </si>
  <si>
    <t>Costo Unitario</t>
  </si>
  <si>
    <t>Precio Unitario</t>
  </si>
  <si>
    <t>Palitos de Queso</t>
  </si>
  <si>
    <t>Tarta</t>
  </si>
  <si>
    <t>Enrollado</t>
  </si>
  <si>
    <t>Registro de Proveedores</t>
  </si>
  <si>
    <t>Empresa</t>
  </si>
  <si>
    <t>Teléfono</t>
  </si>
  <si>
    <t>Responsable</t>
  </si>
  <si>
    <t>E-mail</t>
  </si>
  <si>
    <t>(11) 1122-4422</t>
  </si>
  <si>
    <t>Maria</t>
  </si>
  <si>
    <t>maria@mercadoexpress.com</t>
  </si>
  <si>
    <t>(11) 1001-2022</t>
  </si>
  <si>
    <t>Carlos</t>
  </si>
  <si>
    <t>carlos@frigoríficoz.com</t>
  </si>
  <si>
    <t>Distribuídora KS</t>
  </si>
  <si>
    <t>(11) 1300-4033</t>
  </si>
  <si>
    <t>Eduardo</t>
  </si>
  <si>
    <t>eduardo@distribuídoraks.com</t>
  </si>
  <si>
    <t xml:space="preserve"> </t>
  </si>
  <si>
    <t>(11) 1400-3022</t>
  </si>
  <si>
    <t>Claudia</t>
  </si>
  <si>
    <t>claudia@aperitivoslagrande.com</t>
  </si>
  <si>
    <t>Registro de Entradas</t>
  </si>
  <si>
    <t>Fecha</t>
  </si>
  <si>
    <t>Cantidad Comprada</t>
  </si>
  <si>
    <t>Registro de Salidas</t>
  </si>
  <si>
    <t>Cantidad Vendida</t>
  </si>
  <si>
    <t>Valor de Venta</t>
  </si>
  <si>
    <t>Alfajor Chocolate</t>
  </si>
  <si>
    <t>Valor de Compra</t>
  </si>
  <si>
    <t>Cantidad en Stock</t>
  </si>
  <si>
    <t/>
  </si>
  <si>
    <t>&lt;10/05/2022</t>
  </si>
  <si>
    <t>Consulta de Stock</t>
  </si>
  <si>
    <t>Control de Stock</t>
  </si>
  <si>
    <t>Entradas</t>
  </si>
  <si>
    <t>Salidas</t>
  </si>
  <si>
    <t>Status de Stock</t>
  </si>
  <si>
    <t>Costo Total</t>
  </si>
  <si>
    <t>Ganancias</t>
  </si>
  <si>
    <t>Producto más rentable</t>
  </si>
  <si>
    <t>Cuadro resumen</t>
  </si>
  <si>
    <t>Datos 2022</t>
  </si>
  <si>
    <t>Consulta por Producto</t>
  </si>
  <si>
    <t xml:space="preserve">Productos Vendidos: </t>
  </si>
  <si>
    <t>Datos:</t>
  </si>
  <si>
    <t>Cantidad en Stock:</t>
  </si>
  <si>
    <t>Facturación:</t>
  </si>
  <si>
    <t>Gastos:</t>
  </si>
  <si>
    <t>Ganancias:</t>
  </si>
  <si>
    <t xml:space="preserve">% Ganancias: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</si>
</sst>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$&quot;\ * #,##0.00_-;\-&quot;$&quot;\ * #,##0.00_-;_-&quot;$&quot;\ 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_-[$$-409]* #,##0.00_ ;_-[$$-409]* \-#,##0.00\ ;_-[$$-409]* &quot;-&quot;??_ ;_-@_ 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0"/>
      <name val="Barlow ExtraBold"/>
    </font>
    <font>
      <sz val="11"/>
      <name val="Barlow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0"/>
      <name val="Barlow"/>
    </font>
    <font>
      <b/>
      <sz val="11"/>
      <color theme="1"/>
      <name val="Barlow"/>
    </font>
    <font>
      <sz val="11"/>
      <color rgb="FF4472C4"/>
      <name val="Barlow"/>
    </font>
    <font>
      <b/>
      <sz val="12"/>
      <color theme="0"/>
      <name val="Barlow"/>
    </font>
    <font>
      <sz val="11"/>
      <color theme="0"/>
      <name val="Barlow"/>
    </font>
    <font>
      <sz val="11"/>
      <color theme="1"/>
      <name val="Barlow"/>
    </font>
    <font>
      <sz val="11"/>
      <color rgb="FF444444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Barlow"/>
    </font>
    <font>
      <b/>
      <sz val="18"/>
      <color theme="0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b/>
      <sz val="18"/>
      <color rgb="FF093364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61C3B"/>
        <bgColor indexed="64"/>
      </patternFill>
    </fill>
    <fill>
      <patternFill patternType="solid">
        <fgColor rgb="FF041833"/>
        <bgColor indexed="64"/>
      </patternFill>
    </fill>
    <fill>
      <patternFill patternType="solid">
        <fgColor rgb="FF072349"/>
        <bgColor indexed="64"/>
      </patternFill>
    </fill>
    <fill>
      <patternFill patternType="solid">
        <fgColor rgb="FF041833"/>
        <bgColor rgb="FF041833"/>
      </patternFill>
    </fill>
    <fill>
      <patternFill patternType="solid">
        <fgColor rgb="FF092E5F"/>
        <bgColor theme="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092E5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09">
    <xf numFmtId="0" fontId="0" fillId="0" borderId="0" xfId="0"/>
    <xf numFmtId="16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0" fillId="3" borderId="0" xfId="0" applyFill="1"/>
    <xf numFmtId="0" fontId="5" fillId="3" borderId="0" xfId="0" applyFont="1" applyFill="1" applyAlignment="1">
      <alignment vertical="center"/>
    </xf>
    <xf numFmtId="164" fontId="0" fillId="3" borderId="0" xfId="1" applyFont="1" applyFill="1" applyAlignment="1"/>
    <xf numFmtId="0" fontId="0" fillId="4" borderId="0" xfId="0" applyFill="1"/>
    <xf numFmtId="164" fontId="0" fillId="4" borderId="0" xfId="1" applyFont="1" applyFill="1"/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/>
    <xf numFmtId="165" fontId="7" fillId="0" borderId="4" xfId="1" applyNumberFormat="1" applyFont="1" applyFill="1" applyBorder="1"/>
    <xf numFmtId="0" fontId="7" fillId="0" borderId="5" xfId="0" applyFont="1" applyBorder="1"/>
    <xf numFmtId="165" fontId="7" fillId="0" borderId="6" xfId="1" applyNumberFormat="1" applyFont="1" applyFill="1" applyBorder="1"/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166" fontId="9" fillId="0" borderId="4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 vertical="center"/>
    </xf>
    <xf numFmtId="166" fontId="9" fillId="0" borderId="6" xfId="0" applyNumberFormat="1" applyFont="1" applyBorder="1" applyAlignment="1">
      <alignment horizontal="center" vertical="center"/>
    </xf>
    <xf numFmtId="14" fontId="8" fillId="2" borderId="0" xfId="0" applyNumberFormat="1" applyFont="1" applyFill="1" applyAlignment="1">
      <alignment horizont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166" fontId="9" fillId="0" borderId="7" xfId="1" applyNumberFormat="1" applyFont="1" applyFill="1" applyBorder="1" applyAlignment="1">
      <alignment horizontal="center" vertical="center"/>
    </xf>
    <xf numFmtId="166" fontId="9" fillId="0" borderId="9" xfId="1" applyNumberFormat="1" applyFont="1" applyFill="1" applyBorder="1" applyAlignment="1">
      <alignment horizontal="center" vertical="center"/>
    </xf>
    <xf numFmtId="14" fontId="2" fillId="5" borderId="0" xfId="0" applyNumberFormat="1" applyFont="1" applyFill="1" applyAlignment="1">
      <alignment horizontal="center"/>
    </xf>
    <xf numFmtId="0" fontId="7" fillId="0" borderId="8" xfId="0" applyFont="1" applyBorder="1"/>
    <xf numFmtId="0" fontId="7" fillId="0" borderId="7" xfId="0" applyFont="1" applyBorder="1" applyAlignment="1">
      <alignment horizontal="center"/>
    </xf>
    <xf numFmtId="0" fontId="7" fillId="0" borderId="9" xfId="0" applyFont="1" applyBorder="1"/>
    <xf numFmtId="14" fontId="2" fillId="4" borderId="10" xfId="0" applyNumberFormat="1" applyFont="1" applyFill="1" applyBorder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44" fontId="10" fillId="0" borderId="0" xfId="0" applyNumberFormat="1" applyFont="1"/>
    <xf numFmtId="14" fontId="2" fillId="4" borderId="0" xfId="0" applyNumberFormat="1" applyFont="1" applyFill="1" applyAlignment="1">
      <alignment horizontal="center" vertical="center" wrapText="1"/>
    </xf>
    <xf numFmtId="14" fontId="2" fillId="4" borderId="1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44" fontId="10" fillId="0" borderId="0" xfId="1" applyNumberFormat="1" applyFont="1"/>
    <xf numFmtId="1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166" fontId="12" fillId="7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right" vertical="center"/>
    </xf>
    <xf numFmtId="1" fontId="12" fillId="7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1" fillId="8" borderId="0" xfId="0" applyFont="1" applyFill="1" applyAlignment="1">
      <alignment horizontal="center"/>
    </xf>
    <xf numFmtId="1" fontId="13" fillId="8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2" fillId="7" borderId="0" xfId="0" quotePrefix="1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15" fillId="8" borderId="0" xfId="0" applyFont="1" applyFill="1"/>
    <xf numFmtId="0" fontId="2" fillId="0" borderId="0" xfId="0" applyFont="1" applyAlignment="1">
      <alignment horizontal="center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66" fontId="16" fillId="0" borderId="0" xfId="0" applyNumberFormat="1" applyFont="1" applyAlignment="1">
      <alignment horizontal="right" vertical="center"/>
    </xf>
    <xf numFmtId="166" fontId="16" fillId="0" borderId="0" xfId="0" applyNumberFormat="1" applyFont="1" applyAlignment="1">
      <alignment vertical="center"/>
    </xf>
    <xf numFmtId="0" fontId="11" fillId="8" borderId="0" xfId="0" applyFont="1" applyFill="1" applyAlignment="1">
      <alignment horizontal="center" vertical="center"/>
    </xf>
    <xf numFmtId="0" fontId="0" fillId="8" borderId="0" xfId="0" applyFill="1"/>
    <xf numFmtId="0" fontId="15" fillId="8" borderId="16" xfId="0" applyFont="1" applyFill="1" applyBorder="1"/>
    <xf numFmtId="0" fontId="22" fillId="8" borderId="0" xfId="0" applyFont="1" applyFill="1" applyAlignment="1">
      <alignment vertical="top"/>
    </xf>
    <xf numFmtId="0" fontId="22" fillId="8" borderId="17" xfId="0" applyFont="1" applyFill="1" applyBorder="1" applyAlignment="1">
      <alignment vertical="top"/>
    </xf>
    <xf numFmtId="0" fontId="23" fillId="8" borderId="0" xfId="0" applyFont="1" applyFill="1" applyAlignment="1">
      <alignment vertical="top"/>
    </xf>
    <xf numFmtId="0" fontId="23" fillId="8" borderId="17" xfId="0" applyFont="1" applyFill="1" applyBorder="1" applyAlignment="1">
      <alignment vertical="top"/>
    </xf>
    <xf numFmtId="0" fontId="0" fillId="8" borderId="17" xfId="0" applyFill="1" applyBorder="1"/>
    <xf numFmtId="0" fontId="19" fillId="8" borderId="0" xfId="0" applyFont="1" applyFill="1"/>
    <xf numFmtId="0" fontId="24" fillId="8" borderId="0" xfId="0" applyFont="1" applyFill="1"/>
    <xf numFmtId="0" fontId="20" fillId="8" borderId="0" xfId="0" applyFont="1" applyFill="1"/>
    <xf numFmtId="0" fontId="15" fillId="8" borderId="18" xfId="0" applyFont="1" applyFill="1" applyBorder="1"/>
    <xf numFmtId="0" fontId="19" fillId="8" borderId="19" xfId="0" applyFont="1" applyFill="1" applyBorder="1"/>
    <xf numFmtId="0" fontId="0" fillId="8" borderId="19" xfId="0" applyFill="1" applyBorder="1"/>
    <xf numFmtId="0" fontId="0" fillId="8" borderId="20" xfId="0" applyFill="1" applyBorder="1"/>
    <xf numFmtId="0" fontId="25" fillId="10" borderId="0" xfId="0" applyFont="1" applyFill="1" applyAlignment="1">
      <alignment vertical="top"/>
    </xf>
    <xf numFmtId="0" fontId="14" fillId="8" borderId="0" xfId="0" applyFont="1" applyFill="1" applyAlignment="1">
      <alignment horizontal="center"/>
    </xf>
    <xf numFmtId="166" fontId="18" fillId="9" borderId="7" xfId="0" applyNumberFormat="1" applyFont="1" applyFill="1" applyBorder="1" applyAlignment="1">
      <alignment horizontal="center" vertical="center"/>
    </xf>
    <xf numFmtId="166" fontId="18" fillId="9" borderId="12" xfId="0" applyNumberFormat="1" applyFont="1" applyFill="1" applyBorder="1" applyAlignment="1">
      <alignment horizontal="center" vertical="center"/>
    </xf>
    <xf numFmtId="0" fontId="18" fillId="9" borderId="7" xfId="0" applyFont="1" applyFill="1" applyBorder="1" applyAlignment="1">
      <alignment horizontal="center" vertical="center"/>
    </xf>
    <xf numFmtId="0" fontId="18" fillId="9" borderId="1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1" fillId="8" borderId="13" xfId="0" applyFont="1" applyFill="1" applyBorder="1" applyAlignment="1">
      <alignment horizontal="center" vertical="center"/>
    </xf>
    <xf numFmtId="0" fontId="21" fillId="8" borderId="14" xfId="0" applyFont="1" applyFill="1" applyBorder="1" applyAlignment="1">
      <alignment horizontal="center" vertical="center"/>
    </xf>
    <xf numFmtId="0" fontId="21" fillId="8" borderId="15" xfId="0" applyFont="1" applyFill="1" applyBorder="1" applyAlignment="1">
      <alignment horizontal="center" vertical="center"/>
    </xf>
    <xf numFmtId="0" fontId="21" fillId="8" borderId="16" xfId="0" applyFont="1" applyFill="1" applyBorder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0" fontId="21" fillId="8" borderId="17" xfId="0" applyFont="1" applyFill="1" applyBorder="1" applyAlignment="1">
      <alignment horizontal="center" vertical="center"/>
    </xf>
    <xf numFmtId="0" fontId="14" fillId="8" borderId="0" xfId="0" applyFont="1" applyFill="1" applyAlignment="1">
      <alignment horizontal="right" vertical="center"/>
    </xf>
    <xf numFmtId="0" fontId="20" fillId="9" borderId="0" xfId="0" applyFont="1" applyFill="1" applyAlignment="1">
      <alignment horizontal="center" vertical="center"/>
    </xf>
    <xf numFmtId="166" fontId="20" fillId="9" borderId="0" xfId="0" applyNumberFormat="1" applyFont="1" applyFill="1" applyAlignment="1">
      <alignment horizontal="center" vertical="center"/>
    </xf>
    <xf numFmtId="10" fontId="20" fillId="9" borderId="0" xfId="3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0" fillId="9" borderId="0" xfId="0" applyFont="1" applyFill="1" applyAlignment="1">
      <alignment horizontal="center" vertical="center"/>
    </xf>
    <xf numFmtId="14" fontId="0" fillId="0" borderId="0" xfId="0" applyNumberFormat="1" applyFill="1"/>
  </cellXfs>
  <cellStyles count="4">
    <cellStyle name="Hyperlink" xfId="2" xr:uid="{00000000-000B-0000-0000-000008000000}"/>
    <cellStyle name="Moeda" xfId="1" builtinId="4"/>
    <cellStyle name="Normal" xfId="0" builtinId="0"/>
    <cellStyle name="Porcentagem" xfId="3" builtinId="5"/>
  </cellStyles>
  <dxfs count="69"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rgb="FF041833"/>
          <bgColor rgb="FF04183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[$R$-416]\ * #,##0.00_-;\-[$R$-416]\ * #,##0.00_-;_-[$R$-416]\ * &quot;-&quot;??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rgb="FF041833"/>
          <bgColor rgb="FF04183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9" formatCode="dd/mm/yyyy"/>
      <fill>
        <patternFill patternType="solid">
          <fgColor indexed="64"/>
          <bgColor rgb="FF061C3B"/>
        </patternFill>
      </fill>
      <alignment horizontal="center" vertical="bottom" textRotation="0" wrapText="0" indent="0" justifyLastLine="0" shrinkToFit="0" readingOrder="0"/>
    </dxf>
    <dxf>
      <font>
        <color theme="0"/>
      </font>
    </dxf>
    <dxf>
      <font>
        <b val="0"/>
        <i val="0"/>
        <color auto="1"/>
      </font>
      <fill>
        <patternFill patternType="solid">
          <fgColor theme="2"/>
          <bgColor theme="2"/>
        </patternFill>
      </fill>
      <border>
        <top style="thick">
          <color auto="1"/>
        </top>
        <bottom style="thick">
          <color auto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i val="0"/>
        <color theme="0"/>
      </font>
      <fill>
        <patternFill patternType="solid">
          <fgColor rgb="FF041833"/>
          <bgColor rgb="FF041833"/>
        </patternFill>
      </fill>
      <border>
        <bottom style="medium">
          <color theme="1"/>
        </bottom>
      </border>
    </dxf>
    <dxf>
      <font>
        <b val="0"/>
        <i val="0"/>
        <color auto="1"/>
      </font>
      <border>
        <top style="medium">
          <color theme="1"/>
        </top>
        <bottom style="medium">
          <color theme="1"/>
        </bottom>
      </border>
    </dxf>
    <dxf>
      <font>
        <color theme="0"/>
      </font>
    </dxf>
    <dxf>
      <fill>
        <patternFill>
          <fgColor theme="0"/>
          <bgColor rgb="FFFFFFFF"/>
        </patternFill>
      </fill>
    </dxf>
    <dxf>
      <fill>
        <patternFill>
          <fgColor theme="2"/>
          <bgColor theme="2"/>
        </patternFill>
      </fill>
    </dxf>
    <dxf>
      <font>
        <b/>
        <i val="0"/>
        <color theme="0"/>
      </font>
      <fill>
        <patternFill>
          <fgColor rgb="FF041833"/>
          <bgColor rgb="FF041833"/>
        </patternFill>
      </fill>
    </dxf>
    <dxf>
      <font>
        <color auto="1"/>
      </font>
      <border>
        <top style="thick">
          <color auto="1"/>
        </top>
        <bottom style="thick">
          <color auto="1"/>
        </bottom>
      </border>
    </dxf>
  </dxfs>
  <tableStyles count="2" defaultTableStyle="Serenatto Café e Bistrô" defaultPivotStyle="PivotStyleLight16">
    <tableStyle name="Serenatto" pivot="0" count="5" xr9:uid="{E8ABCD3D-CC1D-4995-B9AB-9AF6E5F5CB11}">
      <tableStyleElement type="wholeTable" dxfId="68"/>
      <tableStyleElement type="headerRow" dxfId="67"/>
      <tableStyleElement type="firstRowStripe" dxfId="66"/>
      <tableStyleElement type="firstColumnStripe" dxfId="65"/>
      <tableStyleElement type="firstHeaderCell" dxfId="64"/>
    </tableStyle>
    <tableStyle name="Serenatto Café e Bistrô" pivot="0" count="8" xr9:uid="{8893930E-E468-4850-879C-C0078EFF5D52}">
      <tableStyleElement type="wholeTable" dxfId="63"/>
      <tableStyleElement type="headerRow" dxfId="62"/>
      <tableStyleElement type="totalRow" dxfId="61"/>
      <tableStyleElement type="firstColumn" dxfId="60"/>
      <tableStyleElement type="lastColumn" dxfId="59"/>
      <tableStyleElement type="firstRowStripe" dxfId="58"/>
      <tableStyleElement type="firstColumnStripe" dxfId="57"/>
      <tableStyleElement type="firstHeaderCell" dxfId="56"/>
    </tableStyle>
  </tableStyles>
  <colors>
    <mruColors>
      <color rgb="FF041833"/>
      <color rgb="FF072349"/>
      <color rgb="FF061D3C"/>
      <color rgb="FF061C3B"/>
      <color rgb="FF051934"/>
      <color rgb="FF082950"/>
      <color rgb="FF0A305E"/>
      <color rgb="FF0B3362"/>
      <color rgb="FF13447E"/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577983</xdr:colOff>
      <xdr:row>0</xdr:row>
      <xdr:rowOff>667617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1160167-5E1F-4F35-97E3-6DFB8E390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841145</xdr:colOff>
      <xdr:row>0</xdr:row>
      <xdr:rowOff>663807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DD3C774-640D-4DAB-8B88-5E0150A7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1121180</xdr:colOff>
      <xdr:row>0</xdr:row>
      <xdr:rowOff>667617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E36A860-7A60-44EE-9F4C-EF6E7D6BA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1159280</xdr:colOff>
      <xdr:row>0</xdr:row>
      <xdr:rowOff>667617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D47C60B-5677-4095-BD59-FDBAD1F48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2077</xdr:colOff>
      <xdr:row>0</xdr:row>
      <xdr:rowOff>96982</xdr:rowOff>
    </xdr:from>
    <xdr:ext cx="2153518" cy="566825"/>
    <xdr:pic>
      <xdr:nvPicPr>
        <xdr:cNvPr id="2" name="Imagem 2">
          <a:extLst>
            <a:ext uri="{FF2B5EF4-FFF2-40B4-BE49-F238E27FC236}">
              <a16:creationId xmlns:a16="http://schemas.microsoft.com/office/drawing/2014/main" id="{B1F4D7A2-6F09-456C-947D-5D56497CA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677" y="96982"/>
          <a:ext cx="2153518" cy="56682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2077</xdr:colOff>
      <xdr:row>0</xdr:row>
      <xdr:rowOff>96982</xdr:rowOff>
    </xdr:from>
    <xdr:to>
      <xdr:col>3</xdr:col>
      <xdr:colOff>18185</xdr:colOff>
      <xdr:row>0</xdr:row>
      <xdr:rowOff>667617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57AD903-D80E-421C-B1C3-0A3F6167B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252" y="96982"/>
          <a:ext cx="2149708" cy="57063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0</xdr:row>
      <xdr:rowOff>60960</xdr:rowOff>
    </xdr:from>
    <xdr:to>
      <xdr:col>11</xdr:col>
      <xdr:colOff>192926</xdr:colOff>
      <xdr:row>0</xdr:row>
      <xdr:rowOff>625880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677928F9-4330-4D5C-842E-FB13FD521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" y="60960"/>
          <a:ext cx="2134121" cy="5649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F6394-EF65-45E1-9758-FD9D66AC3231}" name="TB_Producto" displayName="TB_Producto" ref="B4:F32" headerRowDxfId="55" tableBorderDxfId="54">
  <autoFilter ref="B4:F32" xr:uid="{F0AF6394-EF65-45E1-9758-FD9D66AC3231}"/>
  <tableColumns count="5">
    <tableColumn id="1" xr3:uid="{6073F92B-A668-43CA-ACC7-070F6E4D94A5}" name="Producto" totalsRowLabel="Total" dataDxfId="53" totalsRowDxfId="52"/>
    <tableColumn id="2" xr3:uid="{0BE8200A-8342-4F01-899C-AAF566F194C5}" name="Unidad de Medida" totalsRowFunction="count" dataDxfId="51" totalsRowDxfId="50"/>
    <tableColumn id="3" xr3:uid="{740F0444-A968-43F4-92B2-4E79007E1985}" name="Stock Mínimo" totalsRowFunction="sum" dataDxfId="49" totalsRowDxfId="48"/>
    <tableColumn id="4" xr3:uid="{9AA501E3-3C18-41ED-AE83-A9E3EF1EE871}" name="Costo Unitario" totalsRowFunction="sum" dataDxfId="47" totalsRowDxfId="46"/>
    <tableColumn id="5" xr3:uid="{0C8A8622-7DA0-492F-AB4F-AEC070DDC00F}" name="Precio Unitario" totalsRowFunction="sum" dataDxfId="45" totalsRowDxfId="44"/>
  </tableColumns>
  <tableStyleInfo name="Serenatto Café e Bistrô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00647B-4E8D-4A36-85A4-0A8755F2B8A4}" name="TB_Proveedor" displayName="TB_Proveedor" ref="B5:E9" totalsRowShown="0" headerRowDxfId="43" tableBorderDxfId="42">
  <autoFilter ref="B5:E9" xr:uid="{CD00647B-4E8D-4A36-85A4-0A8755F2B8A4}"/>
  <tableColumns count="4">
    <tableColumn id="1" xr3:uid="{63B42362-8DB3-4714-BBC4-BBE73EAFEF47}" name="Empresa" dataDxfId="41"/>
    <tableColumn id="2" xr3:uid="{87ACEE19-99E4-4548-BF5A-98FFF08E81F2}" name="Teléfono" dataDxfId="40"/>
    <tableColumn id="3" xr3:uid="{FB62AD26-160C-4198-AA1D-C631BC434381}" name="Responsable" dataDxfId="39"/>
    <tableColumn id="4" xr3:uid="{0F91F07D-F0A7-4037-BC97-2040641DBE35}" name="E-mail" dataDxfId="38"/>
  </tableColumns>
  <tableStyleInfo name="Serenatto Café e Bistrô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84F5BB-DA35-4A31-99F4-C2322915B9C4}" name="TB_Entradas" displayName="TB_Entradas" ref="B5:G59" headerRowDxfId="37" tableBorderDxfId="36">
  <autoFilter ref="B5:G59" xr:uid="{BF84F5BB-DA35-4A31-99F4-C2322915B9C4}"/>
  <tableColumns count="6">
    <tableColumn id="1" xr3:uid="{EC79F83A-7EF9-42F5-AAE8-1FD41239C9A4}" name="Fecha" totalsRowLabel="Total" dataDxfId="35" totalsRowDxfId="7"/>
    <tableColumn id="2" xr3:uid="{AED7AD57-B669-41CA-9892-80914837C295}" name="Producto" totalsRowFunction="count" dataDxfId="34" totalsRowDxfId="8"/>
    <tableColumn id="3" xr3:uid="{5A77D640-5829-4F36-BFCC-81A04393316F}" name="Proveedor" totalsRowFunction="count" dataDxfId="33" totalsRowDxfId="9"/>
    <tableColumn id="4" xr3:uid="{A720A641-1DB7-4DED-86E5-7FA5D65D4505}" name="Cantidad Comprada" totalsRowFunction="sum" dataDxfId="32" totalsRowDxfId="10"/>
    <tableColumn id="5" xr3:uid="{C5ECE10D-4F4D-4DCE-AEB9-D9ED55084ED5}" name="Costo Unitario" totalsRowFunction="sum" dataDxfId="31" totalsRowDxfId="11">
      <calculatedColumnFormula>_xlfn.XLOOKUP(TB_Entradas[[#This Row],[Producto]],TB_Producto[Producto],TB_Producto[Costo Unitario],"Producto Incorrecto")</calculatedColumnFormula>
    </tableColumn>
    <tableColumn id="6" xr3:uid="{8AE61831-2119-4B18-BEA6-8D31FC81A16F}" name="Valor de Compra" totalsRowFunction="sum" dataDxfId="30" totalsRowDxfId="12">
      <calculatedColumnFormula>IFERROR(TB_Entradas[[#This Row],[Cantidad Comprada]]*TB_Entradas[[#This Row],[Costo Unitario]],"Producto Incorrecto")</calculatedColumnFormula>
    </tableColumn>
  </tableColumns>
  <tableStyleInfo name="Serenatto Café e Bistrô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A9F28D-17B5-4E77-B23B-462E3325059C}" name="TB_Salidas" displayName="TB_Salidas" ref="B4:F61" tableBorderDxfId="29">
  <autoFilter ref="B4:F61" xr:uid="{76A9F28D-17B5-4E77-B23B-462E3325059C}"/>
  <tableColumns count="5">
    <tableColumn id="1" xr3:uid="{41575399-A8EF-40F1-BD88-61B9CAA00E9C}" name="Fecha" totalsRowLabel="Total" dataDxfId="17" totalsRowDxfId="2"/>
    <tableColumn id="2" xr3:uid="{52C1A91D-EC67-4D5C-815B-A71D2A3A8E6F}" name="Producto" dataDxfId="16" totalsRowDxfId="3"/>
    <tableColumn id="3" xr3:uid="{07A43350-026D-4360-B1FC-A9DC8966664A}" name="Cantidad Vendida" totalsRowFunction="count" dataDxfId="15" totalsRowDxfId="4"/>
    <tableColumn id="4" xr3:uid="{1C5FBD4D-DA7F-4178-986E-268D78D80121}" name="Precio Unitario" totalsRowFunction="sum" dataDxfId="14" totalsRowDxfId="5">
      <calculatedColumnFormula>_xlfn.XLOOKUP(TB_Salidas[[#This Row],[Producto]],TB_Producto[Producto],TB_Producto[Precio Unitario],"Producto Incorrecto")</calculatedColumnFormula>
    </tableColumn>
    <tableColumn id="5" xr3:uid="{DC226063-043D-47D6-A2E4-247310EB7F17}" name="Valor de Venta" totalsRowFunction="sum" dataDxfId="13" totalsRowDxfId="6">
      <calculatedColumnFormula>TB_Salidas[[#This Row],[Cantidad Vendida]]*TB_Salidas[[#This Row],[Precio Unitario]]</calculatedColumnFormula>
    </tableColumn>
  </tableColumns>
  <tableStyleInfo name="Serenatto Café e Bistrô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D4D2D3-5023-4F83-8F75-FB645D56E0A6}" name="TB_ControlStock" displayName="TB_ControlStock" ref="B5:J17" totalsRowShown="0" headerRowDxfId="28" dataDxfId="27">
  <autoFilter ref="B5:J17" xr:uid="{347EF29C-00D0-4030-B676-536CD20FE6BA}"/>
  <tableColumns count="9">
    <tableColumn id="1" xr3:uid="{1D8562F4-40E3-4A78-AAD9-E8203B460A5E}" name="Producto" dataDxfId="26"/>
    <tableColumn id="2" xr3:uid="{DD3DE186-85AA-45F0-80B7-2E03D9D22C46}" name="Entradas" dataDxfId="25">
      <calculatedColumnFormula>SUMIF(TB_Entradas[Producto],TB_ControlStock[[#This Row],[Producto]],TB_Entradas[Cantidad Comprada])</calculatedColumnFormula>
    </tableColumn>
    <tableColumn id="3" xr3:uid="{1D267570-2FAE-499A-955C-05BD9C94E4C3}" name="Salidas" dataDxfId="24">
      <calculatedColumnFormula>SUMIF(TB_Salidas[Producto],TB_ControlStock[[#This Row],[Producto]],TB_Salidas[Cantidad Vendida])</calculatedColumnFormula>
    </tableColumn>
    <tableColumn id="4" xr3:uid="{1F0392C7-B2DF-4E1D-A4AE-F7E279865371}" name="Cantidad en Stock" dataDxfId="23">
      <calculatedColumnFormula>TB_ControlStock[[#This Row],[Entradas]]-TB_ControlStock[[#This Row],[Salidas]]</calculatedColumnFormula>
    </tableColumn>
    <tableColumn id="5" xr3:uid="{BFDF0550-4859-44A7-AF6A-35DB54694A3A}" name="Stock Mínimo" dataDxfId="22">
      <calculatedColumnFormula>_xlfn.XLOOKUP(TB_ControlStock[[#This Row],[Producto]],TB_Producto[Producto],TB_Producto[Stock Mínimo],"No Encontrado")</calculatedColumnFormula>
    </tableColumn>
    <tableColumn id="6" xr3:uid="{715D1656-4233-4649-9966-DA50FA168D40}" name="Status de Stock" dataDxfId="21">
      <calculatedColumnFormula array="1">_xlfn.IFS(TB_ControlStock[[#This Row],[Cantidad en Stock]]&gt;TB_ControlStock[[#This Row],[Stock Mínimo]],"Stock OK",TB_ControlStock[[#This Row],[Cantidad en Stock]]=0,"Stock Agotado",TRUE,"Stock Bajo")</calculatedColumnFormula>
    </tableColumn>
    <tableColumn id="7" xr3:uid="{AED856F1-21FB-4991-8DD3-D2D20757D1E0}" name="Valor de Venta" dataDxfId="20">
      <calculatedColumnFormula>SUMIFS(TB_Salidas[Valor de Venta],TB_Salidas[Producto],TB_ControlStock[[#This Row],[Producto]])</calculatedColumnFormula>
    </tableColumn>
    <tableColumn id="8" xr3:uid="{878575E6-DF13-46A9-BBC9-B0ED8177B234}" name="Costo Total" dataDxfId="19">
      <calculatedColumnFormula>SUMIFS(TB_Entradas[Valor de Compra],TB_Entradas[Producto],TB_ControlStock[[#This Row],[Producto]])</calculatedColumnFormula>
    </tableColumn>
    <tableColumn id="9" xr3:uid="{CEEE58FF-C558-4EA8-853E-D483134C7E51}" name="Ganancias" dataDxfId="18">
      <calculatedColumnFormula>TB_ControlStock[[#This Row],[Valor de Venta]]-TB_ControlStock[[#This Row],[Costo Total]]</calculatedColumnFormula>
    </tableColumn>
  </tableColumns>
  <tableStyleInfo name="Serenatto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G32"/>
  <sheetViews>
    <sheetView showGridLines="0" zoomScale="140" zoomScaleNormal="140" workbookViewId="0">
      <selection activeCell="D26" sqref="D26"/>
    </sheetView>
  </sheetViews>
  <sheetFormatPr defaultColWidth="9.140625" defaultRowHeight="15" x14ac:dyDescent="0.25"/>
  <cols>
    <col min="1" max="1" width="5.28515625" customWidth="1"/>
    <col min="2" max="2" width="23.85546875" customWidth="1"/>
    <col min="3" max="3" width="22.5703125" bestFit="1" customWidth="1"/>
    <col min="4" max="4" width="19.7109375" bestFit="1" customWidth="1"/>
    <col min="5" max="5" width="18.140625" customWidth="1"/>
    <col min="6" max="6" width="18.5703125" style="1" bestFit="1" customWidth="1"/>
  </cols>
  <sheetData>
    <row r="1" spans="2:7" s="5" customFormat="1" ht="60" customHeight="1" x14ac:dyDescent="0.25">
      <c r="E1" s="6" t="s">
        <v>33</v>
      </c>
      <c r="F1" s="7"/>
    </row>
    <row r="2" spans="2:7" s="8" customFormat="1" ht="6" customHeight="1" x14ac:dyDescent="0.25">
      <c r="F2" s="9"/>
    </row>
    <row r="4" spans="2:7" ht="18" customHeight="1" thickBot="1" x14ac:dyDescent="0.3">
      <c r="B4" s="26" t="s">
        <v>2</v>
      </c>
      <c r="C4" s="26" t="s">
        <v>34</v>
      </c>
      <c r="D4" s="26" t="s">
        <v>35</v>
      </c>
      <c r="E4" s="26" t="s">
        <v>36</v>
      </c>
      <c r="F4" s="26" t="s">
        <v>37</v>
      </c>
    </row>
    <row r="5" spans="2:7" ht="18" customHeight="1" x14ac:dyDescent="0.25">
      <c r="B5" s="16" t="s">
        <v>5</v>
      </c>
      <c r="C5" s="17" t="s">
        <v>6</v>
      </c>
      <c r="D5" s="18">
        <v>20</v>
      </c>
      <c r="E5" s="19">
        <v>3</v>
      </c>
      <c r="F5" s="20">
        <v>5</v>
      </c>
      <c r="G5" s="3"/>
    </row>
    <row r="6" spans="2:7" ht="18" customHeight="1" x14ac:dyDescent="0.25">
      <c r="B6" s="21" t="s">
        <v>19</v>
      </c>
      <c r="C6" s="22" t="s">
        <v>6</v>
      </c>
      <c r="D6" s="23">
        <v>20</v>
      </c>
      <c r="E6" s="24">
        <v>1.5</v>
      </c>
      <c r="F6" s="25">
        <v>3</v>
      </c>
    </row>
    <row r="7" spans="2:7" ht="18" customHeight="1" x14ac:dyDescent="0.25">
      <c r="B7" s="21" t="s">
        <v>20</v>
      </c>
      <c r="C7" s="22" t="s">
        <v>21</v>
      </c>
      <c r="D7" s="23">
        <v>10</v>
      </c>
      <c r="E7" s="24">
        <v>1.5</v>
      </c>
      <c r="F7" s="25">
        <v>3.5</v>
      </c>
    </row>
    <row r="8" spans="2:7" ht="18" customHeight="1" x14ac:dyDescent="0.25">
      <c r="B8" s="21" t="s">
        <v>22</v>
      </c>
      <c r="C8" s="22" t="s">
        <v>6</v>
      </c>
      <c r="D8" s="23">
        <v>10</v>
      </c>
      <c r="E8" s="24">
        <v>2</v>
      </c>
      <c r="F8" s="25">
        <v>4.75</v>
      </c>
    </row>
    <row r="9" spans="2:7" ht="18" customHeight="1" x14ac:dyDescent="0.25">
      <c r="B9" s="21" t="s">
        <v>23</v>
      </c>
      <c r="C9" s="22" t="s">
        <v>21</v>
      </c>
      <c r="D9" s="23">
        <v>20</v>
      </c>
      <c r="E9" s="24">
        <v>1.5</v>
      </c>
      <c r="F9" s="25">
        <v>2.25</v>
      </c>
    </row>
    <row r="10" spans="2:7" ht="18" customHeight="1" x14ac:dyDescent="0.25">
      <c r="B10" s="21" t="s">
        <v>24</v>
      </c>
      <c r="C10" s="22" t="s">
        <v>6</v>
      </c>
      <c r="D10" s="23">
        <v>10</v>
      </c>
      <c r="E10" s="24">
        <v>1.5</v>
      </c>
      <c r="F10" s="25">
        <v>2.25</v>
      </c>
    </row>
    <row r="11" spans="2:7" ht="18" customHeight="1" x14ac:dyDescent="0.25">
      <c r="B11" s="21" t="s">
        <v>38</v>
      </c>
      <c r="C11" s="22" t="s">
        <v>6</v>
      </c>
      <c r="D11" s="23">
        <v>10</v>
      </c>
      <c r="E11" s="24">
        <v>2</v>
      </c>
      <c r="F11" s="25">
        <v>4.5</v>
      </c>
    </row>
    <row r="12" spans="2:7" ht="18" customHeight="1" x14ac:dyDescent="0.25">
      <c r="B12" s="21" t="s">
        <v>7</v>
      </c>
      <c r="C12" s="22" t="s">
        <v>6</v>
      </c>
      <c r="D12" s="23">
        <v>10</v>
      </c>
      <c r="E12" s="24">
        <v>4.5</v>
      </c>
      <c r="F12" s="25">
        <v>7</v>
      </c>
    </row>
    <row r="13" spans="2:7" ht="18" customHeight="1" x14ac:dyDescent="0.25">
      <c r="B13" s="21" t="s">
        <v>8</v>
      </c>
      <c r="C13" s="22" t="s">
        <v>9</v>
      </c>
      <c r="D13" s="23">
        <v>25</v>
      </c>
      <c r="E13" s="24">
        <v>1</v>
      </c>
      <c r="F13" s="25">
        <v>2.5</v>
      </c>
    </row>
    <row r="14" spans="2:7" ht="18" customHeight="1" x14ac:dyDescent="0.25">
      <c r="B14" s="21" t="s">
        <v>17</v>
      </c>
      <c r="C14" s="22" t="s">
        <v>9</v>
      </c>
      <c r="D14" s="23">
        <v>25</v>
      </c>
      <c r="E14" s="24">
        <v>1</v>
      </c>
      <c r="F14" s="25">
        <v>2.5</v>
      </c>
    </row>
    <row r="15" spans="2:7" ht="18" customHeight="1" x14ac:dyDescent="0.25">
      <c r="B15" s="21" t="s">
        <v>18</v>
      </c>
      <c r="C15" s="22" t="s">
        <v>6</v>
      </c>
      <c r="D15" s="23">
        <v>10</v>
      </c>
      <c r="E15" s="24">
        <v>4.5</v>
      </c>
      <c r="F15" s="25">
        <v>7</v>
      </c>
    </row>
    <row r="16" spans="2:7" ht="18" customHeight="1" x14ac:dyDescent="0.25">
      <c r="B16" s="21" t="s">
        <v>10</v>
      </c>
      <c r="C16" s="22" t="s">
        <v>6</v>
      </c>
      <c r="D16" s="23">
        <v>10</v>
      </c>
      <c r="E16" s="24">
        <v>3.5</v>
      </c>
      <c r="F16" s="25">
        <v>6.5</v>
      </c>
    </row>
    <row r="17" spans="2:6" ht="18" customHeight="1" x14ac:dyDescent="0.25">
      <c r="B17" s="21" t="s">
        <v>11</v>
      </c>
      <c r="C17" s="22" t="s">
        <v>6</v>
      </c>
      <c r="D17" s="23">
        <v>2</v>
      </c>
      <c r="E17" s="24">
        <v>4.5</v>
      </c>
      <c r="F17" s="25">
        <v>6</v>
      </c>
    </row>
    <row r="18" spans="2:6" ht="18" customHeight="1" x14ac:dyDescent="0.25">
      <c r="B18" s="21" t="s">
        <v>12</v>
      </c>
      <c r="C18" s="22" t="s">
        <v>9</v>
      </c>
      <c r="D18" s="23">
        <v>30</v>
      </c>
      <c r="E18" s="24">
        <v>1.25</v>
      </c>
      <c r="F18" s="25">
        <v>2.75</v>
      </c>
    </row>
    <row r="19" spans="2:6" ht="18" customHeight="1" x14ac:dyDescent="0.25">
      <c r="B19" s="21" t="s">
        <v>39</v>
      </c>
      <c r="C19" s="22" t="s">
        <v>6</v>
      </c>
      <c r="D19" s="23">
        <v>2</v>
      </c>
      <c r="E19" s="24">
        <v>6</v>
      </c>
      <c r="F19" s="25">
        <v>8.5</v>
      </c>
    </row>
    <row r="20" spans="2:6" ht="18" customHeight="1" x14ac:dyDescent="0.25">
      <c r="B20" s="21" t="s">
        <v>32</v>
      </c>
      <c r="C20" s="22" t="s">
        <v>9</v>
      </c>
      <c r="D20" s="23">
        <v>15</v>
      </c>
      <c r="E20" s="24">
        <v>2.25</v>
      </c>
      <c r="F20" s="25">
        <v>3</v>
      </c>
    </row>
    <row r="21" spans="2:6" ht="18" customHeight="1" x14ac:dyDescent="0.25">
      <c r="B21" s="21" t="s">
        <v>26</v>
      </c>
      <c r="C21" s="22" t="s">
        <v>9</v>
      </c>
      <c r="D21" s="23">
        <v>50</v>
      </c>
      <c r="E21" s="24">
        <v>1.5</v>
      </c>
      <c r="F21" s="25">
        <v>3</v>
      </c>
    </row>
    <row r="22" spans="2:6" ht="18" customHeight="1" x14ac:dyDescent="0.25">
      <c r="B22" s="21" t="s">
        <v>31</v>
      </c>
      <c r="C22" s="22" t="s">
        <v>9</v>
      </c>
      <c r="D22" s="23">
        <v>15</v>
      </c>
      <c r="E22" s="24">
        <v>2.5</v>
      </c>
      <c r="F22" s="25">
        <v>5</v>
      </c>
    </row>
    <row r="23" spans="2:6" ht="18" customHeight="1" x14ac:dyDescent="0.25">
      <c r="B23" s="21" t="s">
        <v>25</v>
      </c>
      <c r="C23" s="22" t="s">
        <v>21</v>
      </c>
      <c r="D23" s="23">
        <v>15</v>
      </c>
      <c r="E23" s="24">
        <v>4</v>
      </c>
      <c r="F23" s="25">
        <v>7</v>
      </c>
    </row>
    <row r="24" spans="2:6" ht="18" customHeight="1" x14ac:dyDescent="0.25">
      <c r="B24" s="21" t="s">
        <v>66</v>
      </c>
      <c r="C24" s="22" t="s">
        <v>21</v>
      </c>
      <c r="D24" s="23">
        <v>15</v>
      </c>
      <c r="E24" s="24">
        <v>4</v>
      </c>
      <c r="F24" s="25">
        <v>7</v>
      </c>
    </row>
    <row r="25" spans="2:6" ht="18" customHeight="1" x14ac:dyDescent="0.25">
      <c r="B25" s="21" t="s">
        <v>28</v>
      </c>
      <c r="C25" s="22" t="s">
        <v>9</v>
      </c>
      <c r="D25" s="23">
        <v>50</v>
      </c>
      <c r="E25" s="24">
        <v>0.25</v>
      </c>
      <c r="F25" s="25">
        <v>0.75</v>
      </c>
    </row>
    <row r="26" spans="2:6" ht="18" customHeight="1" x14ac:dyDescent="0.25">
      <c r="B26" s="21" t="s">
        <v>29</v>
      </c>
      <c r="C26" s="22" t="s">
        <v>30</v>
      </c>
      <c r="D26" s="23">
        <v>20</v>
      </c>
      <c r="E26" s="24">
        <v>1.25</v>
      </c>
      <c r="F26" s="25">
        <v>2.25</v>
      </c>
    </row>
    <row r="27" spans="2:6" ht="18" customHeight="1" x14ac:dyDescent="0.25">
      <c r="B27" s="21" t="s">
        <v>13</v>
      </c>
      <c r="C27" s="22" t="s">
        <v>9</v>
      </c>
      <c r="D27" s="23">
        <v>15</v>
      </c>
      <c r="E27" s="24">
        <v>1.85</v>
      </c>
      <c r="F27" s="25">
        <v>3.75</v>
      </c>
    </row>
    <row r="28" spans="2:6" ht="18" customHeight="1" x14ac:dyDescent="0.25">
      <c r="B28" s="21" t="s">
        <v>14</v>
      </c>
      <c r="C28" s="22" t="s">
        <v>9</v>
      </c>
      <c r="D28" s="23">
        <v>15</v>
      </c>
      <c r="E28" s="24">
        <v>2.2999999999999998</v>
      </c>
      <c r="F28" s="25">
        <v>5</v>
      </c>
    </row>
    <row r="29" spans="2:6" ht="18" customHeight="1" x14ac:dyDescent="0.25">
      <c r="B29" s="21" t="s">
        <v>15</v>
      </c>
      <c r="C29" s="22" t="s">
        <v>9</v>
      </c>
      <c r="D29" s="23">
        <v>20</v>
      </c>
      <c r="E29" s="24">
        <v>1.75</v>
      </c>
      <c r="F29" s="25">
        <v>3.5</v>
      </c>
    </row>
    <row r="30" spans="2:6" ht="18" customHeight="1" x14ac:dyDescent="0.25">
      <c r="B30" s="21" t="s">
        <v>16</v>
      </c>
      <c r="C30" s="22" t="s">
        <v>9</v>
      </c>
      <c r="D30" s="23">
        <v>10</v>
      </c>
      <c r="E30" s="24">
        <v>1.5</v>
      </c>
      <c r="F30" s="25">
        <v>3</v>
      </c>
    </row>
    <row r="31" spans="2:6" x14ac:dyDescent="0.25">
      <c r="B31" s="21" t="s">
        <v>27</v>
      </c>
      <c r="C31" s="22" t="s">
        <v>9</v>
      </c>
      <c r="D31" s="23">
        <v>30</v>
      </c>
      <c r="E31" s="24">
        <v>0.5</v>
      </c>
      <c r="F31" s="25">
        <v>1</v>
      </c>
    </row>
    <row r="32" spans="2:6" x14ac:dyDescent="0.25">
      <c r="B32" s="27" t="s">
        <v>40</v>
      </c>
      <c r="C32" s="28" t="s">
        <v>21</v>
      </c>
      <c r="D32" s="28">
        <v>10</v>
      </c>
      <c r="E32" s="29">
        <v>0.1</v>
      </c>
      <c r="F32" s="30">
        <v>0.75</v>
      </c>
    </row>
  </sheetData>
  <dataValidations count="1">
    <dataValidation type="custom" allowBlank="1" showInputMessage="1" showErrorMessage="1" errorTitle="Duplicado" error="No se puede insertar dos valores iguales" sqref="B5:B32" xr:uid="{3C21FE9D-DCDF-4626-B066-16B5392FC434}">
      <formula1>COUNTIF(Lista_Productos,B5)&lt;=1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40" zoomScaleNormal="140" workbookViewId="0">
      <selection activeCell="B10" sqref="B10"/>
    </sheetView>
  </sheetViews>
  <sheetFormatPr defaultColWidth="9.140625" defaultRowHeight="15" x14ac:dyDescent="0.25"/>
  <cols>
    <col min="1" max="1" width="5.28515625" customWidth="1"/>
    <col min="2" max="2" width="19.85546875" customWidth="1"/>
    <col min="3" max="3" width="16.85546875" bestFit="1" customWidth="1"/>
    <col min="4" max="4" width="14.28515625" bestFit="1" customWidth="1"/>
    <col min="5" max="5" width="31.85546875" customWidth="1"/>
  </cols>
  <sheetData>
    <row r="1" spans="2:8" s="5" customFormat="1" ht="60" customHeight="1" x14ac:dyDescent="0.25">
      <c r="E1" s="6" t="s">
        <v>41</v>
      </c>
      <c r="F1" s="7"/>
    </row>
    <row r="2" spans="2:8" s="8" customFormat="1" ht="6" customHeight="1" x14ac:dyDescent="0.25">
      <c r="F2" s="9"/>
    </row>
    <row r="5" spans="2:8" ht="15.75" thickBot="1" x14ac:dyDescent="0.3">
      <c r="B5" s="31" t="s">
        <v>42</v>
      </c>
      <c r="C5" s="31" t="s">
        <v>43</v>
      </c>
      <c r="D5" s="31" t="s">
        <v>44</v>
      </c>
      <c r="E5" s="31" t="s">
        <v>45</v>
      </c>
    </row>
    <row r="6" spans="2:8" x14ac:dyDescent="0.25">
      <c r="B6" s="12" t="s">
        <v>0</v>
      </c>
      <c r="C6" s="11" t="s">
        <v>46</v>
      </c>
      <c r="D6" s="11" t="s">
        <v>47</v>
      </c>
      <c r="E6" s="13" t="s">
        <v>48</v>
      </c>
    </row>
    <row r="7" spans="2:8" x14ac:dyDescent="0.25">
      <c r="B7" s="14" t="s">
        <v>1</v>
      </c>
      <c r="C7" s="10" t="s">
        <v>49</v>
      </c>
      <c r="D7" s="10" t="s">
        <v>50</v>
      </c>
      <c r="E7" s="15" t="s">
        <v>51</v>
      </c>
    </row>
    <row r="8" spans="2:8" x14ac:dyDescent="0.25">
      <c r="B8" s="14" t="s">
        <v>52</v>
      </c>
      <c r="C8" s="10" t="s">
        <v>53</v>
      </c>
      <c r="D8" s="10" t="s">
        <v>54</v>
      </c>
      <c r="E8" s="15" t="s">
        <v>55</v>
      </c>
      <c r="H8" t="s">
        <v>56</v>
      </c>
    </row>
    <row r="9" spans="2:8" x14ac:dyDescent="0.25">
      <c r="B9" s="32" t="s">
        <v>4</v>
      </c>
      <c r="C9" s="33" t="s">
        <v>57</v>
      </c>
      <c r="D9" s="33" t="s">
        <v>58</v>
      </c>
      <c r="E9" s="34" t="s">
        <v>59</v>
      </c>
    </row>
  </sheetData>
  <dataValidations count="1">
    <dataValidation type="custom" allowBlank="1" showInputMessage="1" showErrorMessage="1" sqref="B6:B9" xr:uid="{D826B211-7656-4B3E-9990-D109049AEF27}">
      <formula1>COUNTIF(Lista_Proveedores,B6)&lt;=1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</hyperlinks>
  <pageMargins left="0.511811024" right="0.511811024" top="0.78740157499999996" bottom="0.78740157499999996" header="0.31496062000000002" footer="0.31496062000000002"/>
  <drawing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G59"/>
  <sheetViews>
    <sheetView showGridLines="0" topLeftCell="A49" zoomScaleNormal="100" workbookViewId="0">
      <selection activeCell="F59" sqref="F59"/>
    </sheetView>
  </sheetViews>
  <sheetFormatPr defaultColWidth="9.140625" defaultRowHeight="15" x14ac:dyDescent="0.25"/>
  <cols>
    <col min="1" max="1" width="5.28515625" customWidth="1"/>
    <col min="2" max="2" width="15.85546875" style="2" customWidth="1"/>
    <col min="3" max="3" width="16.85546875" style="2" bestFit="1" customWidth="1"/>
    <col min="4" max="4" width="20.5703125" customWidth="1"/>
    <col min="5" max="5" width="21.140625" style="2" customWidth="1"/>
    <col min="6" max="6" width="23.85546875" customWidth="1"/>
    <col min="7" max="7" width="21.140625" customWidth="1"/>
  </cols>
  <sheetData>
    <row r="1" spans="2:7" s="5" customFormat="1" ht="60" customHeight="1" x14ac:dyDescent="0.25">
      <c r="E1" s="6" t="s">
        <v>60</v>
      </c>
      <c r="F1" s="7"/>
    </row>
    <row r="2" spans="2:7" s="8" customFormat="1" ht="6" customHeight="1" x14ac:dyDescent="0.25">
      <c r="F2" s="9"/>
    </row>
    <row r="4" spans="2:7" x14ac:dyDescent="0.25">
      <c r="B4"/>
    </row>
    <row r="5" spans="2:7" s="4" customFormat="1" x14ac:dyDescent="0.25">
      <c r="B5" s="31" t="s">
        <v>61</v>
      </c>
      <c r="C5" s="31" t="s">
        <v>2</v>
      </c>
      <c r="D5" s="31" t="s">
        <v>3</v>
      </c>
      <c r="E5" s="31" t="s">
        <v>62</v>
      </c>
      <c r="F5" s="31" t="s">
        <v>36</v>
      </c>
      <c r="G5" s="31" t="s">
        <v>67</v>
      </c>
    </row>
    <row r="6" spans="2:7" ht="18" x14ac:dyDescent="0.35">
      <c r="B6" s="36">
        <v>44566</v>
      </c>
      <c r="C6" s="37" t="s">
        <v>5</v>
      </c>
      <c r="D6" s="38" t="s">
        <v>0</v>
      </c>
      <c r="E6" s="39">
        <v>80</v>
      </c>
      <c r="F6" s="40">
        <f>_xlfn.XLOOKUP(TB_Entradas[[#This Row],[Producto]],TB_Producto[Producto],TB_Producto[Costo Unitario],"Producto Incorrecto")</f>
        <v>3</v>
      </c>
      <c r="G6" s="40">
        <f>IFERROR(TB_Entradas[[#This Row],[Cantidad Comprada]]*TB_Entradas[[#This Row],[Costo Unitario]],"Producto Incorrecto")</f>
        <v>240</v>
      </c>
    </row>
    <row r="7" spans="2:7" ht="18" x14ac:dyDescent="0.35">
      <c r="B7" s="36">
        <v>44566</v>
      </c>
      <c r="C7" s="37" t="s">
        <v>20</v>
      </c>
      <c r="D7" s="38" t="s">
        <v>4</v>
      </c>
      <c r="E7" s="39">
        <v>80</v>
      </c>
      <c r="F7" s="40">
        <f>_xlfn.XLOOKUP(TB_Entradas[[#This Row],[Producto]],TB_Producto[Producto],TB_Producto[Costo Unitario],"Producto Incorrecto")</f>
        <v>1.5</v>
      </c>
      <c r="G7" s="40">
        <f>IFERROR(TB_Entradas[[#This Row],[Cantidad Comprada]]*TB_Entradas[[#This Row],[Costo Unitario]],"Producto Incorrecto")</f>
        <v>120</v>
      </c>
    </row>
    <row r="8" spans="2:7" ht="18" x14ac:dyDescent="0.35">
      <c r="B8" s="36">
        <v>44576</v>
      </c>
      <c r="C8" s="37" t="s">
        <v>18</v>
      </c>
      <c r="D8" s="38" t="s">
        <v>0</v>
      </c>
      <c r="E8" s="39">
        <v>75</v>
      </c>
      <c r="F8" s="40">
        <f>_xlfn.XLOOKUP(TB_Entradas[[#This Row],[Producto]],TB_Producto[Producto],TB_Producto[Costo Unitario],"Producto Incorrecto")</f>
        <v>4.5</v>
      </c>
      <c r="G8" s="40">
        <f>IFERROR(TB_Entradas[[#This Row],[Cantidad Comprada]]*TB_Entradas[[#This Row],[Costo Unitario]],"Producto Incorrecto")</f>
        <v>337.5</v>
      </c>
    </row>
    <row r="9" spans="2:7" ht="18" x14ac:dyDescent="0.35">
      <c r="B9" s="36">
        <v>44578</v>
      </c>
      <c r="C9" s="37" t="s">
        <v>32</v>
      </c>
      <c r="D9" s="38" t="s">
        <v>4</v>
      </c>
      <c r="E9" s="39">
        <v>80</v>
      </c>
      <c r="F9" s="40">
        <f>_xlfn.XLOOKUP(TB_Entradas[[#This Row],[Producto]],TB_Producto[Producto],TB_Producto[Costo Unitario],"Producto Incorrecto")</f>
        <v>2.25</v>
      </c>
      <c r="G9" s="40">
        <f>IFERROR(TB_Entradas[[#This Row],[Cantidad Comprada]]*TB_Entradas[[#This Row],[Costo Unitario]],"Producto Incorrecto")</f>
        <v>180</v>
      </c>
    </row>
    <row r="10" spans="2:7" ht="18" x14ac:dyDescent="0.35">
      <c r="B10" s="36">
        <v>44593</v>
      </c>
      <c r="C10" s="37" t="s">
        <v>32</v>
      </c>
      <c r="D10" s="38" t="s">
        <v>4</v>
      </c>
      <c r="E10" s="39">
        <v>65</v>
      </c>
      <c r="F10" s="40">
        <f>_xlfn.XLOOKUP(TB_Entradas[[#This Row],[Producto]],TB_Producto[Producto],TB_Producto[Costo Unitario],"Producto Incorrecto")</f>
        <v>2.25</v>
      </c>
      <c r="G10" s="40">
        <f>IFERROR(TB_Entradas[[#This Row],[Cantidad Comprada]]*TB_Entradas[[#This Row],[Costo Unitario]],"Producto Incorrecto")</f>
        <v>146.25</v>
      </c>
    </row>
    <row r="11" spans="2:7" ht="18" x14ac:dyDescent="0.35">
      <c r="B11" s="36">
        <v>44594</v>
      </c>
      <c r="C11" s="37" t="s">
        <v>18</v>
      </c>
      <c r="D11" s="38" t="s">
        <v>0</v>
      </c>
      <c r="E11" s="39">
        <v>60</v>
      </c>
      <c r="F11" s="40">
        <f>_xlfn.XLOOKUP(TB_Entradas[[#This Row],[Producto]],TB_Producto[Producto],TB_Producto[Costo Unitario],"Producto Incorrecto")</f>
        <v>4.5</v>
      </c>
      <c r="G11" s="40">
        <f>IFERROR(TB_Entradas[[#This Row],[Cantidad Comprada]]*TB_Entradas[[#This Row],[Costo Unitario]],"Producto Incorrecto")</f>
        <v>270</v>
      </c>
    </row>
    <row r="12" spans="2:7" ht="18" x14ac:dyDescent="0.35">
      <c r="B12" s="36">
        <v>44598</v>
      </c>
      <c r="C12" s="37" t="s">
        <v>5</v>
      </c>
      <c r="D12" s="38" t="s">
        <v>0</v>
      </c>
      <c r="E12" s="39">
        <v>105</v>
      </c>
      <c r="F12" s="40">
        <f>_xlfn.XLOOKUP(TB_Entradas[[#This Row],[Producto]],TB_Producto[Producto],TB_Producto[Costo Unitario],"Producto Incorrecto")</f>
        <v>3</v>
      </c>
      <c r="G12" s="40">
        <f>IFERROR(TB_Entradas[[#This Row],[Cantidad Comprada]]*TB_Entradas[[#This Row],[Costo Unitario]],"Producto Incorrecto")</f>
        <v>315</v>
      </c>
    </row>
    <row r="13" spans="2:7" ht="18" x14ac:dyDescent="0.35">
      <c r="B13" s="36">
        <v>44602</v>
      </c>
      <c r="C13" s="37" t="s">
        <v>29</v>
      </c>
      <c r="D13" s="38" t="s">
        <v>52</v>
      </c>
      <c r="E13" s="39">
        <v>35</v>
      </c>
      <c r="F13" s="40">
        <f>_xlfn.XLOOKUP(TB_Entradas[[#This Row],[Producto]],TB_Producto[Producto],TB_Producto[Costo Unitario],"Producto Incorrecto")</f>
        <v>1.25</v>
      </c>
      <c r="G13" s="40">
        <f>IFERROR(TB_Entradas[[#This Row],[Cantidad Comprada]]*TB_Entradas[[#This Row],[Costo Unitario]],"Producto Incorrecto")</f>
        <v>43.75</v>
      </c>
    </row>
    <row r="14" spans="2:7" ht="18" x14ac:dyDescent="0.35">
      <c r="B14" s="36">
        <v>44612</v>
      </c>
      <c r="C14" s="37" t="s">
        <v>20</v>
      </c>
      <c r="D14" s="38" t="s">
        <v>4</v>
      </c>
      <c r="E14" s="39">
        <v>80</v>
      </c>
      <c r="F14" s="40">
        <f>_xlfn.XLOOKUP(TB_Entradas[[#This Row],[Producto]],TB_Producto[Producto],TB_Producto[Costo Unitario],"Producto Incorrecto")</f>
        <v>1.5</v>
      </c>
      <c r="G14" s="40">
        <f>IFERROR(TB_Entradas[[#This Row],[Cantidad Comprada]]*TB_Entradas[[#This Row],[Costo Unitario]],"Producto Incorrecto")</f>
        <v>120</v>
      </c>
    </row>
    <row r="15" spans="2:7" ht="18" x14ac:dyDescent="0.35">
      <c r="B15" s="36">
        <v>44625</v>
      </c>
      <c r="C15" s="37" t="s">
        <v>27</v>
      </c>
      <c r="D15" s="38" t="s">
        <v>52</v>
      </c>
      <c r="E15" s="39">
        <v>230</v>
      </c>
      <c r="F15" s="40">
        <f>_xlfn.XLOOKUP(TB_Entradas[[#This Row],[Producto]],TB_Producto[Producto],TB_Producto[Costo Unitario],"Producto Incorrecto")</f>
        <v>0.5</v>
      </c>
      <c r="G15" s="40">
        <f>IFERROR(TB_Entradas[[#This Row],[Cantidad Comprada]]*TB_Entradas[[#This Row],[Costo Unitario]],"Producto Incorrecto")</f>
        <v>115</v>
      </c>
    </row>
    <row r="16" spans="2:7" ht="18" x14ac:dyDescent="0.35">
      <c r="B16" s="36">
        <v>44630</v>
      </c>
      <c r="C16" s="37" t="s">
        <v>32</v>
      </c>
      <c r="D16" s="38" t="s">
        <v>4</v>
      </c>
      <c r="E16" s="39">
        <v>35</v>
      </c>
      <c r="F16" s="40">
        <f>_xlfn.XLOOKUP(TB_Entradas[[#This Row],[Producto]],TB_Producto[Producto],TB_Producto[Costo Unitario],"Producto Incorrecto")</f>
        <v>2.25</v>
      </c>
      <c r="G16" s="40">
        <f>IFERROR(TB_Entradas[[#This Row],[Cantidad Comprada]]*TB_Entradas[[#This Row],[Costo Unitario]],"Producto Incorrecto")</f>
        <v>78.75</v>
      </c>
    </row>
    <row r="17" spans="2:7" ht="18" x14ac:dyDescent="0.35">
      <c r="B17" s="36">
        <v>44635</v>
      </c>
      <c r="C17" s="37" t="s">
        <v>5</v>
      </c>
      <c r="D17" s="38" t="s">
        <v>0</v>
      </c>
      <c r="E17" s="39">
        <v>125</v>
      </c>
      <c r="F17" s="40">
        <f>_xlfn.XLOOKUP(TB_Entradas[[#This Row],[Producto]],TB_Producto[Producto],TB_Producto[Costo Unitario],"Producto Incorrecto")</f>
        <v>3</v>
      </c>
      <c r="G17" s="40">
        <f>IFERROR(TB_Entradas[[#This Row],[Cantidad Comprada]]*TB_Entradas[[#This Row],[Costo Unitario]],"Producto Incorrecto")</f>
        <v>375</v>
      </c>
    </row>
    <row r="18" spans="2:7" ht="18" x14ac:dyDescent="0.35">
      <c r="B18" s="36">
        <v>44637</v>
      </c>
      <c r="C18" s="37" t="s">
        <v>26</v>
      </c>
      <c r="D18" s="38" t="s">
        <v>0</v>
      </c>
      <c r="E18" s="39">
        <v>85</v>
      </c>
      <c r="F18" s="40">
        <f>_xlfn.XLOOKUP(TB_Entradas[[#This Row],[Producto]],TB_Producto[Producto],TB_Producto[Costo Unitario],"Producto Incorrecto")</f>
        <v>1.5</v>
      </c>
      <c r="G18" s="40">
        <f>IFERROR(TB_Entradas[[#This Row],[Cantidad Comprada]]*TB_Entradas[[#This Row],[Costo Unitario]],"Producto Incorrecto")</f>
        <v>127.5</v>
      </c>
    </row>
    <row r="19" spans="2:7" ht="18" x14ac:dyDescent="0.35">
      <c r="B19" s="36">
        <v>44644</v>
      </c>
      <c r="C19" s="37" t="s">
        <v>18</v>
      </c>
      <c r="D19" s="38" t="s">
        <v>0</v>
      </c>
      <c r="E19" s="39">
        <v>25</v>
      </c>
      <c r="F19" s="40">
        <f>_xlfn.XLOOKUP(TB_Entradas[[#This Row],[Producto]],TB_Producto[Producto],TB_Producto[Costo Unitario],"Producto Incorrecto")</f>
        <v>4.5</v>
      </c>
      <c r="G19" s="40">
        <f>IFERROR(TB_Entradas[[#This Row],[Cantidad Comprada]]*TB_Entradas[[#This Row],[Costo Unitario]],"Producto Incorrecto")</f>
        <v>112.5</v>
      </c>
    </row>
    <row r="20" spans="2:7" ht="18" x14ac:dyDescent="0.35">
      <c r="B20" s="36">
        <v>44647</v>
      </c>
      <c r="C20" s="37" t="s">
        <v>20</v>
      </c>
      <c r="D20" s="38" t="s">
        <v>4</v>
      </c>
      <c r="E20" s="39">
        <v>30</v>
      </c>
      <c r="F20" s="40">
        <f>_xlfn.XLOOKUP(TB_Entradas[[#This Row],[Producto]],TB_Producto[Producto],TB_Producto[Costo Unitario],"Producto Incorrecto")</f>
        <v>1.5</v>
      </c>
      <c r="G20" s="40">
        <f>IFERROR(TB_Entradas[[#This Row],[Cantidad Comprada]]*TB_Entradas[[#This Row],[Costo Unitario]],"Producto Incorrecto")</f>
        <v>45</v>
      </c>
    </row>
    <row r="21" spans="2:7" ht="18" x14ac:dyDescent="0.35">
      <c r="B21" s="36">
        <v>44655</v>
      </c>
      <c r="C21" s="37" t="s">
        <v>32</v>
      </c>
      <c r="D21" s="38" t="s">
        <v>4</v>
      </c>
      <c r="E21" s="39">
        <v>65</v>
      </c>
      <c r="F21" s="40">
        <f>_xlfn.XLOOKUP(TB_Entradas[[#This Row],[Producto]],TB_Producto[Producto],TB_Producto[Costo Unitario],"Producto Incorrecto")</f>
        <v>2.25</v>
      </c>
      <c r="G21" s="40">
        <f>IFERROR(TB_Entradas[[#This Row],[Cantidad Comprada]]*TB_Entradas[[#This Row],[Costo Unitario]],"Producto Incorrecto")</f>
        <v>146.25</v>
      </c>
    </row>
    <row r="22" spans="2:7" ht="18" x14ac:dyDescent="0.35">
      <c r="B22" s="36">
        <v>44661</v>
      </c>
      <c r="C22" s="37" t="s">
        <v>5</v>
      </c>
      <c r="D22" s="38" t="s">
        <v>0</v>
      </c>
      <c r="E22" s="39">
        <v>100</v>
      </c>
      <c r="F22" s="40">
        <f>_xlfn.XLOOKUP(TB_Entradas[[#This Row],[Producto]],TB_Producto[Producto],TB_Producto[Costo Unitario],"Producto Incorrecto")</f>
        <v>3</v>
      </c>
      <c r="G22" s="40">
        <f>IFERROR(TB_Entradas[[#This Row],[Cantidad Comprada]]*TB_Entradas[[#This Row],[Costo Unitario]],"Producto Incorrecto")</f>
        <v>300</v>
      </c>
    </row>
    <row r="23" spans="2:7" ht="18" x14ac:dyDescent="0.35">
      <c r="B23" s="36">
        <v>44672</v>
      </c>
      <c r="C23" s="37" t="s">
        <v>18</v>
      </c>
      <c r="D23" s="38" t="s">
        <v>0</v>
      </c>
      <c r="E23" s="39">
        <v>35</v>
      </c>
      <c r="F23" s="40">
        <f>_xlfn.XLOOKUP(TB_Entradas[[#This Row],[Producto]],TB_Producto[Producto],TB_Producto[Costo Unitario],"Producto Incorrecto")</f>
        <v>4.5</v>
      </c>
      <c r="G23" s="40">
        <f>IFERROR(TB_Entradas[[#This Row],[Cantidad Comprada]]*TB_Entradas[[#This Row],[Costo Unitario]],"Producto Incorrecto")</f>
        <v>157.5</v>
      </c>
    </row>
    <row r="24" spans="2:7" ht="18" x14ac:dyDescent="0.35">
      <c r="B24" s="36">
        <v>44681</v>
      </c>
      <c r="C24" s="37" t="s">
        <v>20</v>
      </c>
      <c r="D24" s="38" t="s">
        <v>4</v>
      </c>
      <c r="E24" s="39">
        <v>35</v>
      </c>
      <c r="F24" s="40">
        <f>_xlfn.XLOOKUP(TB_Entradas[[#This Row],[Producto]],TB_Producto[Producto],TB_Producto[Costo Unitario],"Producto Incorrecto")</f>
        <v>1.5</v>
      </c>
      <c r="G24" s="40">
        <f>IFERROR(TB_Entradas[[#This Row],[Cantidad Comprada]]*TB_Entradas[[#This Row],[Costo Unitario]],"Producto Incorrecto")</f>
        <v>52.5</v>
      </c>
    </row>
    <row r="25" spans="2:7" ht="18" x14ac:dyDescent="0.35">
      <c r="B25" s="36">
        <v>44686</v>
      </c>
      <c r="C25" s="37" t="s">
        <v>31</v>
      </c>
      <c r="D25" s="38" t="s">
        <v>1</v>
      </c>
      <c r="E25" s="39">
        <v>42</v>
      </c>
      <c r="F25" s="40">
        <f>_xlfn.XLOOKUP(TB_Entradas[[#This Row],[Producto]],TB_Producto[Producto],TB_Producto[Costo Unitario],"Producto Incorrecto")</f>
        <v>2.5</v>
      </c>
      <c r="G25" s="40">
        <f>IFERROR(TB_Entradas[[#This Row],[Cantidad Comprada]]*TB_Entradas[[#This Row],[Costo Unitario]],"Producto Incorrecto")</f>
        <v>105</v>
      </c>
    </row>
    <row r="26" spans="2:7" ht="18" x14ac:dyDescent="0.35">
      <c r="B26" s="36">
        <v>44687</v>
      </c>
      <c r="C26" s="37" t="s">
        <v>20</v>
      </c>
      <c r="D26" s="38" t="s">
        <v>4</v>
      </c>
      <c r="E26" s="39">
        <v>34</v>
      </c>
      <c r="F26" s="40">
        <f>_xlfn.XLOOKUP(TB_Entradas[[#This Row],[Producto]],TB_Producto[Producto],TB_Producto[Costo Unitario],"Producto Incorrecto")</f>
        <v>1.5</v>
      </c>
      <c r="G26" s="40">
        <f>IFERROR(TB_Entradas[[#This Row],[Cantidad Comprada]]*TB_Entradas[[#This Row],[Costo Unitario]],"Producto Incorrecto")</f>
        <v>51</v>
      </c>
    </row>
    <row r="27" spans="2:7" ht="18" x14ac:dyDescent="0.35">
      <c r="B27" s="36">
        <v>44691</v>
      </c>
      <c r="C27" s="37" t="s">
        <v>32</v>
      </c>
      <c r="D27" s="38" t="s">
        <v>4</v>
      </c>
      <c r="E27" s="39">
        <v>20</v>
      </c>
      <c r="F27" s="40">
        <f>_xlfn.XLOOKUP(TB_Entradas[[#This Row],[Producto]],TB_Producto[Producto],TB_Producto[Costo Unitario],"Producto Incorrecto")</f>
        <v>2.25</v>
      </c>
      <c r="G27" s="40">
        <f>IFERROR(TB_Entradas[[#This Row],[Cantidad Comprada]]*TB_Entradas[[#This Row],[Costo Unitario]],"Producto Incorrecto")</f>
        <v>45</v>
      </c>
    </row>
    <row r="28" spans="2:7" ht="18" x14ac:dyDescent="0.35">
      <c r="B28" s="36">
        <v>44691</v>
      </c>
      <c r="C28" s="37" t="s">
        <v>5</v>
      </c>
      <c r="D28" s="38" t="s">
        <v>0</v>
      </c>
      <c r="E28" s="39">
        <v>75</v>
      </c>
      <c r="F28" s="40">
        <f>_xlfn.XLOOKUP(TB_Entradas[[#This Row],[Producto]],TB_Producto[Producto],TB_Producto[Costo Unitario],"Producto Incorrecto")</f>
        <v>3</v>
      </c>
      <c r="G28" s="40">
        <f>IFERROR(TB_Entradas[[#This Row],[Cantidad Comprada]]*TB_Entradas[[#This Row],[Costo Unitario]],"Producto Incorrecto")</f>
        <v>225</v>
      </c>
    </row>
    <row r="29" spans="2:7" ht="18" x14ac:dyDescent="0.35">
      <c r="B29" s="36">
        <v>44698</v>
      </c>
      <c r="C29" s="37" t="s">
        <v>18</v>
      </c>
      <c r="D29" s="38" t="s">
        <v>0</v>
      </c>
      <c r="E29" s="39">
        <v>25</v>
      </c>
      <c r="F29" s="40">
        <f>_xlfn.XLOOKUP(TB_Entradas[[#This Row],[Producto]],TB_Producto[Producto],TB_Producto[Costo Unitario],"Producto Incorrecto")</f>
        <v>4.5</v>
      </c>
      <c r="G29" s="40">
        <f>IFERROR(TB_Entradas[[#This Row],[Cantidad Comprada]]*TB_Entradas[[#This Row],[Costo Unitario]],"Producto Incorrecto")</f>
        <v>112.5</v>
      </c>
    </row>
    <row r="30" spans="2:7" ht="18" x14ac:dyDescent="0.35">
      <c r="B30" s="36">
        <v>44714</v>
      </c>
      <c r="C30" s="37" t="s">
        <v>5</v>
      </c>
      <c r="D30" s="38" t="s">
        <v>0</v>
      </c>
      <c r="E30" s="39">
        <v>100</v>
      </c>
      <c r="F30" s="40">
        <f>_xlfn.XLOOKUP(TB_Entradas[[#This Row],[Producto]],TB_Producto[Producto],TB_Producto[Costo Unitario],"Producto Incorrecto")</f>
        <v>3</v>
      </c>
      <c r="G30" s="40">
        <f>IFERROR(TB_Entradas[[#This Row],[Cantidad Comprada]]*TB_Entradas[[#This Row],[Costo Unitario]],"Producto Incorrecto")</f>
        <v>300</v>
      </c>
    </row>
    <row r="31" spans="2:7" ht="18" x14ac:dyDescent="0.35">
      <c r="B31" s="36">
        <v>44719</v>
      </c>
      <c r="C31" s="37" t="s">
        <v>18</v>
      </c>
      <c r="D31" s="38" t="s">
        <v>0</v>
      </c>
      <c r="E31" s="39">
        <v>85</v>
      </c>
      <c r="F31" s="40">
        <f>_xlfn.XLOOKUP(TB_Entradas[[#This Row],[Producto]],TB_Producto[Producto],TB_Producto[Costo Unitario],"Producto Incorrecto")</f>
        <v>4.5</v>
      </c>
      <c r="G31" s="40">
        <f>IFERROR(TB_Entradas[[#This Row],[Cantidad Comprada]]*TB_Entradas[[#This Row],[Costo Unitario]],"Producto Incorrecto")</f>
        <v>382.5</v>
      </c>
    </row>
    <row r="32" spans="2:7" ht="18" x14ac:dyDescent="0.35">
      <c r="B32" s="105">
        <v>44727</v>
      </c>
      <c r="C32" s="103" t="s">
        <v>32</v>
      </c>
      <c r="D32" s="104" t="s">
        <v>4</v>
      </c>
      <c r="E32" s="106">
        <v>60</v>
      </c>
      <c r="F32" s="40">
        <f>_xlfn.XLOOKUP(TB_Entradas[[#This Row],[Producto]],TB_Producto[Producto],TB_Producto[Costo Unitario],"Producto Incorrecto")</f>
        <v>2.25</v>
      </c>
      <c r="G32" s="40">
        <f>IFERROR(TB_Entradas[[#This Row],[Cantidad Comprada]]*TB_Entradas[[#This Row],[Costo Unitario]],"Producto Incorrecto")</f>
        <v>135</v>
      </c>
    </row>
    <row r="33" spans="2:7" ht="18" x14ac:dyDescent="0.35">
      <c r="B33" s="105">
        <v>44735</v>
      </c>
      <c r="C33" s="103" t="s">
        <v>20</v>
      </c>
      <c r="D33" s="104" t="s">
        <v>4</v>
      </c>
      <c r="E33" s="106">
        <v>25</v>
      </c>
      <c r="F33" s="40">
        <f>_xlfn.XLOOKUP(TB_Entradas[[#This Row],[Producto]],TB_Producto[Producto],TB_Producto[Costo Unitario],"Producto Incorrecto")</f>
        <v>1.5</v>
      </c>
      <c r="G33" s="40">
        <f>IFERROR(TB_Entradas[[#This Row],[Cantidad Comprada]]*TB_Entradas[[#This Row],[Costo Unitario]],"Producto Incorrecto")</f>
        <v>37.5</v>
      </c>
    </row>
    <row r="34" spans="2:7" ht="18" x14ac:dyDescent="0.35">
      <c r="B34" s="105">
        <v>44743</v>
      </c>
      <c r="C34" s="103" t="s">
        <v>5</v>
      </c>
      <c r="D34" s="104" t="s">
        <v>0</v>
      </c>
      <c r="E34" s="106">
        <v>100</v>
      </c>
      <c r="F34" s="40">
        <f>_xlfn.XLOOKUP(TB_Entradas[[#This Row],[Producto]],TB_Producto[Producto],TB_Producto[Costo Unitario],"Producto Incorrecto")</f>
        <v>3</v>
      </c>
      <c r="G34" s="40">
        <f>IFERROR(TB_Entradas[[#This Row],[Cantidad Comprada]]*TB_Entradas[[#This Row],[Costo Unitario]],"Producto Incorrecto")</f>
        <v>300</v>
      </c>
    </row>
    <row r="35" spans="2:7" ht="18" x14ac:dyDescent="0.35">
      <c r="B35" s="105">
        <v>44747</v>
      </c>
      <c r="C35" s="103" t="s">
        <v>32</v>
      </c>
      <c r="D35" s="104" t="s">
        <v>4</v>
      </c>
      <c r="E35" s="106">
        <v>40</v>
      </c>
      <c r="F35" s="40">
        <f>_xlfn.XLOOKUP(TB_Entradas[[#This Row],[Producto]],TB_Producto[Producto],TB_Producto[Costo Unitario],"Producto Incorrecto")</f>
        <v>2.25</v>
      </c>
      <c r="G35" s="40">
        <f>IFERROR(TB_Entradas[[#This Row],[Cantidad Comprada]]*TB_Entradas[[#This Row],[Costo Unitario]],"Producto Incorrecto")</f>
        <v>90</v>
      </c>
    </row>
    <row r="36" spans="2:7" ht="18" x14ac:dyDescent="0.35">
      <c r="B36" s="105">
        <v>44749</v>
      </c>
      <c r="C36" s="103" t="s">
        <v>18</v>
      </c>
      <c r="D36" s="104" t="s">
        <v>0</v>
      </c>
      <c r="E36" s="106">
        <v>105</v>
      </c>
      <c r="F36" s="40">
        <f>_xlfn.XLOOKUP(TB_Entradas[[#This Row],[Producto]],TB_Producto[Producto],TB_Producto[Costo Unitario],"Producto Incorrecto")</f>
        <v>4.5</v>
      </c>
      <c r="G36" s="40">
        <f>IFERROR(TB_Entradas[[#This Row],[Cantidad Comprada]]*TB_Entradas[[#This Row],[Costo Unitario]],"Producto Incorrecto")</f>
        <v>472.5</v>
      </c>
    </row>
    <row r="37" spans="2:7" ht="18" x14ac:dyDescent="0.35">
      <c r="B37" s="105">
        <v>44757</v>
      </c>
      <c r="C37" s="103" t="s">
        <v>20</v>
      </c>
      <c r="D37" s="104" t="s">
        <v>4</v>
      </c>
      <c r="E37" s="106">
        <v>20</v>
      </c>
      <c r="F37" s="40">
        <f>_xlfn.XLOOKUP(TB_Entradas[[#This Row],[Producto]],TB_Producto[Producto],TB_Producto[Costo Unitario],"Producto Incorrecto")</f>
        <v>1.5</v>
      </c>
      <c r="G37" s="40">
        <f>IFERROR(TB_Entradas[[#This Row],[Cantidad Comprada]]*TB_Entradas[[#This Row],[Costo Unitario]],"Producto Incorrecto")</f>
        <v>30</v>
      </c>
    </row>
    <row r="38" spans="2:7" ht="18" x14ac:dyDescent="0.35">
      <c r="B38" s="105">
        <v>44778</v>
      </c>
      <c r="C38" s="103" t="s">
        <v>18</v>
      </c>
      <c r="D38" s="104" t="s">
        <v>0</v>
      </c>
      <c r="E38" s="106">
        <v>25</v>
      </c>
      <c r="F38" s="40">
        <f>_xlfn.XLOOKUP(TB_Entradas[[#This Row],[Producto]],TB_Producto[Producto],TB_Producto[Costo Unitario],"Producto Incorrecto")</f>
        <v>4.5</v>
      </c>
      <c r="G38" s="40">
        <f>IFERROR(TB_Entradas[[#This Row],[Cantidad Comprada]]*TB_Entradas[[#This Row],[Costo Unitario]],"Producto Incorrecto")</f>
        <v>112.5</v>
      </c>
    </row>
    <row r="39" spans="2:7" ht="18" x14ac:dyDescent="0.35">
      <c r="B39" s="105">
        <v>44783</v>
      </c>
      <c r="C39" s="103" t="s">
        <v>12</v>
      </c>
      <c r="D39" s="104" t="s">
        <v>0</v>
      </c>
      <c r="E39" s="106">
        <v>80</v>
      </c>
      <c r="F39" s="40">
        <f>_xlfn.XLOOKUP(TB_Entradas[[#This Row],[Producto]],TB_Producto[Producto],TB_Producto[Costo Unitario],"Producto Incorrecto")</f>
        <v>1.25</v>
      </c>
      <c r="G39" s="40">
        <f>IFERROR(TB_Entradas[[#This Row],[Cantidad Comprada]]*TB_Entradas[[#This Row],[Costo Unitario]],"Producto Incorrecto")</f>
        <v>100</v>
      </c>
    </row>
    <row r="40" spans="2:7" ht="18" x14ac:dyDescent="0.35">
      <c r="B40" s="105">
        <v>44791</v>
      </c>
      <c r="C40" s="103" t="s">
        <v>32</v>
      </c>
      <c r="D40" s="104" t="s">
        <v>4</v>
      </c>
      <c r="E40" s="106">
        <v>25</v>
      </c>
      <c r="F40" s="40">
        <f>_xlfn.XLOOKUP(TB_Entradas[[#This Row],[Producto]],TB_Producto[Producto],TB_Producto[Costo Unitario],"Producto Incorrecto")</f>
        <v>2.25</v>
      </c>
      <c r="G40" s="40">
        <f>IFERROR(TB_Entradas[[#This Row],[Cantidad Comprada]]*TB_Entradas[[#This Row],[Costo Unitario]],"Producto Incorrecto")</f>
        <v>56.25</v>
      </c>
    </row>
    <row r="41" spans="2:7" ht="18" x14ac:dyDescent="0.35">
      <c r="B41" s="105">
        <v>44791</v>
      </c>
      <c r="C41" s="103" t="s">
        <v>20</v>
      </c>
      <c r="D41" s="104" t="s">
        <v>4</v>
      </c>
      <c r="E41" s="106">
        <v>20</v>
      </c>
      <c r="F41" s="40">
        <f>_xlfn.XLOOKUP(TB_Entradas[[#This Row],[Producto]],TB_Producto[Producto],TB_Producto[Costo Unitario],"Producto Incorrecto")</f>
        <v>1.5</v>
      </c>
      <c r="G41" s="40">
        <f>IFERROR(TB_Entradas[[#This Row],[Cantidad Comprada]]*TB_Entradas[[#This Row],[Costo Unitario]],"Producto Incorrecto")</f>
        <v>30</v>
      </c>
    </row>
    <row r="42" spans="2:7" ht="18" x14ac:dyDescent="0.35">
      <c r="B42" s="105">
        <v>44804</v>
      </c>
      <c r="C42" s="103" t="s">
        <v>5</v>
      </c>
      <c r="D42" s="104" t="s">
        <v>0</v>
      </c>
      <c r="E42" s="106">
        <v>125</v>
      </c>
      <c r="F42" s="40">
        <f>_xlfn.XLOOKUP(TB_Entradas[[#This Row],[Producto]],TB_Producto[Producto],TB_Producto[Costo Unitario],"Producto Incorrecto")</f>
        <v>3</v>
      </c>
      <c r="G42" s="40">
        <f>IFERROR(TB_Entradas[[#This Row],[Cantidad Comprada]]*TB_Entradas[[#This Row],[Costo Unitario]],"Producto Incorrecto")</f>
        <v>375</v>
      </c>
    </row>
    <row r="43" spans="2:7" ht="18" x14ac:dyDescent="0.35">
      <c r="B43" s="105">
        <v>44806</v>
      </c>
      <c r="C43" s="103" t="s">
        <v>27</v>
      </c>
      <c r="D43" s="104" t="s">
        <v>52</v>
      </c>
      <c r="E43" s="106">
        <v>70</v>
      </c>
      <c r="F43" s="40">
        <f>_xlfn.XLOOKUP(TB_Entradas[[#This Row],[Producto]],TB_Producto[Producto],TB_Producto[Costo Unitario],"Producto Incorrecto")</f>
        <v>0.5</v>
      </c>
      <c r="G43" s="40">
        <f>IFERROR(TB_Entradas[[#This Row],[Cantidad Comprada]]*TB_Entradas[[#This Row],[Costo Unitario]],"Producto Incorrecto")</f>
        <v>35</v>
      </c>
    </row>
    <row r="44" spans="2:7" ht="18" x14ac:dyDescent="0.35">
      <c r="B44" s="105">
        <v>44811</v>
      </c>
      <c r="C44" s="103" t="s">
        <v>18</v>
      </c>
      <c r="D44" s="104" t="s">
        <v>0</v>
      </c>
      <c r="E44" s="106">
        <v>22</v>
      </c>
      <c r="F44" s="40">
        <f>_xlfn.XLOOKUP(TB_Entradas[[#This Row],[Producto]],TB_Producto[Producto],TB_Producto[Costo Unitario],"Producto Incorrecto")</f>
        <v>4.5</v>
      </c>
      <c r="G44" s="40">
        <f>IFERROR(TB_Entradas[[#This Row],[Cantidad Comprada]]*TB_Entradas[[#This Row],[Costo Unitario]],"Producto Incorrecto")</f>
        <v>99</v>
      </c>
    </row>
    <row r="45" spans="2:7" ht="18" x14ac:dyDescent="0.35">
      <c r="B45" s="105">
        <v>44821</v>
      </c>
      <c r="C45" s="103" t="s">
        <v>25</v>
      </c>
      <c r="D45" s="104" t="s">
        <v>1</v>
      </c>
      <c r="E45" s="106">
        <v>32</v>
      </c>
      <c r="F45" s="40">
        <f>_xlfn.XLOOKUP(TB_Entradas[[#This Row],[Producto]],TB_Producto[Producto],TB_Producto[Costo Unitario],"Producto Incorrecto")</f>
        <v>4</v>
      </c>
      <c r="G45" s="40">
        <f>IFERROR(TB_Entradas[[#This Row],[Cantidad Comprada]]*TB_Entradas[[#This Row],[Costo Unitario]],"Producto Incorrecto")</f>
        <v>128</v>
      </c>
    </row>
    <row r="46" spans="2:7" ht="18" x14ac:dyDescent="0.35">
      <c r="B46" s="105">
        <v>44823</v>
      </c>
      <c r="C46" s="103" t="s">
        <v>32</v>
      </c>
      <c r="D46" s="104" t="s">
        <v>4</v>
      </c>
      <c r="E46" s="106">
        <v>15</v>
      </c>
      <c r="F46" s="40">
        <f>_xlfn.XLOOKUP(TB_Entradas[[#This Row],[Producto]],TB_Producto[Producto],TB_Producto[Costo Unitario],"Producto Incorrecto")</f>
        <v>2.25</v>
      </c>
      <c r="G46" s="40">
        <f>IFERROR(TB_Entradas[[#This Row],[Cantidad Comprada]]*TB_Entradas[[#This Row],[Costo Unitario]],"Producto Incorrecto")</f>
        <v>33.75</v>
      </c>
    </row>
    <row r="47" spans="2:7" ht="18" x14ac:dyDescent="0.35">
      <c r="B47" s="105">
        <v>44828</v>
      </c>
      <c r="C47" s="103" t="s">
        <v>20</v>
      </c>
      <c r="D47" s="104" t="s">
        <v>4</v>
      </c>
      <c r="E47" s="106">
        <v>13</v>
      </c>
      <c r="F47" s="40">
        <f>_xlfn.XLOOKUP(TB_Entradas[[#This Row],[Producto]],TB_Producto[Producto],TB_Producto[Costo Unitario],"Producto Incorrecto")</f>
        <v>1.5</v>
      </c>
      <c r="G47" s="40">
        <f>IFERROR(TB_Entradas[[#This Row],[Cantidad Comprada]]*TB_Entradas[[#This Row],[Costo Unitario]],"Producto Incorrecto")</f>
        <v>19.5</v>
      </c>
    </row>
    <row r="48" spans="2:7" ht="18" x14ac:dyDescent="0.35">
      <c r="B48" s="105">
        <v>44834</v>
      </c>
      <c r="C48" s="103" t="s">
        <v>5</v>
      </c>
      <c r="D48" s="104" t="s">
        <v>0</v>
      </c>
      <c r="E48" s="106">
        <v>125</v>
      </c>
      <c r="F48" s="40">
        <f>_xlfn.XLOOKUP(TB_Entradas[[#This Row],[Producto]],TB_Producto[Producto],TB_Producto[Costo Unitario],"Producto Incorrecto")</f>
        <v>3</v>
      </c>
      <c r="G48" s="40">
        <f>IFERROR(TB_Entradas[[#This Row],[Cantidad Comprada]]*TB_Entradas[[#This Row],[Costo Unitario]],"Producto Incorrecto")</f>
        <v>375</v>
      </c>
    </row>
    <row r="49" spans="2:7" ht="18" x14ac:dyDescent="0.35">
      <c r="B49" s="105">
        <v>44835</v>
      </c>
      <c r="C49" s="103" t="s">
        <v>18</v>
      </c>
      <c r="D49" s="104" t="s">
        <v>0</v>
      </c>
      <c r="E49" s="106">
        <v>37</v>
      </c>
      <c r="F49" s="40">
        <f>_xlfn.XLOOKUP(TB_Entradas[[#This Row],[Producto]],TB_Producto[Producto],TB_Producto[Costo Unitario],"Producto Incorrecto")</f>
        <v>4.5</v>
      </c>
      <c r="G49" s="40">
        <f>IFERROR(TB_Entradas[[#This Row],[Cantidad Comprada]]*TB_Entradas[[#This Row],[Costo Unitario]],"Producto Incorrecto")</f>
        <v>166.5</v>
      </c>
    </row>
    <row r="50" spans="2:7" ht="18" x14ac:dyDescent="0.35">
      <c r="B50" s="105">
        <v>44841</v>
      </c>
      <c r="C50" s="103" t="s">
        <v>32</v>
      </c>
      <c r="D50" s="104" t="s">
        <v>4</v>
      </c>
      <c r="E50" s="106">
        <v>30</v>
      </c>
      <c r="F50" s="40">
        <f>_xlfn.XLOOKUP(TB_Entradas[[#This Row],[Producto]],TB_Producto[Producto],TB_Producto[Costo Unitario],"Producto Incorrecto")</f>
        <v>2.25</v>
      </c>
      <c r="G50" s="40">
        <f>IFERROR(TB_Entradas[[#This Row],[Cantidad Comprada]]*TB_Entradas[[#This Row],[Costo Unitario]],"Producto Incorrecto")</f>
        <v>67.5</v>
      </c>
    </row>
    <row r="51" spans="2:7" ht="18" x14ac:dyDescent="0.35">
      <c r="B51" s="105">
        <v>44854</v>
      </c>
      <c r="C51" s="103" t="s">
        <v>5</v>
      </c>
      <c r="D51" s="104" t="s">
        <v>0</v>
      </c>
      <c r="E51" s="106">
        <v>80</v>
      </c>
      <c r="F51" s="40">
        <f>_xlfn.XLOOKUP(TB_Entradas[[#This Row],[Producto]],TB_Producto[Producto],TB_Producto[Costo Unitario],"Producto Incorrecto")</f>
        <v>3</v>
      </c>
      <c r="G51" s="40">
        <f>IFERROR(TB_Entradas[[#This Row],[Cantidad Comprada]]*TB_Entradas[[#This Row],[Costo Unitario]],"Producto Incorrecto")</f>
        <v>240</v>
      </c>
    </row>
    <row r="52" spans="2:7" ht="18" x14ac:dyDescent="0.35">
      <c r="B52" s="105">
        <v>44859</v>
      </c>
      <c r="C52" s="103" t="s">
        <v>20</v>
      </c>
      <c r="D52" s="104" t="s">
        <v>4</v>
      </c>
      <c r="E52" s="106">
        <v>42</v>
      </c>
      <c r="F52" s="40">
        <f>_xlfn.XLOOKUP(TB_Entradas[[#This Row],[Producto]],TB_Producto[Producto],TB_Producto[Costo Unitario],"Producto Incorrecto")</f>
        <v>1.5</v>
      </c>
      <c r="G52" s="40">
        <f>IFERROR(TB_Entradas[[#This Row],[Cantidad Comprada]]*TB_Entradas[[#This Row],[Costo Unitario]],"Producto Incorrecto")</f>
        <v>63</v>
      </c>
    </row>
    <row r="53" spans="2:7" ht="18" x14ac:dyDescent="0.35">
      <c r="B53" s="105">
        <v>44874</v>
      </c>
      <c r="C53" s="103" t="s">
        <v>28</v>
      </c>
      <c r="D53" s="104" t="s">
        <v>52</v>
      </c>
      <c r="E53" s="106">
        <v>45</v>
      </c>
      <c r="F53" s="40">
        <f>_xlfn.XLOOKUP(TB_Entradas[[#This Row],[Producto]],TB_Producto[Producto],TB_Producto[Costo Unitario],"Producto Incorrecto")</f>
        <v>0.25</v>
      </c>
      <c r="G53" s="40">
        <f>IFERROR(TB_Entradas[[#This Row],[Cantidad Comprada]]*TB_Entradas[[#This Row],[Costo Unitario]],"Producto Incorrecto")</f>
        <v>11.25</v>
      </c>
    </row>
    <row r="54" spans="2:7" ht="18" x14ac:dyDescent="0.35">
      <c r="B54" s="105">
        <v>44880</v>
      </c>
      <c r="C54" s="103" t="s">
        <v>5</v>
      </c>
      <c r="D54" s="104" t="s">
        <v>0</v>
      </c>
      <c r="E54" s="106">
        <v>65</v>
      </c>
      <c r="F54" s="40">
        <f>_xlfn.XLOOKUP(TB_Entradas[[#This Row],[Producto]],TB_Producto[Producto],TB_Producto[Costo Unitario],"Producto Incorrecto")</f>
        <v>3</v>
      </c>
      <c r="G54" s="40">
        <f>IFERROR(TB_Entradas[[#This Row],[Cantidad Comprada]]*TB_Entradas[[#This Row],[Costo Unitario]],"Producto Incorrecto")</f>
        <v>195</v>
      </c>
    </row>
    <row r="55" spans="2:7" ht="18" x14ac:dyDescent="0.35">
      <c r="B55" s="105">
        <v>44883</v>
      </c>
      <c r="C55" s="103" t="s">
        <v>18</v>
      </c>
      <c r="D55" s="104" t="s">
        <v>0</v>
      </c>
      <c r="E55" s="106">
        <v>35</v>
      </c>
      <c r="F55" s="40">
        <f>_xlfn.XLOOKUP(TB_Entradas[[#This Row],[Producto]],TB_Producto[Producto],TB_Producto[Costo Unitario],"Producto Incorrecto")</f>
        <v>4.5</v>
      </c>
      <c r="G55" s="40">
        <f>IFERROR(TB_Entradas[[#This Row],[Cantidad Comprada]]*TB_Entradas[[#This Row],[Costo Unitario]],"Producto Incorrecto")</f>
        <v>157.5</v>
      </c>
    </row>
    <row r="56" spans="2:7" ht="18" x14ac:dyDescent="0.35">
      <c r="B56" s="105">
        <v>44888</v>
      </c>
      <c r="C56" s="103" t="s">
        <v>32</v>
      </c>
      <c r="D56" s="104" t="s">
        <v>4</v>
      </c>
      <c r="E56" s="106">
        <v>15</v>
      </c>
      <c r="F56" s="40">
        <f>_xlfn.XLOOKUP(TB_Entradas[[#This Row],[Producto]],TB_Producto[Producto],TB_Producto[Costo Unitario],"Producto Incorrecto")</f>
        <v>2.25</v>
      </c>
      <c r="G56" s="40">
        <f>IFERROR(TB_Entradas[[#This Row],[Cantidad Comprada]]*TB_Entradas[[#This Row],[Costo Unitario]],"Producto Incorrecto")</f>
        <v>33.75</v>
      </c>
    </row>
    <row r="57" spans="2:7" ht="18" x14ac:dyDescent="0.35">
      <c r="B57" s="105">
        <v>44895</v>
      </c>
      <c r="C57" s="103" t="s">
        <v>20</v>
      </c>
      <c r="D57" s="104" t="s">
        <v>4</v>
      </c>
      <c r="E57" s="106">
        <v>25</v>
      </c>
      <c r="F57" s="40">
        <f>_xlfn.XLOOKUP(TB_Entradas[[#This Row],[Producto]],TB_Producto[Producto],TB_Producto[Costo Unitario],"Producto Incorrecto")</f>
        <v>1.5</v>
      </c>
      <c r="G57" s="40">
        <f>IFERROR(TB_Entradas[[#This Row],[Cantidad Comprada]]*TB_Entradas[[#This Row],[Costo Unitario]],"Producto Incorrecto")</f>
        <v>37.5</v>
      </c>
    </row>
    <row r="58" spans="2:7" ht="18" x14ac:dyDescent="0.35">
      <c r="B58" s="105">
        <v>44907</v>
      </c>
      <c r="C58" s="103" t="s">
        <v>5</v>
      </c>
      <c r="D58" s="104" t="s">
        <v>0</v>
      </c>
      <c r="E58" s="106">
        <v>165</v>
      </c>
      <c r="F58" s="40">
        <f>_xlfn.XLOOKUP(TB_Entradas[[#This Row],[Producto]],TB_Producto[Producto],TB_Producto[Costo Unitario],"Producto Incorrecto")</f>
        <v>3</v>
      </c>
      <c r="G58" s="40">
        <f>IFERROR(TB_Entradas[[#This Row],[Cantidad Comprada]]*TB_Entradas[[#This Row],[Costo Unitario]],"Producto Incorrecto")</f>
        <v>495</v>
      </c>
    </row>
    <row r="59" spans="2:7" ht="18" x14ac:dyDescent="0.35">
      <c r="B59" s="105">
        <v>44910</v>
      </c>
      <c r="C59" s="103" t="s">
        <v>18</v>
      </c>
      <c r="D59" s="104" t="s">
        <v>0</v>
      </c>
      <c r="E59" s="106">
        <v>35</v>
      </c>
      <c r="F59" s="40">
        <f>_xlfn.XLOOKUP(TB_Entradas[[#This Row],[Producto]],TB_Producto[Producto],TB_Producto[Costo Unitario],"Producto Incorrecto")</f>
        <v>4.5</v>
      </c>
      <c r="G59" s="40">
        <f>IFERROR(TB_Entradas[[#This Row],[Cantidad Comprada]]*TB_Entradas[[#This Row],[Costo Unitario]],"Producto Incorrecto")</f>
        <v>157.5</v>
      </c>
    </row>
  </sheetData>
  <dataValidations count="2">
    <dataValidation type="list" allowBlank="1" showInputMessage="1" showErrorMessage="1" sqref="C6:C59" xr:uid="{3591EBEC-F6F8-4135-8EBE-CA57855A7A9F}">
      <formula1>Lista_Productos</formula1>
    </dataValidation>
    <dataValidation type="list" allowBlank="1" showInputMessage="1" showErrorMessage="1" sqref="D6:D59" xr:uid="{7CA860D1-E7FE-42B4-91E5-BC4650D1B4E3}">
      <formula1>Lista_Proveedores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F61"/>
  <sheetViews>
    <sheetView showGridLines="0" tabSelected="1" zoomScale="140" zoomScaleNormal="140" workbookViewId="0">
      <selection activeCell="E60" sqref="E60"/>
    </sheetView>
  </sheetViews>
  <sheetFormatPr defaultColWidth="9.140625" defaultRowHeight="15" x14ac:dyDescent="0.25"/>
  <cols>
    <col min="1" max="1" width="5.28515625" customWidth="1"/>
    <col min="2" max="2" width="15.28515625" customWidth="1"/>
    <col min="3" max="3" width="20.85546875" customWidth="1"/>
    <col min="4" max="4" width="20.7109375" bestFit="1" customWidth="1"/>
    <col min="5" max="6" width="18.5703125" customWidth="1"/>
  </cols>
  <sheetData>
    <row r="1" spans="2:6" s="5" customFormat="1" ht="60" customHeight="1" x14ac:dyDescent="0.25">
      <c r="E1" s="6" t="s">
        <v>63</v>
      </c>
      <c r="F1" s="7"/>
    </row>
    <row r="2" spans="2:6" s="8" customFormat="1" ht="6" customHeight="1" x14ac:dyDescent="0.25">
      <c r="F2" s="9"/>
    </row>
    <row r="4" spans="2:6" ht="15.75" thickBot="1" x14ac:dyDescent="0.3">
      <c r="B4" s="41" t="s">
        <v>61</v>
      </c>
      <c r="C4" s="41" t="s">
        <v>2</v>
      </c>
      <c r="D4" s="42" t="s">
        <v>64</v>
      </c>
      <c r="E4" s="35" t="s">
        <v>37</v>
      </c>
      <c r="F4" s="35" t="s">
        <v>65</v>
      </c>
    </row>
    <row r="5" spans="2:6" ht="18" x14ac:dyDescent="0.35">
      <c r="B5" s="3">
        <v>44566</v>
      </c>
      <c r="C5" s="43" t="s">
        <v>20</v>
      </c>
      <c r="D5" s="44">
        <v>47</v>
      </c>
      <c r="E5" s="45">
        <f>_xlfn.XLOOKUP(TB_Salidas[[#This Row],[Producto]],TB_Producto[Producto],TB_Producto[Precio Unitario],"Producto Incorrecto")</f>
        <v>3.5</v>
      </c>
      <c r="F5" s="40">
        <f>TB_Salidas[[#This Row],[Cantidad Vendida]]*TB_Salidas[[#This Row],[Precio Unitario]]</f>
        <v>164.5</v>
      </c>
    </row>
    <row r="6" spans="2:6" ht="18" x14ac:dyDescent="0.35">
      <c r="B6" s="3">
        <v>44567</v>
      </c>
      <c r="C6" s="43" t="s">
        <v>5</v>
      </c>
      <c r="D6" s="44">
        <v>100</v>
      </c>
      <c r="E6" s="45">
        <f>_xlfn.XLOOKUP(TB_Salidas[[#This Row],[Producto]],TB_Producto[Producto],TB_Producto[Precio Unitario],"Producto Incorrecto")</f>
        <v>5</v>
      </c>
      <c r="F6" s="40">
        <f>TB_Salidas[[#This Row],[Cantidad Vendida]]*TB_Salidas[[#This Row],[Precio Unitario]]</f>
        <v>500</v>
      </c>
    </row>
    <row r="7" spans="2:6" ht="18" x14ac:dyDescent="0.35">
      <c r="B7" s="3">
        <v>44581</v>
      </c>
      <c r="C7" s="43" t="s">
        <v>32</v>
      </c>
      <c r="D7" s="44">
        <v>50</v>
      </c>
      <c r="E7" s="45">
        <f>_xlfn.XLOOKUP(TB_Salidas[[#This Row],[Producto]],TB_Producto[Producto],TB_Producto[Precio Unitario],"Producto Incorrecto")</f>
        <v>3</v>
      </c>
      <c r="F7" s="40">
        <f>TB_Salidas[[#This Row],[Cantidad Vendida]]*TB_Salidas[[#This Row],[Precio Unitario]]</f>
        <v>150</v>
      </c>
    </row>
    <row r="8" spans="2:6" ht="18" x14ac:dyDescent="0.35">
      <c r="B8" s="3">
        <v>44586</v>
      </c>
      <c r="C8" s="43" t="s">
        <v>18</v>
      </c>
      <c r="D8" s="44">
        <v>52</v>
      </c>
      <c r="E8" s="45">
        <f>_xlfn.XLOOKUP(TB_Salidas[[#This Row],[Producto]],TB_Producto[Producto],TB_Producto[Precio Unitario],"Producto Incorrecto")</f>
        <v>7</v>
      </c>
      <c r="F8" s="40">
        <f>TB_Salidas[[#This Row],[Cantidad Vendida]]*TB_Salidas[[#This Row],[Precio Unitario]]</f>
        <v>364</v>
      </c>
    </row>
    <row r="9" spans="2:6" ht="18" x14ac:dyDescent="0.35">
      <c r="B9" s="3">
        <v>44597</v>
      </c>
      <c r="C9" s="43" t="s">
        <v>32</v>
      </c>
      <c r="D9" s="44">
        <v>50</v>
      </c>
      <c r="E9" s="45">
        <f>_xlfn.XLOOKUP(TB_Salidas[[#This Row],[Producto]],TB_Producto[Producto],TB_Producto[Precio Unitario],"Producto Incorrecto")</f>
        <v>3</v>
      </c>
      <c r="F9" s="40">
        <f>TB_Salidas[[#This Row],[Cantidad Vendida]]*TB_Salidas[[#This Row],[Precio Unitario]]</f>
        <v>150</v>
      </c>
    </row>
    <row r="10" spans="2:6" ht="18" x14ac:dyDescent="0.35">
      <c r="B10" s="3">
        <v>44598</v>
      </c>
      <c r="C10" s="43" t="s">
        <v>5</v>
      </c>
      <c r="D10" s="44">
        <v>120</v>
      </c>
      <c r="E10" s="45">
        <f>_xlfn.XLOOKUP(TB_Salidas[[#This Row],[Producto]],TB_Producto[Producto],TB_Producto[Precio Unitario],"Producto Incorrecto")</f>
        <v>5</v>
      </c>
      <c r="F10" s="40">
        <f>TB_Salidas[[#This Row],[Cantidad Vendida]]*TB_Salidas[[#This Row],[Precio Unitario]]</f>
        <v>600</v>
      </c>
    </row>
    <row r="11" spans="2:6" ht="18" x14ac:dyDescent="0.35">
      <c r="B11" s="3">
        <v>44602</v>
      </c>
      <c r="C11" s="43" t="s">
        <v>18</v>
      </c>
      <c r="D11" s="44">
        <v>75</v>
      </c>
      <c r="E11" s="45">
        <f>_xlfn.XLOOKUP(TB_Salidas[[#This Row],[Producto]],TB_Producto[Producto],TB_Producto[Precio Unitario],"Producto Incorrecto")</f>
        <v>7</v>
      </c>
      <c r="F11" s="40">
        <f>TB_Salidas[[#This Row],[Cantidad Vendida]]*TB_Salidas[[#This Row],[Precio Unitario]]</f>
        <v>525</v>
      </c>
    </row>
    <row r="12" spans="2:6" ht="18" x14ac:dyDescent="0.35">
      <c r="B12" s="3">
        <v>44620</v>
      </c>
      <c r="C12" s="43" t="s">
        <v>20</v>
      </c>
      <c r="D12" s="44">
        <v>50</v>
      </c>
      <c r="E12" s="45">
        <f>_xlfn.XLOOKUP(TB_Salidas[[#This Row],[Producto]],TB_Producto[Producto],TB_Producto[Precio Unitario],"Producto Incorrecto")</f>
        <v>3.5</v>
      </c>
      <c r="F12" s="40">
        <f>TB_Salidas[[#This Row],[Cantidad Vendida]]*TB_Salidas[[#This Row],[Precio Unitario]]</f>
        <v>175</v>
      </c>
    </row>
    <row r="13" spans="2:6" ht="18" x14ac:dyDescent="0.35">
      <c r="B13" s="3">
        <v>44626</v>
      </c>
      <c r="C13" s="43" t="s">
        <v>27</v>
      </c>
      <c r="D13" s="44">
        <v>110</v>
      </c>
      <c r="E13" s="45">
        <f>_xlfn.XLOOKUP(TB_Salidas[[#This Row],[Producto]],TB_Producto[Producto],TB_Producto[Precio Unitario],"Producto Incorrecto")</f>
        <v>1</v>
      </c>
      <c r="F13" s="40">
        <f>TB_Salidas[[#This Row],[Cantidad Vendida]]*TB_Salidas[[#This Row],[Precio Unitario]]</f>
        <v>110</v>
      </c>
    </row>
    <row r="14" spans="2:6" ht="18" x14ac:dyDescent="0.35">
      <c r="B14" s="3">
        <v>44631</v>
      </c>
      <c r="C14" s="43" t="s">
        <v>32</v>
      </c>
      <c r="D14" s="44">
        <v>42</v>
      </c>
      <c r="E14" s="45">
        <f>_xlfn.XLOOKUP(TB_Salidas[[#This Row],[Producto]],TB_Producto[Producto],TB_Producto[Precio Unitario],"Producto Incorrecto")</f>
        <v>3</v>
      </c>
      <c r="F14" s="40">
        <f>TB_Salidas[[#This Row],[Cantidad Vendida]]*TB_Salidas[[#This Row],[Precio Unitario]]</f>
        <v>126</v>
      </c>
    </row>
    <row r="15" spans="2:6" ht="18" x14ac:dyDescent="0.35">
      <c r="B15" s="3">
        <v>44646</v>
      </c>
      <c r="C15" s="43" t="s">
        <v>18</v>
      </c>
      <c r="D15" s="44">
        <v>50</v>
      </c>
      <c r="E15" s="45">
        <f>_xlfn.XLOOKUP(TB_Salidas[[#This Row],[Producto]],TB_Producto[Producto],TB_Producto[Precio Unitario],"Producto Incorrecto")</f>
        <v>7</v>
      </c>
      <c r="F15" s="40">
        <f>TB_Salidas[[#This Row],[Cantidad Vendida]]*TB_Salidas[[#This Row],[Precio Unitario]]</f>
        <v>350</v>
      </c>
    </row>
    <row r="16" spans="2:6" ht="18" x14ac:dyDescent="0.35">
      <c r="B16" s="3">
        <v>44649</v>
      </c>
      <c r="C16" s="43" t="s">
        <v>20</v>
      </c>
      <c r="D16" s="44">
        <v>25</v>
      </c>
      <c r="E16" s="45">
        <f>_xlfn.XLOOKUP(TB_Salidas[[#This Row],[Producto]],TB_Producto[Producto],TB_Producto[Precio Unitario],"Producto Incorrecto")</f>
        <v>3.5</v>
      </c>
      <c r="F16" s="40">
        <f>TB_Salidas[[#This Row],[Cantidad Vendida]]*TB_Salidas[[#This Row],[Precio Unitario]]</f>
        <v>87.5</v>
      </c>
    </row>
    <row r="17" spans="2:6" ht="18" x14ac:dyDescent="0.35">
      <c r="B17" s="3">
        <v>44630</v>
      </c>
      <c r="C17" s="43" t="s">
        <v>5</v>
      </c>
      <c r="D17" s="44">
        <v>110</v>
      </c>
      <c r="E17" s="45">
        <f>_xlfn.XLOOKUP(TB_Salidas[[#This Row],[Producto]],TB_Producto[Producto],TB_Producto[Precio Unitario],"Producto Incorrecto")</f>
        <v>5</v>
      </c>
      <c r="F17" s="40">
        <f>TB_Salidas[[#This Row],[Cantidad Vendida]]*TB_Salidas[[#This Row],[Precio Unitario]]</f>
        <v>550</v>
      </c>
    </row>
    <row r="18" spans="2:6" ht="18" x14ac:dyDescent="0.35">
      <c r="B18" s="3">
        <v>44659</v>
      </c>
      <c r="C18" s="43" t="s">
        <v>20</v>
      </c>
      <c r="D18" s="44">
        <v>40</v>
      </c>
      <c r="E18" s="45">
        <f>_xlfn.XLOOKUP(TB_Salidas[[#This Row],[Producto]],TB_Producto[Producto],TB_Producto[Precio Unitario],"Producto Incorrecto")</f>
        <v>3.5</v>
      </c>
      <c r="F18" s="40">
        <f>TB_Salidas[[#This Row],[Cantidad Vendida]]*TB_Salidas[[#This Row],[Precio Unitario]]</f>
        <v>140</v>
      </c>
    </row>
    <row r="19" spans="2:6" ht="18" x14ac:dyDescent="0.35">
      <c r="B19" s="3">
        <v>44663</v>
      </c>
      <c r="C19" s="43" t="s">
        <v>5</v>
      </c>
      <c r="D19" s="44">
        <v>75</v>
      </c>
      <c r="E19" s="45">
        <f>_xlfn.XLOOKUP(TB_Salidas[[#This Row],[Producto]],TB_Producto[Producto],TB_Producto[Precio Unitario],"Producto Incorrecto")</f>
        <v>5</v>
      </c>
      <c r="F19" s="40">
        <f>TB_Salidas[[#This Row],[Cantidad Vendida]]*TB_Salidas[[#This Row],[Precio Unitario]]</f>
        <v>375</v>
      </c>
    </row>
    <row r="20" spans="2:6" ht="18" x14ac:dyDescent="0.35">
      <c r="B20" s="3">
        <v>44667</v>
      </c>
      <c r="C20" s="43" t="s">
        <v>29</v>
      </c>
      <c r="D20" s="44">
        <v>30</v>
      </c>
      <c r="E20" s="45">
        <f>_xlfn.XLOOKUP(TB_Salidas[[#This Row],[Producto]],TB_Producto[Producto],TB_Producto[Precio Unitario],"Producto Incorrecto")</f>
        <v>2.25</v>
      </c>
      <c r="F20" s="40">
        <f>TB_Salidas[[#This Row],[Cantidad Vendida]]*TB_Salidas[[#This Row],[Precio Unitario]]</f>
        <v>67.5</v>
      </c>
    </row>
    <row r="21" spans="2:6" ht="18" x14ac:dyDescent="0.35">
      <c r="B21" s="3">
        <v>44671</v>
      </c>
      <c r="C21" s="43" t="s">
        <v>32</v>
      </c>
      <c r="D21" s="44">
        <v>45</v>
      </c>
      <c r="E21" s="45">
        <f>_xlfn.XLOOKUP(TB_Salidas[[#This Row],[Producto]],TB_Producto[Producto],TB_Producto[Precio Unitario],"Producto Incorrecto")</f>
        <v>3</v>
      </c>
      <c r="F21" s="40">
        <f>TB_Salidas[[#This Row],[Cantidad Vendida]]*TB_Salidas[[#This Row],[Precio Unitario]]</f>
        <v>135</v>
      </c>
    </row>
    <row r="22" spans="2:6" ht="18" x14ac:dyDescent="0.35">
      <c r="B22" s="3">
        <v>44681</v>
      </c>
      <c r="C22" s="43" t="s">
        <v>18</v>
      </c>
      <c r="D22" s="44">
        <v>35</v>
      </c>
      <c r="E22" s="45">
        <f>_xlfn.XLOOKUP(TB_Salidas[[#This Row],[Producto]],TB_Producto[Producto],TB_Producto[Precio Unitario],"Producto Incorrecto")</f>
        <v>7</v>
      </c>
      <c r="F22" s="40">
        <f>TB_Salidas[[#This Row],[Cantidad Vendida]]*TB_Salidas[[#This Row],[Precio Unitario]]</f>
        <v>245</v>
      </c>
    </row>
    <row r="23" spans="2:6" ht="18" x14ac:dyDescent="0.35">
      <c r="B23" s="3">
        <v>44691</v>
      </c>
      <c r="C23" s="43" t="s">
        <v>32</v>
      </c>
      <c r="D23" s="44">
        <v>35</v>
      </c>
      <c r="E23" s="45">
        <f>_xlfn.XLOOKUP(TB_Salidas[[#This Row],[Producto]],TB_Producto[Producto],TB_Producto[Precio Unitario],"Producto Incorrecto")</f>
        <v>3</v>
      </c>
      <c r="F23" s="40">
        <f>TB_Salidas[[#This Row],[Cantidad Vendida]]*TB_Salidas[[#This Row],[Precio Unitario]]</f>
        <v>105</v>
      </c>
    </row>
    <row r="24" spans="2:6" ht="18" x14ac:dyDescent="0.35">
      <c r="B24" s="3">
        <v>44692</v>
      </c>
      <c r="C24" s="43" t="s">
        <v>31</v>
      </c>
      <c r="D24" s="44">
        <v>35</v>
      </c>
      <c r="E24" s="45">
        <f>_xlfn.XLOOKUP(TB_Salidas[[#This Row],[Producto]],TB_Producto[Producto],TB_Producto[Precio Unitario],"Producto Incorrecto")</f>
        <v>5</v>
      </c>
      <c r="F24" s="40">
        <f>TB_Salidas[[#This Row],[Cantidad Vendida]]*TB_Salidas[[#This Row],[Precio Unitario]]</f>
        <v>175</v>
      </c>
    </row>
    <row r="25" spans="2:6" ht="18" x14ac:dyDescent="0.35">
      <c r="B25" s="3">
        <v>44692</v>
      </c>
      <c r="C25" s="43" t="s">
        <v>5</v>
      </c>
      <c r="D25" s="44">
        <v>75</v>
      </c>
      <c r="E25" s="45">
        <f>_xlfn.XLOOKUP(TB_Salidas[[#This Row],[Producto]],TB_Producto[Producto],TB_Producto[Precio Unitario],"Producto Incorrecto")</f>
        <v>5</v>
      </c>
      <c r="F25" s="40">
        <f>TB_Salidas[[#This Row],[Cantidad Vendida]]*TB_Salidas[[#This Row],[Precio Unitario]]</f>
        <v>375</v>
      </c>
    </row>
    <row r="26" spans="2:6" ht="18" x14ac:dyDescent="0.35">
      <c r="B26" s="3">
        <v>44700</v>
      </c>
      <c r="C26" s="43" t="s">
        <v>18</v>
      </c>
      <c r="D26" s="44">
        <v>27</v>
      </c>
      <c r="E26" s="45">
        <f>_xlfn.XLOOKUP(TB_Salidas[[#This Row],[Producto]],TB_Producto[Producto],TB_Producto[Precio Unitario],"Producto Incorrecto")</f>
        <v>7</v>
      </c>
      <c r="F26" s="40">
        <f>TB_Salidas[[#This Row],[Cantidad Vendida]]*TB_Salidas[[#This Row],[Precio Unitario]]</f>
        <v>189</v>
      </c>
    </row>
    <row r="27" spans="2:6" ht="18" x14ac:dyDescent="0.35">
      <c r="B27" s="3">
        <v>44700</v>
      </c>
      <c r="C27" s="43" t="s">
        <v>20</v>
      </c>
      <c r="D27" s="44">
        <v>33</v>
      </c>
      <c r="E27" s="45">
        <f>_xlfn.XLOOKUP(TB_Salidas[[#This Row],[Producto]],TB_Producto[Producto],TB_Producto[Precio Unitario],"Producto Incorrecto")</f>
        <v>3.5</v>
      </c>
      <c r="F27" s="40">
        <f>TB_Salidas[[#This Row],[Cantidad Vendida]]*TB_Salidas[[#This Row],[Precio Unitario]]</f>
        <v>115.5</v>
      </c>
    </row>
    <row r="28" spans="2:6" ht="18" x14ac:dyDescent="0.35">
      <c r="B28" s="3">
        <v>44737</v>
      </c>
      <c r="C28" s="43" t="s">
        <v>18</v>
      </c>
      <c r="D28" s="44">
        <v>37</v>
      </c>
      <c r="E28" s="45">
        <f>_xlfn.XLOOKUP(TB_Salidas[[#This Row],[Producto]],TB_Producto[Producto],TB_Producto[Precio Unitario],"Producto Incorrecto")</f>
        <v>7</v>
      </c>
      <c r="F28" s="40">
        <f>TB_Salidas[[#This Row],[Cantidad Vendida]]*TB_Salidas[[#This Row],[Precio Unitario]]</f>
        <v>259</v>
      </c>
    </row>
    <row r="29" spans="2:6" ht="18" x14ac:dyDescent="0.35">
      <c r="B29" s="3">
        <v>44738</v>
      </c>
      <c r="C29" s="43" t="s">
        <v>5</v>
      </c>
      <c r="D29" s="44">
        <v>110</v>
      </c>
      <c r="E29" s="45">
        <f>_xlfn.XLOOKUP(TB_Salidas[[#This Row],[Producto]],TB_Producto[Producto],TB_Producto[Precio Unitario],"Producto Incorrecto")</f>
        <v>5</v>
      </c>
      <c r="F29" s="40">
        <f>TB_Salidas[[#This Row],[Cantidad Vendida]]*TB_Salidas[[#This Row],[Precio Unitario]]</f>
        <v>550</v>
      </c>
    </row>
    <row r="30" spans="2:6" ht="18" x14ac:dyDescent="0.35">
      <c r="B30" s="3">
        <v>44738</v>
      </c>
      <c r="C30" s="43" t="s">
        <v>32</v>
      </c>
      <c r="D30" s="44">
        <v>25</v>
      </c>
      <c r="E30" s="45">
        <f>_xlfn.XLOOKUP(TB_Salidas[[#This Row],[Producto]],TB_Producto[Producto],TB_Producto[Precio Unitario],"Producto Incorrecto")</f>
        <v>3</v>
      </c>
      <c r="F30" s="40">
        <f>TB_Salidas[[#This Row],[Cantidad Vendida]]*TB_Salidas[[#This Row],[Precio Unitario]]</f>
        <v>75</v>
      </c>
    </row>
    <row r="31" spans="2:6" ht="18" x14ac:dyDescent="0.35">
      <c r="B31" s="3">
        <v>44739</v>
      </c>
      <c r="C31" s="43" t="s">
        <v>20</v>
      </c>
      <c r="D31" s="44">
        <v>25</v>
      </c>
      <c r="E31" s="45">
        <f>_xlfn.XLOOKUP(TB_Salidas[[#This Row],[Producto]],TB_Producto[Producto],TB_Producto[Precio Unitario],"Producto Incorrecto")</f>
        <v>3.5</v>
      </c>
      <c r="F31" s="40">
        <f>TB_Salidas[[#This Row],[Cantidad Vendida]]*TB_Salidas[[#This Row],[Precio Unitario]]</f>
        <v>87.5</v>
      </c>
    </row>
    <row r="32" spans="2:6" ht="18" x14ac:dyDescent="0.35">
      <c r="B32" s="3">
        <v>44749</v>
      </c>
      <c r="C32" s="43" t="s">
        <v>26</v>
      </c>
      <c r="D32" s="44">
        <v>42</v>
      </c>
      <c r="E32" s="45">
        <f>_xlfn.XLOOKUP(TB_Salidas[[#This Row],[Producto]],TB_Producto[Producto],TB_Producto[Precio Unitario],"Producto Incorrecto")</f>
        <v>3</v>
      </c>
      <c r="F32" s="40">
        <f>TB_Salidas[[#This Row],[Cantidad Vendida]]*TB_Salidas[[#This Row],[Precio Unitario]]</f>
        <v>126</v>
      </c>
    </row>
    <row r="33" spans="2:6" ht="18" x14ac:dyDescent="0.35">
      <c r="B33" s="108">
        <v>44749</v>
      </c>
      <c r="C33" s="101" t="s">
        <v>5</v>
      </c>
      <c r="D33" s="102">
        <v>92</v>
      </c>
      <c r="E33" s="40">
        <f>_xlfn.XLOOKUP(TB_Salidas[[#This Row],[Producto]],TB_Producto[Producto],TB_Producto[Precio Unitario],"Producto Incorrecto")</f>
        <v>5</v>
      </c>
      <c r="F33" s="40">
        <f>TB_Salidas[[#This Row],[Cantidad Vendida]]*TB_Salidas[[#This Row],[Precio Unitario]]</f>
        <v>460</v>
      </c>
    </row>
    <row r="34" spans="2:6" ht="18" x14ac:dyDescent="0.35">
      <c r="B34" s="108">
        <v>44758</v>
      </c>
      <c r="C34" s="101" t="s">
        <v>20</v>
      </c>
      <c r="D34" s="102">
        <v>37</v>
      </c>
      <c r="E34" s="40">
        <f>_xlfn.XLOOKUP(TB_Salidas[[#This Row],[Producto]],TB_Producto[Producto],TB_Producto[Precio Unitario],"Producto Incorrecto")</f>
        <v>3.5</v>
      </c>
      <c r="F34" s="40">
        <f>TB_Salidas[[#This Row],[Cantidad Vendida]]*TB_Salidas[[#This Row],[Precio Unitario]]</f>
        <v>129.5</v>
      </c>
    </row>
    <row r="35" spans="2:6" ht="18" x14ac:dyDescent="0.35">
      <c r="B35" s="108">
        <v>44765</v>
      </c>
      <c r="C35" s="101" t="s">
        <v>18</v>
      </c>
      <c r="D35" s="102">
        <v>75</v>
      </c>
      <c r="E35" s="40">
        <f>_xlfn.XLOOKUP(TB_Salidas[[#This Row],[Producto]],TB_Producto[Producto],TB_Producto[Precio Unitario],"Producto Incorrecto")</f>
        <v>7</v>
      </c>
      <c r="F35" s="40">
        <f>TB_Salidas[[#This Row],[Cantidad Vendida]]*TB_Salidas[[#This Row],[Precio Unitario]]</f>
        <v>525</v>
      </c>
    </row>
    <row r="36" spans="2:6" ht="18" x14ac:dyDescent="0.35">
      <c r="B36" s="108">
        <v>44772</v>
      </c>
      <c r="C36" s="101" t="s">
        <v>32</v>
      </c>
      <c r="D36" s="102">
        <v>55</v>
      </c>
      <c r="E36" s="40">
        <f>_xlfn.XLOOKUP(TB_Salidas[[#This Row],[Producto]],TB_Producto[Producto],TB_Producto[Precio Unitario],"Producto Incorrecto")</f>
        <v>3</v>
      </c>
      <c r="F36" s="40">
        <f>TB_Salidas[[#This Row],[Cantidad Vendida]]*TB_Salidas[[#This Row],[Precio Unitario]]</f>
        <v>165</v>
      </c>
    </row>
    <row r="37" spans="2:6" ht="18" x14ac:dyDescent="0.35">
      <c r="B37" s="108">
        <v>44792</v>
      </c>
      <c r="C37" s="101" t="s">
        <v>20</v>
      </c>
      <c r="D37" s="102">
        <v>17</v>
      </c>
      <c r="E37" s="40">
        <f>_xlfn.XLOOKUP(TB_Salidas[[#This Row],[Producto]],TB_Producto[Producto],TB_Producto[Precio Unitario],"Producto Incorrecto")</f>
        <v>3.5</v>
      </c>
      <c r="F37" s="40">
        <f>TB_Salidas[[#This Row],[Cantidad Vendida]]*TB_Salidas[[#This Row],[Precio Unitario]]</f>
        <v>59.5</v>
      </c>
    </row>
    <row r="38" spans="2:6" ht="18" x14ac:dyDescent="0.35">
      <c r="B38" s="108">
        <v>44794</v>
      </c>
      <c r="C38" s="101" t="s">
        <v>18</v>
      </c>
      <c r="D38" s="102">
        <v>36</v>
      </c>
      <c r="E38" s="40">
        <f>_xlfn.XLOOKUP(TB_Salidas[[#This Row],[Producto]],TB_Producto[Producto],TB_Producto[Precio Unitario],"Producto Incorrecto")</f>
        <v>7</v>
      </c>
      <c r="F38" s="40">
        <f>TB_Salidas[[#This Row],[Cantidad Vendida]]*TB_Salidas[[#This Row],[Precio Unitario]]</f>
        <v>252</v>
      </c>
    </row>
    <row r="39" spans="2:6" ht="18" x14ac:dyDescent="0.35">
      <c r="B39" s="108">
        <v>44803</v>
      </c>
      <c r="C39" s="101" t="s">
        <v>12</v>
      </c>
      <c r="D39" s="102">
        <v>92</v>
      </c>
      <c r="E39" s="40">
        <f>_xlfn.XLOOKUP(TB_Salidas[[#This Row],[Producto]],TB_Producto[Producto],TB_Producto[Precio Unitario],"Producto Incorrecto")</f>
        <v>2.75</v>
      </c>
      <c r="F39" s="40">
        <f>TB_Salidas[[#This Row],[Cantidad Vendida]]*TB_Salidas[[#This Row],[Precio Unitario]]</f>
        <v>253</v>
      </c>
    </row>
    <row r="40" spans="2:6" ht="18" x14ac:dyDescent="0.35">
      <c r="B40" s="108">
        <v>44803</v>
      </c>
      <c r="C40" s="101" t="s">
        <v>32</v>
      </c>
      <c r="D40" s="102">
        <v>27</v>
      </c>
      <c r="E40" s="40">
        <f>_xlfn.XLOOKUP(TB_Salidas[[#This Row],[Producto]],TB_Producto[Producto],TB_Producto[Precio Unitario],"Producto Incorrecto")</f>
        <v>3</v>
      </c>
      <c r="F40" s="40">
        <f>TB_Salidas[[#This Row],[Cantidad Vendida]]*TB_Salidas[[#This Row],[Precio Unitario]]</f>
        <v>81</v>
      </c>
    </row>
    <row r="41" spans="2:6" ht="18" x14ac:dyDescent="0.35">
      <c r="B41" s="108">
        <v>44803</v>
      </c>
      <c r="C41" s="101" t="s">
        <v>5</v>
      </c>
      <c r="D41" s="102">
        <v>100</v>
      </c>
      <c r="E41" s="40">
        <f>_xlfn.XLOOKUP(TB_Salidas[[#This Row],[Producto]],TB_Producto[Producto],TB_Producto[Precio Unitario],"Producto Incorrecto")</f>
        <v>5</v>
      </c>
      <c r="F41" s="40">
        <f>TB_Salidas[[#This Row],[Cantidad Vendida]]*TB_Salidas[[#This Row],[Precio Unitario]]</f>
        <v>500</v>
      </c>
    </row>
    <row r="42" spans="2:6" ht="18" x14ac:dyDescent="0.35">
      <c r="B42" s="108">
        <v>44811</v>
      </c>
      <c r="C42" s="101" t="s">
        <v>27</v>
      </c>
      <c r="D42" s="102">
        <v>100</v>
      </c>
      <c r="E42" s="40">
        <f>_xlfn.XLOOKUP(TB_Salidas[[#This Row],[Producto]],TB_Producto[Producto],TB_Producto[Precio Unitario],"Producto Incorrecto")</f>
        <v>1</v>
      </c>
      <c r="F42" s="40">
        <f>TB_Salidas[[#This Row],[Cantidad Vendida]]*TB_Salidas[[#This Row],[Precio Unitario]]</f>
        <v>100</v>
      </c>
    </row>
    <row r="43" spans="2:6" ht="18" x14ac:dyDescent="0.35">
      <c r="B43" s="108">
        <v>44811</v>
      </c>
      <c r="C43" s="101" t="s">
        <v>5</v>
      </c>
      <c r="D43" s="102">
        <v>35</v>
      </c>
      <c r="E43" s="40">
        <f>_xlfn.XLOOKUP(TB_Salidas[[#This Row],[Producto]],TB_Producto[Producto],TB_Producto[Precio Unitario],"Producto Incorrecto")</f>
        <v>5</v>
      </c>
      <c r="F43" s="40">
        <f>TB_Salidas[[#This Row],[Cantidad Vendida]]*TB_Salidas[[#This Row],[Precio Unitario]]</f>
        <v>175</v>
      </c>
    </row>
    <row r="44" spans="2:6" ht="18" x14ac:dyDescent="0.35">
      <c r="B44" s="108">
        <v>44821</v>
      </c>
      <c r="C44" s="101" t="s">
        <v>18</v>
      </c>
      <c r="D44" s="102">
        <v>42</v>
      </c>
      <c r="E44" s="40">
        <f>_xlfn.XLOOKUP(TB_Salidas[[#This Row],[Producto]],TB_Producto[Producto],TB_Producto[Precio Unitario],"Producto Incorrecto")</f>
        <v>7</v>
      </c>
      <c r="F44" s="40">
        <f>TB_Salidas[[#This Row],[Cantidad Vendida]]*TB_Salidas[[#This Row],[Precio Unitario]]</f>
        <v>294</v>
      </c>
    </row>
    <row r="45" spans="2:6" ht="18" x14ac:dyDescent="0.35">
      <c r="B45" s="108">
        <v>44823</v>
      </c>
      <c r="C45" s="101" t="s">
        <v>25</v>
      </c>
      <c r="D45" s="102">
        <v>32</v>
      </c>
      <c r="E45" s="40">
        <f>_xlfn.XLOOKUP(TB_Salidas[[#This Row],[Producto]],TB_Producto[Producto],TB_Producto[Precio Unitario],"Producto Incorrecto")</f>
        <v>7</v>
      </c>
      <c r="F45" s="40">
        <f>TB_Salidas[[#This Row],[Cantidad Vendida]]*TB_Salidas[[#This Row],[Precio Unitario]]</f>
        <v>224</v>
      </c>
    </row>
    <row r="46" spans="2:6" ht="18" x14ac:dyDescent="0.35">
      <c r="B46" s="108">
        <v>44829</v>
      </c>
      <c r="C46" s="101" t="s">
        <v>32</v>
      </c>
      <c r="D46" s="102">
        <v>48</v>
      </c>
      <c r="E46" s="40">
        <f>_xlfn.XLOOKUP(TB_Salidas[[#This Row],[Producto]],TB_Producto[Producto],TB_Producto[Precio Unitario],"Producto Incorrecto")</f>
        <v>3</v>
      </c>
      <c r="F46" s="40">
        <f>TB_Salidas[[#This Row],[Cantidad Vendida]]*TB_Salidas[[#This Row],[Precio Unitario]]</f>
        <v>144</v>
      </c>
    </row>
    <row r="47" spans="2:6" ht="18" x14ac:dyDescent="0.35">
      <c r="B47" s="108">
        <v>44834</v>
      </c>
      <c r="C47" s="101" t="s">
        <v>20</v>
      </c>
      <c r="D47" s="102">
        <v>30</v>
      </c>
      <c r="E47" s="40">
        <f>_xlfn.XLOOKUP(TB_Salidas[[#This Row],[Producto]],TB_Producto[Producto],TB_Producto[Precio Unitario],"Producto Incorrecto")</f>
        <v>3.5</v>
      </c>
      <c r="F47" s="40">
        <f>TB_Salidas[[#This Row],[Cantidad Vendida]]*TB_Salidas[[#This Row],[Precio Unitario]]</f>
        <v>105</v>
      </c>
    </row>
    <row r="48" spans="2:6" ht="18" x14ac:dyDescent="0.35">
      <c r="B48" s="108">
        <v>44838</v>
      </c>
      <c r="C48" s="101" t="s">
        <v>18</v>
      </c>
      <c r="D48" s="102">
        <v>34</v>
      </c>
      <c r="E48" s="40">
        <f>_xlfn.XLOOKUP(TB_Salidas[[#This Row],[Producto]],TB_Producto[Producto],TB_Producto[Precio Unitario],"Producto Incorrecto")</f>
        <v>7</v>
      </c>
      <c r="F48" s="40">
        <f>TB_Salidas[[#This Row],[Cantidad Vendida]]*TB_Salidas[[#This Row],[Precio Unitario]]</f>
        <v>238</v>
      </c>
    </row>
    <row r="49" spans="2:6" ht="18" x14ac:dyDescent="0.35">
      <c r="B49" s="108">
        <v>44847</v>
      </c>
      <c r="C49" s="101" t="s">
        <v>31</v>
      </c>
      <c r="D49" s="102">
        <v>30</v>
      </c>
      <c r="E49" s="40">
        <f>_xlfn.XLOOKUP(TB_Salidas[[#This Row],[Producto]],TB_Producto[Producto],TB_Producto[Precio Unitario],"Producto Incorrecto")</f>
        <v>5</v>
      </c>
      <c r="F49" s="40">
        <f>TB_Salidas[[#This Row],[Cantidad Vendida]]*TB_Salidas[[#This Row],[Precio Unitario]]</f>
        <v>150</v>
      </c>
    </row>
    <row r="50" spans="2:6" ht="18" x14ac:dyDescent="0.35">
      <c r="B50" s="108">
        <v>44851</v>
      </c>
      <c r="C50" s="101" t="s">
        <v>32</v>
      </c>
      <c r="D50" s="102">
        <v>30</v>
      </c>
      <c r="E50" s="40">
        <f>_xlfn.XLOOKUP(TB_Salidas[[#This Row],[Producto]],TB_Producto[Producto],TB_Producto[Precio Unitario],"Producto Incorrecto")</f>
        <v>3</v>
      </c>
      <c r="F50" s="40">
        <f>TB_Salidas[[#This Row],[Cantidad Vendida]]*TB_Salidas[[#This Row],[Precio Unitario]]</f>
        <v>90</v>
      </c>
    </row>
    <row r="51" spans="2:6" ht="18" x14ac:dyDescent="0.35">
      <c r="B51" s="108">
        <v>44862</v>
      </c>
      <c r="C51" s="101" t="s">
        <v>20</v>
      </c>
      <c r="D51" s="102">
        <v>15</v>
      </c>
      <c r="E51" s="40">
        <f>_xlfn.XLOOKUP(TB_Salidas[[#This Row],[Producto]],TB_Producto[Producto],TB_Producto[Precio Unitario],"Producto Incorrecto")</f>
        <v>3.5</v>
      </c>
      <c r="F51" s="40">
        <f>TB_Salidas[[#This Row],[Cantidad Vendida]]*TB_Salidas[[#This Row],[Precio Unitario]]</f>
        <v>52.5</v>
      </c>
    </row>
    <row r="52" spans="2:6" ht="18" x14ac:dyDescent="0.35">
      <c r="B52" s="108">
        <v>44865</v>
      </c>
      <c r="C52" s="101" t="s">
        <v>26</v>
      </c>
      <c r="D52" s="102">
        <v>35</v>
      </c>
      <c r="E52" s="40">
        <f>_xlfn.XLOOKUP(TB_Salidas[[#This Row],[Producto]],TB_Producto[Producto],TB_Producto[Precio Unitario],"Producto Incorrecto")</f>
        <v>3</v>
      </c>
      <c r="F52" s="40">
        <f>TB_Salidas[[#This Row],[Cantidad Vendida]]*TB_Salidas[[#This Row],[Precio Unitario]]</f>
        <v>105</v>
      </c>
    </row>
    <row r="53" spans="2:6" ht="18" x14ac:dyDescent="0.35">
      <c r="B53" s="108">
        <v>44865</v>
      </c>
      <c r="C53" s="101" t="s">
        <v>5</v>
      </c>
      <c r="D53" s="102">
        <v>30</v>
      </c>
      <c r="E53" s="40">
        <f>_xlfn.XLOOKUP(TB_Salidas[[#This Row],[Producto]],TB_Producto[Producto],TB_Producto[Precio Unitario],"Producto Incorrecto")</f>
        <v>5</v>
      </c>
      <c r="F53" s="40">
        <f>TB_Salidas[[#This Row],[Cantidad Vendida]]*TB_Salidas[[#This Row],[Precio Unitario]]</f>
        <v>150</v>
      </c>
    </row>
    <row r="54" spans="2:6" ht="18" x14ac:dyDescent="0.35">
      <c r="B54" s="108">
        <v>44869</v>
      </c>
      <c r="C54" s="101" t="s">
        <v>20</v>
      </c>
      <c r="D54" s="102">
        <v>30</v>
      </c>
      <c r="E54" s="40">
        <f>_xlfn.XLOOKUP(TB_Salidas[[#This Row],[Producto]],TB_Producto[Producto],TB_Producto[Precio Unitario],"Producto Incorrecto")</f>
        <v>3.5</v>
      </c>
      <c r="F54" s="40">
        <f>TB_Salidas[[#This Row],[Cantidad Vendida]]*TB_Salidas[[#This Row],[Precio Unitario]]</f>
        <v>105</v>
      </c>
    </row>
    <row r="55" spans="2:6" ht="18" x14ac:dyDescent="0.35">
      <c r="B55" s="108">
        <v>44870</v>
      </c>
      <c r="C55" s="101" t="s">
        <v>32</v>
      </c>
      <c r="D55" s="102">
        <v>15</v>
      </c>
      <c r="E55" s="40">
        <f>_xlfn.XLOOKUP(TB_Salidas[[#This Row],[Producto]],TB_Producto[Producto],TB_Producto[Precio Unitario],"Producto Incorrecto")</f>
        <v>3</v>
      </c>
      <c r="F55" s="40">
        <f>TB_Salidas[[#This Row],[Cantidad Vendida]]*TB_Salidas[[#This Row],[Precio Unitario]]</f>
        <v>45</v>
      </c>
    </row>
    <row r="56" spans="2:6" ht="18" x14ac:dyDescent="0.35">
      <c r="B56" s="108">
        <v>44872</v>
      </c>
      <c r="C56" s="101" t="s">
        <v>5</v>
      </c>
      <c r="D56" s="102">
        <v>50</v>
      </c>
      <c r="E56" s="40">
        <f>_xlfn.XLOOKUP(TB_Salidas[[#This Row],[Producto]],TB_Producto[Producto],TB_Producto[Precio Unitario],"Producto Incorrecto")</f>
        <v>5</v>
      </c>
      <c r="F56" s="40">
        <f>TB_Salidas[[#This Row],[Cantidad Vendida]]*TB_Salidas[[#This Row],[Precio Unitario]]</f>
        <v>250</v>
      </c>
    </row>
    <row r="57" spans="2:6" ht="18" x14ac:dyDescent="0.35">
      <c r="B57" s="108">
        <v>44886</v>
      </c>
      <c r="C57" s="101" t="s">
        <v>18</v>
      </c>
      <c r="D57" s="102">
        <v>24</v>
      </c>
      <c r="E57" s="40">
        <f>_xlfn.XLOOKUP(TB_Salidas[[#This Row],[Producto]],TB_Producto[Producto],TB_Producto[Precio Unitario],"Producto Incorrecto")</f>
        <v>7</v>
      </c>
      <c r="F57" s="40">
        <f>TB_Salidas[[#This Row],[Cantidad Vendida]]*TB_Salidas[[#This Row],[Precio Unitario]]</f>
        <v>168</v>
      </c>
    </row>
    <row r="58" spans="2:6" ht="18" x14ac:dyDescent="0.35">
      <c r="B58" s="108">
        <v>44897</v>
      </c>
      <c r="C58" s="101" t="s">
        <v>32</v>
      </c>
      <c r="D58" s="102">
        <v>28</v>
      </c>
      <c r="E58" s="40">
        <f>_xlfn.XLOOKUP(TB_Salidas[[#This Row],[Producto]],TB_Producto[Producto],TB_Producto[Precio Unitario],"Producto Incorrecto")</f>
        <v>3</v>
      </c>
      <c r="F58" s="40">
        <f>TB_Salidas[[#This Row],[Cantidad Vendida]]*TB_Salidas[[#This Row],[Precio Unitario]]</f>
        <v>84</v>
      </c>
    </row>
    <row r="59" spans="2:6" ht="18" x14ac:dyDescent="0.35">
      <c r="B59" s="108">
        <v>44905</v>
      </c>
      <c r="C59" s="101" t="s">
        <v>26</v>
      </c>
      <c r="D59" s="102">
        <v>25</v>
      </c>
      <c r="E59" s="40">
        <f>_xlfn.XLOOKUP(TB_Salidas[[#This Row],[Producto]],TB_Producto[Producto],TB_Producto[Precio Unitario],"Producto Incorrecto")</f>
        <v>3</v>
      </c>
      <c r="F59" s="40">
        <f>TB_Salidas[[#This Row],[Cantidad Vendida]]*TB_Salidas[[#This Row],[Precio Unitario]]</f>
        <v>75</v>
      </c>
    </row>
    <row r="60" spans="2:6" ht="18" x14ac:dyDescent="0.35">
      <c r="B60" s="108">
        <v>44915</v>
      </c>
      <c r="C60" s="101" t="s">
        <v>5</v>
      </c>
      <c r="D60" s="102">
        <v>100</v>
      </c>
      <c r="E60" s="40">
        <f>_xlfn.XLOOKUP(TB_Salidas[[#This Row],[Producto]],TB_Producto[Producto],TB_Producto[Precio Unitario],"Producto Incorrecto")</f>
        <v>5</v>
      </c>
      <c r="F60" s="40">
        <f>TB_Salidas[[#This Row],[Cantidad Vendida]]*TB_Salidas[[#This Row],[Precio Unitario]]</f>
        <v>500</v>
      </c>
    </row>
    <row r="61" spans="2:6" ht="18" x14ac:dyDescent="0.35">
      <c r="B61" s="108">
        <v>44917</v>
      </c>
      <c r="C61" s="101" t="s">
        <v>18</v>
      </c>
      <c r="D61" s="102">
        <v>23</v>
      </c>
      <c r="E61" s="40">
        <f>_xlfn.XLOOKUP(TB_Salidas[[#This Row],[Producto]],TB_Producto[Producto],TB_Producto[Precio Unitario],"Producto Incorrecto")</f>
        <v>7</v>
      </c>
      <c r="F61" s="40">
        <f>TB_Salidas[[#This Row],[Cantidad Vendida]]*TB_Salidas[[#This Row],[Precio Unitario]]</f>
        <v>161</v>
      </c>
    </row>
  </sheetData>
  <phoneticPr fontId="3" type="noConversion"/>
  <dataValidations count="1">
    <dataValidation type="list" allowBlank="1" showInputMessage="1" showErrorMessage="1" sqref="C5:C61" xr:uid="{A74964A8-91A9-45C8-9AC1-F74D15B74F40}">
      <formula1>Lista_Productos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A377-E484-4993-9A78-51A02F4E80EA}">
  <dimension ref="B1:J16"/>
  <sheetViews>
    <sheetView showGridLines="0" workbookViewId="0">
      <selection activeCell="L8" sqref="L8"/>
    </sheetView>
  </sheetViews>
  <sheetFormatPr defaultColWidth="9.140625" defaultRowHeight="15" x14ac:dyDescent="0.25"/>
  <cols>
    <col min="1" max="1" width="5.140625" customWidth="1"/>
    <col min="2" max="2" width="2.42578125" customWidth="1"/>
    <col min="3" max="3" width="1.7109375" customWidth="1"/>
    <col min="4" max="4" width="21.85546875" customWidth="1"/>
    <col min="5" max="5" width="0.85546875" customWidth="1"/>
    <col min="6" max="6" width="25.140625" bestFit="1" customWidth="1"/>
    <col min="7" max="7" width="3.28515625" customWidth="1"/>
  </cols>
  <sheetData>
    <row r="1" spans="2:10" s="5" customFormat="1" ht="60" customHeight="1" x14ac:dyDescent="0.25">
      <c r="E1" s="6"/>
      <c r="F1" s="7"/>
      <c r="G1" s="6" t="s">
        <v>71</v>
      </c>
    </row>
    <row r="2" spans="2:10" s="8" customFormat="1" ht="6" customHeight="1" x14ac:dyDescent="0.25">
      <c r="F2" s="9"/>
    </row>
    <row r="3" spans="2:10" x14ac:dyDescent="0.25">
      <c r="C3" s="61"/>
      <c r="F3" s="61"/>
    </row>
    <row r="4" spans="2:10" ht="9.75" customHeight="1" x14ac:dyDescent="0.35">
      <c r="C4" s="53"/>
      <c r="D4" s="60"/>
      <c r="E4" s="60"/>
      <c r="F4" s="60"/>
      <c r="G4" s="53"/>
    </row>
    <row r="5" spans="2:10" ht="27.75" customHeight="1" x14ac:dyDescent="0.35">
      <c r="B5" s="47"/>
      <c r="C5" s="53"/>
      <c r="D5" s="58" t="s">
        <v>61</v>
      </c>
      <c r="E5" s="59"/>
      <c r="F5" s="58" t="s">
        <v>2</v>
      </c>
      <c r="G5" s="53"/>
    </row>
    <row r="6" spans="2:10" s="52" customFormat="1" ht="27.75" customHeight="1" x14ac:dyDescent="0.35">
      <c r="B6" s="47"/>
      <c r="C6" s="53"/>
      <c r="D6" s="57" t="s">
        <v>70</v>
      </c>
      <c r="E6" s="53"/>
      <c r="F6" s="51" t="str">
        <f>"=Café"</f>
        <v>=Café</v>
      </c>
      <c r="G6" s="53"/>
      <c r="I6" s="56"/>
      <c r="J6" s="55"/>
    </row>
    <row r="7" spans="2:10" s="52" customFormat="1" ht="15" customHeight="1" x14ac:dyDescent="0.35">
      <c r="B7" s="47"/>
      <c r="C7" s="53"/>
      <c r="D7" s="54"/>
      <c r="E7" s="53"/>
      <c r="F7" s="54"/>
      <c r="G7" s="53"/>
    </row>
    <row r="8" spans="2:10" ht="27.75" customHeight="1" x14ac:dyDescent="0.25">
      <c r="B8" s="47"/>
      <c r="C8" s="48"/>
      <c r="D8" s="50" t="s">
        <v>64</v>
      </c>
      <c r="E8" s="50"/>
      <c r="F8" s="51">
        <f>DSUM(TB_Salidas[#All],Consulta!D8,Consulta!D5:F6)</f>
        <v>405</v>
      </c>
      <c r="G8" s="48" t="s">
        <v>69</v>
      </c>
    </row>
    <row r="9" spans="2:10" ht="15" customHeight="1" x14ac:dyDescent="0.25">
      <c r="B9" s="47"/>
      <c r="C9" s="48"/>
      <c r="D9" s="50"/>
      <c r="E9" s="50"/>
      <c r="F9" s="48"/>
      <c r="G9" s="48"/>
    </row>
    <row r="10" spans="2:10" ht="27.75" customHeight="1" x14ac:dyDescent="0.25">
      <c r="B10" s="47"/>
      <c r="C10" s="48"/>
      <c r="D10" s="50" t="s">
        <v>68</v>
      </c>
      <c r="E10" s="50"/>
      <c r="F10" s="51">
        <f>DSUM(TB_Entradas[#All],"Cantidad Comprada",Consulta!D5:F6)-F8</f>
        <v>5</v>
      </c>
      <c r="G10" s="48"/>
    </row>
    <row r="11" spans="2:10" ht="15" customHeight="1" x14ac:dyDescent="0.25">
      <c r="B11" s="47"/>
      <c r="C11" s="48"/>
      <c r="D11" s="50"/>
      <c r="E11" s="50"/>
      <c r="F11" s="50"/>
      <c r="G11" s="48"/>
    </row>
    <row r="12" spans="2:10" ht="27.75" customHeight="1" x14ac:dyDescent="0.25">
      <c r="B12" s="47"/>
      <c r="C12" s="48"/>
      <c r="D12" s="50" t="s">
        <v>67</v>
      </c>
      <c r="E12" s="50"/>
      <c r="F12" s="49">
        <f>DSUM(TB_Entradas[#All],Consulta!D12,Consulta!D5:F6)</f>
        <v>1230</v>
      </c>
      <c r="G12" s="48"/>
    </row>
    <row r="13" spans="2:10" ht="15" customHeight="1" x14ac:dyDescent="0.25">
      <c r="B13" s="47"/>
      <c r="C13" s="48"/>
      <c r="D13" s="50"/>
      <c r="E13" s="50"/>
      <c r="F13" s="48"/>
      <c r="G13" s="48"/>
    </row>
    <row r="14" spans="2:10" ht="27.75" customHeight="1" x14ac:dyDescent="0.25">
      <c r="B14" s="47"/>
      <c r="C14" s="48"/>
      <c r="D14" s="50" t="s">
        <v>65</v>
      </c>
      <c r="E14" s="50"/>
      <c r="F14" s="49">
        <f>DSUM(TB_Salidas[#All],Consulta!D14,Consulta!D5:F6)</f>
        <v>2025</v>
      </c>
      <c r="G14" s="48"/>
    </row>
    <row r="15" spans="2:10" ht="21.75" customHeight="1" x14ac:dyDescent="0.25">
      <c r="B15" s="47"/>
      <c r="C15" s="48"/>
      <c r="D15" s="48"/>
      <c r="E15" s="48"/>
      <c r="F15" s="48"/>
      <c r="G15" s="48"/>
    </row>
    <row r="16" spans="2:10" ht="12" customHeight="1" x14ac:dyDescent="0.25">
      <c r="B16" s="47"/>
      <c r="C16" s="47"/>
      <c r="D16" s="47"/>
      <c r="E16" s="47"/>
      <c r="F16" s="47"/>
      <c r="G16" s="4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E368-EC84-4B2E-9B37-359BF79BF9ED}">
  <dimension ref="B1:Q20"/>
  <sheetViews>
    <sheetView showGridLines="0" zoomScaleNormal="100" workbookViewId="0">
      <selection activeCell="N6" sqref="N6"/>
    </sheetView>
  </sheetViews>
  <sheetFormatPr defaultColWidth="9.140625" defaultRowHeight="15" x14ac:dyDescent="0.25"/>
  <cols>
    <col min="1" max="1" width="3.85546875" customWidth="1"/>
    <col min="2" max="2" width="18.5703125" customWidth="1"/>
    <col min="3" max="5" width="13.42578125" customWidth="1"/>
    <col min="6" max="6" width="14" customWidth="1"/>
    <col min="7" max="7" width="22.28515625" customWidth="1"/>
    <col min="8" max="8" width="24.5703125" bestFit="1" customWidth="1"/>
    <col min="9" max="9" width="13.42578125" customWidth="1"/>
    <col min="10" max="10" width="15.5703125" customWidth="1"/>
    <col min="11" max="13" width="2.28515625" customWidth="1"/>
    <col min="14" max="14" width="14.28515625" customWidth="1"/>
    <col min="15" max="15" width="2.28515625" customWidth="1"/>
    <col min="16" max="16" width="14.28515625" customWidth="1"/>
    <col min="17" max="17" width="2.28515625" customWidth="1"/>
  </cols>
  <sheetData>
    <row r="1" spans="2:17" s="5" customFormat="1" ht="60" customHeight="1" x14ac:dyDescent="0.25">
      <c r="E1" s="6"/>
      <c r="F1" s="7"/>
      <c r="G1" s="6" t="s">
        <v>72</v>
      </c>
    </row>
    <row r="2" spans="2:17" s="8" customFormat="1" ht="6" customHeight="1" x14ac:dyDescent="0.25">
      <c r="F2" s="9"/>
    </row>
    <row r="5" spans="2:17" s="63" customFormat="1" ht="36" x14ac:dyDescent="0.25">
      <c r="B5" s="62" t="s">
        <v>2</v>
      </c>
      <c r="C5" s="62" t="s">
        <v>73</v>
      </c>
      <c r="D5" s="62" t="s">
        <v>74</v>
      </c>
      <c r="E5" s="62" t="s">
        <v>68</v>
      </c>
      <c r="F5" s="62" t="s">
        <v>35</v>
      </c>
      <c r="G5" s="62" t="s">
        <v>75</v>
      </c>
      <c r="H5" s="62" t="s">
        <v>65</v>
      </c>
      <c r="I5" s="62" t="s">
        <v>76</v>
      </c>
      <c r="J5" s="62" t="s">
        <v>77</v>
      </c>
    </row>
    <row r="6" spans="2:17" ht="18" x14ac:dyDescent="0.35">
      <c r="B6" s="65" t="s">
        <v>27</v>
      </c>
      <c r="C6" s="66">
        <f>SUMIF(TB_Entradas[Producto],TB_ControlStock[[#This Row],[Producto]],TB_Entradas[Cantidad Comprada])</f>
        <v>300</v>
      </c>
      <c r="D6" s="66">
        <f>SUMIF(TB_Salidas[Producto],TB_ControlStock[[#This Row],[Producto]],TB_Salidas[Cantidad Vendida])</f>
        <v>210</v>
      </c>
      <c r="E6" s="66">
        <f>TB_ControlStock[[#This Row],[Entradas]]-TB_ControlStock[[#This Row],[Salidas]]</f>
        <v>90</v>
      </c>
      <c r="F6" s="66">
        <f>_xlfn.XLOOKUP(TB_ControlStock[[#This Row],[Producto]],TB_Producto[Producto],TB_Producto[Stock Mínimo],"No Encontrado")</f>
        <v>30</v>
      </c>
      <c r="G6" s="65" t="str" cm="1">
        <f t="array" ref="G6">_xlfn.IFS(TB_ControlStock[[#This Row],[Cantidad en Stock]]&gt;TB_ControlStock[[#This Row],[Stock Mínimo]],"Stock OK",TB_ControlStock[[#This Row],[Cantidad en Stock]]=0,"Stock Agotado",TRUE,"Stock Bajo")</f>
        <v>Stock OK</v>
      </c>
      <c r="H6" s="67">
        <f>SUMIFS(TB_Salidas[Valor de Venta],TB_Salidas[Producto],TB_ControlStock[[#This Row],[Producto]])</f>
        <v>210</v>
      </c>
      <c r="I6" s="68">
        <f>SUMIFS(TB_Entradas[Valor de Compra],TB_Entradas[Producto],TB_ControlStock[[#This Row],[Producto]])</f>
        <v>150</v>
      </c>
      <c r="J6" s="68">
        <f>TB_ControlStock[[#This Row],[Valor de Venta]]-TB_ControlStock[[#This Row],[Costo Total]]</f>
        <v>60</v>
      </c>
      <c r="M6" s="60"/>
      <c r="N6" s="60"/>
      <c r="O6" s="60"/>
      <c r="P6" s="60"/>
      <c r="Q6" s="60"/>
    </row>
    <row r="7" spans="2:17" ht="18" customHeight="1" x14ac:dyDescent="0.35">
      <c r="B7" s="65" t="s">
        <v>22</v>
      </c>
      <c r="C7" s="66">
        <f>SUMIF(TB_Entradas[Producto],TB_ControlStock[[#This Row],[Producto]],TB_Entradas[Cantidad Comprada])</f>
        <v>0</v>
      </c>
      <c r="D7" s="66">
        <f>SUMIF(TB_Salidas[Producto],TB_ControlStock[[#This Row],[Producto]],TB_Salidas[Cantidad Vendida])</f>
        <v>0</v>
      </c>
      <c r="E7" s="66">
        <f>TB_ControlStock[[#This Row],[Entradas]]-TB_ControlStock[[#This Row],[Salidas]]</f>
        <v>0</v>
      </c>
      <c r="F7" s="66">
        <f>_xlfn.XLOOKUP(TB_ControlStock[[#This Row],[Producto]],TB_Producto[Producto],TB_Producto[Stock Mínimo],"No Encontrado")</f>
        <v>10</v>
      </c>
      <c r="G7" s="65" t="str" cm="1">
        <f t="array" ref="G7">_xlfn.IFS(TB_ControlStock[[#This Row],[Cantidad en Stock]]&gt;TB_ControlStock[[#This Row],[Stock Mínimo]],"Stock OK",TB_ControlStock[[#This Row],[Cantidad en Stock]]=0,"Stock Agotado",TRUE,"Stock Bajo")</f>
        <v>Stock Agotado</v>
      </c>
      <c r="H7" s="67">
        <f>SUMIFS(TB_Salidas[Valor de Venta],TB_Salidas[Producto],TB_ControlStock[[#This Row],[Producto]])</f>
        <v>0</v>
      </c>
      <c r="I7" s="68">
        <f>SUMIFS(TB_Entradas[Valor de Compra],TB_Entradas[Producto],TB_ControlStock[[#This Row],[Producto]])</f>
        <v>0</v>
      </c>
      <c r="J7" s="68">
        <f>TB_ControlStock[[#This Row],[Valor de Venta]]-TB_ControlStock[[#This Row],[Costo Total]]</f>
        <v>0</v>
      </c>
      <c r="L7" s="47"/>
      <c r="M7" s="60"/>
      <c r="N7" s="85" t="s">
        <v>78</v>
      </c>
      <c r="O7" s="85"/>
      <c r="P7" s="85"/>
      <c r="Q7" s="60"/>
    </row>
    <row r="8" spans="2:17" ht="16.149999999999999" customHeight="1" x14ac:dyDescent="0.35">
      <c r="B8" s="65" t="s">
        <v>5</v>
      </c>
      <c r="C8" s="66">
        <f>SUMIF(TB_Entradas[Producto],TB_ControlStock[[#This Row],[Producto]],TB_Entradas[Cantidad Comprada])</f>
        <v>1245</v>
      </c>
      <c r="D8" s="66">
        <f>SUMIF(TB_Salidas[Producto],TB_ControlStock[[#This Row],[Producto]],TB_Salidas[Cantidad Vendida])</f>
        <v>997</v>
      </c>
      <c r="E8" s="66">
        <f>TB_ControlStock[[#This Row],[Entradas]]-TB_ControlStock[[#This Row],[Salidas]]</f>
        <v>248</v>
      </c>
      <c r="F8" s="66">
        <f>_xlfn.XLOOKUP(TB_ControlStock[[#This Row],[Producto]],TB_Producto[Producto],TB_Producto[Stock Mínimo],"No Encontrado")</f>
        <v>20</v>
      </c>
      <c r="G8" s="65" t="str" cm="1">
        <f t="array" ref="G8">_xlfn.IFS(TB_ControlStock[[#This Row],[Cantidad en Stock]]&gt;TB_ControlStock[[#This Row],[Stock Mínimo]],"Stock OK",TB_ControlStock[[#This Row],[Cantidad en Stock]]=0,"Stock Agotado",TRUE,"Stock Bajo")</f>
        <v>Stock OK</v>
      </c>
      <c r="H8" s="67">
        <f>SUMIFS(TB_Salidas[Valor de Venta],TB_Salidas[Producto],TB_ControlStock[[#This Row],[Producto]])</f>
        <v>4985</v>
      </c>
      <c r="I8" s="68">
        <f>SUMIFS(TB_Entradas[Valor de Compra],TB_Entradas[Producto],TB_ControlStock[[#This Row],[Producto]])</f>
        <v>3735</v>
      </c>
      <c r="J8" s="68">
        <f>TB_ControlStock[[#This Row],[Valor de Venta]]-TB_ControlStock[[#This Row],[Costo Total]]</f>
        <v>1250</v>
      </c>
      <c r="L8" s="47"/>
      <c r="M8" s="60"/>
      <c r="N8" s="69" t="s">
        <v>77</v>
      </c>
      <c r="O8" s="60"/>
      <c r="P8" s="69" t="s">
        <v>2</v>
      </c>
      <c r="Q8" s="60"/>
    </row>
    <row r="9" spans="2:17" ht="18" x14ac:dyDescent="0.25">
      <c r="B9" s="65" t="s">
        <v>26</v>
      </c>
      <c r="C9" s="66">
        <f>SUMIF(TB_Entradas[Producto],TB_ControlStock[[#This Row],[Producto]],TB_Entradas[Cantidad Comprada])</f>
        <v>85</v>
      </c>
      <c r="D9" s="66">
        <f>SUMIF(TB_Salidas[Producto],TB_ControlStock[[#This Row],[Producto]],TB_Salidas[Cantidad Vendida])</f>
        <v>102</v>
      </c>
      <c r="E9" s="66">
        <f>TB_ControlStock[[#This Row],[Entradas]]-TB_ControlStock[[#This Row],[Salidas]]</f>
        <v>-17</v>
      </c>
      <c r="F9" s="66">
        <f>_xlfn.XLOOKUP(TB_ControlStock[[#This Row],[Producto]],TB_Producto[Producto],TB_Producto[Stock Mínimo],"No Encontrado")</f>
        <v>50</v>
      </c>
      <c r="G9" s="65" t="str" cm="1">
        <f t="array" ref="G9">_xlfn.IFS(TB_ControlStock[[#This Row],[Cantidad en Stock]]&gt;TB_ControlStock[[#This Row],[Stock Mínimo]],"Stock OK",TB_ControlStock[[#This Row],[Cantidad en Stock]]=0,"Stock Agotado",TRUE,"Stock Bajo")</f>
        <v>Stock Bajo</v>
      </c>
      <c r="H9" s="67">
        <f>SUMIFS(TB_Salidas[Valor de Venta],TB_Salidas[Producto],TB_ControlStock[[#This Row],[Producto]])</f>
        <v>306</v>
      </c>
      <c r="I9" s="68">
        <f>SUMIFS(TB_Entradas[Valor de Compra],TB_Entradas[Producto],TB_ControlStock[[#This Row],[Producto]])</f>
        <v>127.5</v>
      </c>
      <c r="J9" s="68">
        <f>TB_ControlStock[[#This Row],[Valor de Venta]]-TB_ControlStock[[#This Row],[Costo Total]]</f>
        <v>178.5</v>
      </c>
      <c r="L9" s="47"/>
      <c r="M9" s="70"/>
      <c r="N9" s="86">
        <f>MAX(TB_ControlStock[Ganancias])</f>
        <v>1250</v>
      </c>
      <c r="O9" s="70"/>
      <c r="P9" s="88" t="str">
        <f>DGET(TB_ControlStock[#All],1,N8:N9)</f>
        <v>Café</v>
      </c>
      <c r="Q9" s="70"/>
    </row>
    <row r="10" spans="2:17" ht="18" x14ac:dyDescent="0.25">
      <c r="B10" s="65" t="s">
        <v>40</v>
      </c>
      <c r="C10" s="66">
        <f>SUMIF(TB_Entradas[Producto],TB_ControlStock[[#This Row],[Producto]],TB_Entradas[Cantidad Comprada])</f>
        <v>0</v>
      </c>
      <c r="D10" s="66">
        <f>SUMIF(TB_Salidas[Producto],TB_ControlStock[[#This Row],[Producto]],TB_Salidas[Cantidad Vendida])</f>
        <v>0</v>
      </c>
      <c r="E10" s="66">
        <f>TB_ControlStock[[#This Row],[Entradas]]-TB_ControlStock[[#This Row],[Salidas]]</f>
        <v>0</v>
      </c>
      <c r="F10" s="66">
        <f>_xlfn.XLOOKUP(TB_ControlStock[[#This Row],[Producto]],TB_Producto[Producto],TB_Producto[Stock Mínimo],"No Encontrado")</f>
        <v>10</v>
      </c>
      <c r="G10" s="65" t="str" cm="1">
        <f t="array" ref="G10">_xlfn.IFS(TB_ControlStock[[#This Row],[Cantidad en Stock]]&gt;TB_ControlStock[[#This Row],[Stock Mínimo]],"Stock OK",TB_ControlStock[[#This Row],[Cantidad en Stock]]=0,"Stock Agotado",TRUE,"Stock Bajo")</f>
        <v>Stock Agotado</v>
      </c>
      <c r="H10" s="67">
        <f>SUMIFS(TB_Salidas[Valor de Venta],TB_Salidas[Producto],TB_ControlStock[[#This Row],[Producto]])</f>
        <v>0</v>
      </c>
      <c r="I10" s="68">
        <f>SUMIFS(TB_Entradas[Valor de Compra],TB_Entradas[Producto],TB_ControlStock[[#This Row],[Producto]])</f>
        <v>0</v>
      </c>
      <c r="J10" s="68">
        <f>TB_ControlStock[[#This Row],[Valor de Venta]]-TB_ControlStock[[#This Row],[Costo Total]]</f>
        <v>0</v>
      </c>
      <c r="L10" s="47"/>
      <c r="M10" s="70"/>
      <c r="N10" s="87"/>
      <c r="O10" s="70"/>
      <c r="P10" s="89"/>
      <c r="Q10" s="70"/>
    </row>
    <row r="11" spans="2:17" ht="18" x14ac:dyDescent="0.25">
      <c r="B11" s="65" t="s">
        <v>29</v>
      </c>
      <c r="C11" s="66">
        <f>SUMIF(TB_Entradas[Producto],TB_ControlStock[[#This Row],[Producto]],TB_Entradas[Cantidad Comprada])</f>
        <v>35</v>
      </c>
      <c r="D11" s="66">
        <f>SUMIF(TB_Salidas[Producto],TB_ControlStock[[#This Row],[Producto]],TB_Salidas[Cantidad Vendida])</f>
        <v>30</v>
      </c>
      <c r="E11" s="66">
        <f>TB_ControlStock[[#This Row],[Entradas]]-TB_ControlStock[[#This Row],[Salidas]]</f>
        <v>5</v>
      </c>
      <c r="F11" s="66">
        <f>_xlfn.XLOOKUP(TB_ControlStock[[#This Row],[Producto]],TB_Producto[Producto],TB_Producto[Stock Mínimo],"No Encontrado")</f>
        <v>20</v>
      </c>
      <c r="G11" s="65" t="str" cm="1">
        <f t="array" ref="G11">_xlfn.IFS(TB_ControlStock[[#This Row],[Cantidad en Stock]]&gt;TB_ControlStock[[#This Row],[Stock Mínimo]],"Stock OK",TB_ControlStock[[#This Row],[Cantidad en Stock]]=0,"Stock Agotado",TRUE,"Stock Bajo")</f>
        <v>Stock Bajo</v>
      </c>
      <c r="H11" s="67">
        <f>SUMIFS(TB_Salidas[Valor de Venta],TB_Salidas[Producto],TB_ControlStock[[#This Row],[Producto]])</f>
        <v>67.5</v>
      </c>
      <c r="I11" s="68">
        <f>SUMIFS(TB_Entradas[Valor de Compra],TB_Entradas[Producto],TB_ControlStock[[#This Row],[Producto]])</f>
        <v>43.75</v>
      </c>
      <c r="J11" s="68">
        <f>TB_ControlStock[[#This Row],[Valor de Venta]]-TB_ControlStock[[#This Row],[Costo Total]]</f>
        <v>23.75</v>
      </c>
      <c r="L11" s="47"/>
      <c r="M11" s="70"/>
      <c r="N11" s="70"/>
      <c r="O11" s="70"/>
      <c r="P11" s="70"/>
      <c r="Q11" s="70"/>
    </row>
    <row r="12" spans="2:17" ht="18" x14ac:dyDescent="0.25">
      <c r="B12" s="65" t="s">
        <v>18</v>
      </c>
      <c r="C12" s="66">
        <f>SUMIF(TB_Entradas[Producto],TB_ControlStock[[#This Row],[Producto]],TB_Entradas[Cantidad Comprada])</f>
        <v>564</v>
      </c>
      <c r="D12" s="66">
        <f>SUMIF(TB_Salidas[Producto],TB_ControlStock[[#This Row],[Producto]],TB_Salidas[Cantidad Vendida])</f>
        <v>510</v>
      </c>
      <c r="E12" s="66">
        <f>TB_ControlStock[[#This Row],[Entradas]]-TB_ControlStock[[#This Row],[Salidas]]</f>
        <v>54</v>
      </c>
      <c r="F12" s="66">
        <f>_xlfn.XLOOKUP(TB_ControlStock[[#This Row],[Producto]],TB_Producto[Producto],TB_Producto[Stock Mínimo],"No Encontrado")</f>
        <v>10</v>
      </c>
      <c r="G12" s="65" t="str" cm="1">
        <f t="array" ref="G12">_xlfn.IFS(TB_ControlStock[[#This Row],[Cantidad en Stock]]&gt;TB_ControlStock[[#This Row],[Stock Mínimo]],"Stock OK",TB_ControlStock[[#This Row],[Cantidad en Stock]]=0,"Stock Agotado",TRUE,"Stock Bajo")</f>
        <v>Stock OK</v>
      </c>
      <c r="H12" s="67">
        <f>SUMIFS(TB_Salidas[Valor de Venta],TB_Salidas[Producto],TB_ControlStock[[#This Row],[Producto]])</f>
        <v>3570</v>
      </c>
      <c r="I12" s="68">
        <f>SUMIFS(TB_Entradas[Valor de Compra],TB_Entradas[Producto],TB_ControlStock[[#This Row],[Producto]])</f>
        <v>2538</v>
      </c>
      <c r="J12" s="68">
        <f>TB_ControlStock[[#This Row],[Valor de Venta]]-TB_ControlStock[[#This Row],[Costo Total]]</f>
        <v>1032</v>
      </c>
      <c r="L12" s="47"/>
      <c r="M12" s="47"/>
      <c r="N12" s="47"/>
      <c r="O12" s="47"/>
      <c r="P12" s="47"/>
    </row>
    <row r="13" spans="2:17" ht="18" x14ac:dyDescent="0.25">
      <c r="B13" s="65" t="s">
        <v>32</v>
      </c>
      <c r="C13" s="66">
        <f>SUMIF(TB_Entradas[Producto],TB_ControlStock[[#This Row],[Producto]],TB_Entradas[Cantidad Comprada])</f>
        <v>450</v>
      </c>
      <c r="D13" s="66">
        <f>SUMIF(TB_Salidas[Producto],TB_ControlStock[[#This Row],[Producto]],TB_Salidas[Cantidad Vendida])</f>
        <v>450</v>
      </c>
      <c r="E13" s="66">
        <f>TB_ControlStock[[#This Row],[Entradas]]-TB_ControlStock[[#This Row],[Salidas]]</f>
        <v>0</v>
      </c>
      <c r="F13" s="66">
        <f>_xlfn.XLOOKUP(TB_ControlStock[[#This Row],[Producto]],TB_Producto[Producto],TB_Producto[Stock Mínimo],"No Encontrado")</f>
        <v>15</v>
      </c>
      <c r="G13" s="65" t="str" cm="1">
        <f t="array" ref="G13">_xlfn.IFS(TB_ControlStock[[#This Row],[Cantidad en Stock]]&gt;TB_ControlStock[[#This Row],[Stock Mínimo]],"Stock OK",TB_ControlStock[[#This Row],[Cantidad en Stock]]=0,"Stock Agotado",TRUE,"Stock Bajo")</f>
        <v>Stock Agotado</v>
      </c>
      <c r="H13" s="67">
        <f>SUMIFS(TB_Salidas[Valor de Venta],TB_Salidas[Producto],TB_ControlStock[[#This Row],[Producto]])</f>
        <v>1350</v>
      </c>
      <c r="I13" s="68">
        <f>SUMIFS(TB_Entradas[Valor de Compra],TB_Entradas[Producto],TB_ControlStock[[#This Row],[Producto]])</f>
        <v>1012.5</v>
      </c>
      <c r="J13" s="68">
        <f>TB_ControlStock[[#This Row],[Valor de Venta]]-TB_ControlStock[[#This Row],[Costo Total]]</f>
        <v>337.5</v>
      </c>
    </row>
    <row r="14" spans="2:17" ht="18" x14ac:dyDescent="0.25">
      <c r="B14" s="65" t="s">
        <v>20</v>
      </c>
      <c r="C14" s="66">
        <f>SUMIF(TB_Entradas[Producto],TB_ControlStock[[#This Row],[Producto]],TB_Entradas[Cantidad Comprada])</f>
        <v>404</v>
      </c>
      <c r="D14" s="66">
        <f>SUMIF(TB_Salidas[Producto],TB_ControlStock[[#This Row],[Producto]],TB_Salidas[Cantidad Vendida])</f>
        <v>349</v>
      </c>
      <c r="E14" s="66">
        <f>TB_ControlStock[[#This Row],[Entradas]]-TB_ControlStock[[#This Row],[Salidas]]</f>
        <v>55</v>
      </c>
      <c r="F14" s="66">
        <f>_xlfn.XLOOKUP(TB_ControlStock[[#This Row],[Producto]],TB_Producto[Producto],TB_Producto[Stock Mínimo],"No Encontrado")</f>
        <v>10</v>
      </c>
      <c r="G14" s="65" t="str" cm="1">
        <f t="array" ref="G14">_xlfn.IFS(TB_ControlStock[[#This Row],[Cantidad en Stock]]&gt;TB_ControlStock[[#This Row],[Stock Mínimo]],"Stock OK",TB_ControlStock[[#This Row],[Cantidad en Stock]]=0,"Stock Agotado",TRUE,"Stock Bajo")</f>
        <v>Stock OK</v>
      </c>
      <c r="H14" s="67">
        <f>SUMIFS(TB_Salidas[Valor de Venta],TB_Salidas[Producto],TB_ControlStock[[#This Row],[Producto]])</f>
        <v>1221.5</v>
      </c>
      <c r="I14" s="68">
        <f>SUMIFS(TB_Entradas[Valor de Compra],TB_Entradas[Producto],TB_ControlStock[[#This Row],[Producto]])</f>
        <v>606</v>
      </c>
      <c r="J14" s="68">
        <f>TB_ControlStock[[#This Row],[Valor de Venta]]-TB_ControlStock[[#This Row],[Costo Total]]</f>
        <v>615.5</v>
      </c>
    </row>
    <row r="15" spans="2:17" ht="18" x14ac:dyDescent="0.25">
      <c r="B15" s="65" t="s">
        <v>25</v>
      </c>
      <c r="C15" s="66">
        <f>SUMIF(TB_Entradas[Producto],TB_ControlStock[[#This Row],[Producto]],TB_Entradas[Cantidad Comprada])</f>
        <v>32</v>
      </c>
      <c r="D15" s="66">
        <f>SUMIF(TB_Salidas[Producto],TB_ControlStock[[#This Row],[Producto]],TB_Salidas[Cantidad Vendida])</f>
        <v>32</v>
      </c>
      <c r="E15" s="66">
        <f>TB_ControlStock[[#This Row],[Entradas]]-TB_ControlStock[[#This Row],[Salidas]]</f>
        <v>0</v>
      </c>
      <c r="F15" s="66">
        <f>_xlfn.XLOOKUP(TB_ControlStock[[#This Row],[Producto]],TB_Producto[Producto],TB_Producto[Stock Mínimo],"No Encontrado")</f>
        <v>15</v>
      </c>
      <c r="G15" s="65" t="str" cm="1">
        <f t="array" ref="G15">_xlfn.IFS(TB_ControlStock[[#This Row],[Cantidad en Stock]]&gt;TB_ControlStock[[#This Row],[Stock Mínimo]],"Stock OK",TB_ControlStock[[#This Row],[Cantidad en Stock]]=0,"Stock Agotado",TRUE,"Stock Bajo")</f>
        <v>Stock Agotado</v>
      </c>
      <c r="H15" s="67">
        <f>SUMIFS(TB_Salidas[Valor de Venta],TB_Salidas[Producto],TB_ControlStock[[#This Row],[Producto]])</f>
        <v>224</v>
      </c>
      <c r="I15" s="68">
        <f>SUMIFS(TB_Entradas[Valor de Compra],TB_Entradas[Producto],TB_ControlStock[[#This Row],[Producto]])</f>
        <v>128</v>
      </c>
      <c r="J15" s="68">
        <f>TB_ControlStock[[#This Row],[Valor de Venta]]-TB_ControlStock[[#This Row],[Costo Total]]</f>
        <v>96</v>
      </c>
    </row>
    <row r="16" spans="2:17" ht="18" x14ac:dyDescent="0.25">
      <c r="B16" s="65" t="s">
        <v>12</v>
      </c>
      <c r="C16" s="66">
        <f>SUMIF(TB_Entradas[Producto],TB_ControlStock[[#This Row],[Producto]],TB_Entradas[Cantidad Comprada])</f>
        <v>80</v>
      </c>
      <c r="D16" s="66">
        <f>SUMIF(TB_Salidas[Producto],TB_ControlStock[[#This Row],[Producto]],TB_Salidas[Cantidad Vendida])</f>
        <v>92</v>
      </c>
      <c r="E16" s="66">
        <f>TB_ControlStock[[#This Row],[Entradas]]-TB_ControlStock[[#This Row],[Salidas]]</f>
        <v>-12</v>
      </c>
      <c r="F16" s="66">
        <f>_xlfn.XLOOKUP(TB_ControlStock[[#This Row],[Producto]],TB_Producto[Producto],TB_Producto[Stock Mínimo],"No Encontrado")</f>
        <v>30</v>
      </c>
      <c r="G16" s="65" t="str" cm="1">
        <f t="array" ref="G16">_xlfn.IFS(TB_ControlStock[[#This Row],[Cantidad en Stock]]&gt;TB_ControlStock[[#This Row],[Stock Mínimo]],"Stock OK",TB_ControlStock[[#This Row],[Cantidad en Stock]]=0,"Stock Agotado",TRUE,"Stock Bajo")</f>
        <v>Stock Bajo</v>
      </c>
      <c r="H16" s="67">
        <f>SUMIFS(TB_Salidas[Valor de Venta],TB_Salidas[Producto],TB_ControlStock[[#This Row],[Producto]])</f>
        <v>253</v>
      </c>
      <c r="I16" s="68">
        <f>SUMIFS(TB_Entradas[Valor de Compra],TB_Entradas[Producto],TB_ControlStock[[#This Row],[Producto]])</f>
        <v>100</v>
      </c>
      <c r="J16" s="68">
        <f>TB_ControlStock[[#This Row],[Valor de Venta]]-TB_ControlStock[[#This Row],[Costo Total]]</f>
        <v>153</v>
      </c>
    </row>
    <row r="17" spans="2:10" ht="18" x14ac:dyDescent="0.25">
      <c r="B17" s="65" t="s">
        <v>31</v>
      </c>
      <c r="C17" s="66">
        <f>SUMIF(TB_Entradas[Producto],TB_ControlStock[[#This Row],[Producto]],TB_Entradas[Cantidad Comprada])</f>
        <v>42</v>
      </c>
      <c r="D17" s="66">
        <f>SUMIF(TB_Salidas[Producto],TB_ControlStock[[#This Row],[Producto]],TB_Salidas[Cantidad Vendida])</f>
        <v>65</v>
      </c>
      <c r="E17" s="66">
        <f>TB_ControlStock[[#This Row],[Entradas]]-TB_ControlStock[[#This Row],[Salidas]]</f>
        <v>-23</v>
      </c>
      <c r="F17" s="66">
        <f>_xlfn.XLOOKUP(TB_ControlStock[[#This Row],[Producto]],TB_Producto[Producto],TB_Producto[Stock Mínimo],"No Encontrado")</f>
        <v>15</v>
      </c>
      <c r="G17" s="65" t="str" cm="1">
        <f t="array" ref="G17">_xlfn.IFS(TB_ControlStock[[#This Row],[Cantidad en Stock]]&gt;TB_ControlStock[[#This Row],[Stock Mínimo]],"Stock OK",TB_ControlStock[[#This Row],[Cantidad en Stock]]=0,"Stock Agotado",TRUE,"Stock Bajo")</f>
        <v>Stock Bajo</v>
      </c>
      <c r="H17" s="67">
        <f>SUMIFS(TB_Salidas[Valor de Venta],TB_Salidas[Producto],TB_ControlStock[[#This Row],[Producto]])</f>
        <v>325</v>
      </c>
      <c r="I17" s="68">
        <f>SUMIFS(TB_Entradas[Valor de Compra],TB_Entradas[Producto],TB_ControlStock[[#This Row],[Producto]])</f>
        <v>105</v>
      </c>
      <c r="J17" s="68">
        <f>TB_ControlStock[[#This Row],[Valor de Venta]]-TB_ControlStock[[#This Row],[Costo Total]]</f>
        <v>220</v>
      </c>
    </row>
    <row r="20" spans="2:10" x14ac:dyDescent="0.25">
      <c r="J20" s="64"/>
    </row>
  </sheetData>
  <mergeCells count="3">
    <mergeCell ref="N7:P7"/>
    <mergeCell ref="N9:N10"/>
    <mergeCell ref="P9:P10"/>
  </mergeCells>
  <conditionalFormatting sqref="B6:J17">
    <cfRule type="expression" dxfId="1" priority="1">
      <formula>$G6="Stock Agotado"</formula>
    </cfRule>
    <cfRule type="expression" dxfId="0" priority="2">
      <formula>$G6="Stock Bajo"</formula>
    </cfRule>
  </conditionalFormatting>
  <dataValidations disablePrompts="1" count="1">
    <dataValidation type="list" allowBlank="1" showInputMessage="1" showErrorMessage="1" sqref="B6:B17" xr:uid="{CCAB9598-8427-4C4C-826B-F9157C8C0C5F}">
      <formula1>Lista_Productos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0E6F-896C-4E6C-8E7F-AF3A669BCF39}">
  <dimension ref="B1:AV28"/>
  <sheetViews>
    <sheetView showGridLines="0" zoomScaleNormal="100" workbookViewId="0">
      <selection activeCell="AX10" sqref="AX10"/>
    </sheetView>
  </sheetViews>
  <sheetFormatPr defaultColWidth="2.42578125" defaultRowHeight="10.5" customHeight="1" x14ac:dyDescent="0.25"/>
  <cols>
    <col min="1" max="64" width="3.28515625" customWidth="1"/>
  </cols>
  <sheetData>
    <row r="1" spans="2:48" s="5" customFormat="1" ht="60" customHeight="1" x14ac:dyDescent="0.25">
      <c r="E1" s="6"/>
      <c r="F1" s="7"/>
      <c r="AD1" s="90" t="s">
        <v>79</v>
      </c>
      <c r="AE1" s="90"/>
      <c r="AF1" s="90"/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/>
      <c r="AV1" s="90"/>
    </row>
    <row r="2" spans="2:48" s="8" customFormat="1" ht="6" customHeight="1" x14ac:dyDescent="0.25">
      <c r="F2" s="9"/>
    </row>
    <row r="3" spans="2:48" ht="6" customHeight="1" thickBot="1" x14ac:dyDescent="0.3"/>
    <row r="4" spans="2:48" ht="4.5" customHeight="1" x14ac:dyDescent="0.25">
      <c r="C4" s="91" t="s">
        <v>80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3"/>
      <c r="AB4" s="91" t="s">
        <v>81</v>
      </c>
      <c r="AC4" s="92"/>
      <c r="AD4" s="92"/>
      <c r="AE4" s="92"/>
      <c r="AF4" s="92"/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3"/>
    </row>
    <row r="5" spans="2:48" ht="12.75" customHeight="1" x14ac:dyDescent="0.25">
      <c r="B5" s="47"/>
      <c r="C5" s="94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6"/>
      <c r="AA5" s="47"/>
      <c r="AB5" s="94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5"/>
      <c r="AO5" s="95"/>
      <c r="AP5" s="95"/>
      <c r="AQ5" s="95"/>
      <c r="AR5" s="95"/>
      <c r="AS5" s="95"/>
      <c r="AT5" s="95"/>
      <c r="AU5" s="96"/>
    </row>
    <row r="6" spans="2:48" ht="12.75" customHeight="1" x14ac:dyDescent="0.35">
      <c r="B6" s="47"/>
      <c r="C6" s="71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3"/>
      <c r="AA6" s="47"/>
      <c r="AB6" s="71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84" t="s">
        <v>2</v>
      </c>
      <c r="AN6" s="74"/>
      <c r="AO6" s="74"/>
      <c r="AP6" s="74"/>
      <c r="AQ6" s="74"/>
      <c r="AR6" s="74"/>
      <c r="AS6" s="74"/>
      <c r="AT6" s="74"/>
      <c r="AU6" s="75"/>
    </row>
    <row r="7" spans="2:48" ht="12.75" customHeight="1" x14ac:dyDescent="0.35">
      <c r="B7" s="47"/>
      <c r="C7" s="71"/>
      <c r="D7" s="97" t="s">
        <v>82</v>
      </c>
      <c r="E7" s="97"/>
      <c r="F7" s="97"/>
      <c r="G7" s="97"/>
      <c r="H7" s="97"/>
      <c r="I7" s="97"/>
      <c r="J7" s="97"/>
      <c r="K7" s="97"/>
      <c r="L7" s="97"/>
      <c r="M7" s="97"/>
      <c r="N7" s="107">
        <f>COUNTA(_xlfn.UNIQUE(Salidas!C5:C61))</f>
        <v>10</v>
      </c>
      <c r="O7" s="98"/>
      <c r="P7" s="98"/>
      <c r="Q7" s="98"/>
      <c r="R7" s="98"/>
      <c r="S7" s="98"/>
      <c r="T7" s="98"/>
      <c r="U7" s="98"/>
      <c r="V7" s="76"/>
      <c r="AA7" s="47"/>
      <c r="AB7" s="71"/>
      <c r="AC7" s="97" t="s">
        <v>83</v>
      </c>
      <c r="AD7" s="97"/>
      <c r="AE7" s="97"/>
      <c r="AF7" s="97"/>
      <c r="AG7" s="97"/>
      <c r="AH7" s="97"/>
      <c r="AI7" s="97"/>
      <c r="AJ7" s="97"/>
      <c r="AK7" s="97"/>
      <c r="AL7" s="97"/>
      <c r="AM7" s="98" t="s">
        <v>5</v>
      </c>
      <c r="AN7" s="98"/>
      <c r="AO7" s="98"/>
      <c r="AP7" s="98"/>
      <c r="AQ7" s="98"/>
      <c r="AR7" s="98"/>
      <c r="AS7" s="98"/>
      <c r="AT7" s="98"/>
      <c r="AU7" s="76"/>
    </row>
    <row r="8" spans="2:48" ht="12.75" customHeight="1" x14ac:dyDescent="0.35">
      <c r="B8" s="47"/>
      <c r="C8" s="71"/>
      <c r="D8" s="97"/>
      <c r="E8" s="97"/>
      <c r="F8" s="97"/>
      <c r="G8" s="97"/>
      <c r="H8" s="97"/>
      <c r="I8" s="97"/>
      <c r="J8" s="97"/>
      <c r="K8" s="97"/>
      <c r="L8" s="97"/>
      <c r="M8" s="97"/>
      <c r="N8" s="98"/>
      <c r="O8" s="98"/>
      <c r="P8" s="98"/>
      <c r="Q8" s="98"/>
      <c r="R8" s="98"/>
      <c r="S8" s="98"/>
      <c r="T8" s="98"/>
      <c r="U8" s="98"/>
      <c r="V8" s="76"/>
      <c r="AA8" s="47"/>
      <c r="AB8" s="71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8"/>
      <c r="AN8" s="98"/>
      <c r="AO8" s="98"/>
      <c r="AP8" s="98"/>
      <c r="AQ8" s="98"/>
      <c r="AR8" s="98"/>
      <c r="AS8" s="98"/>
      <c r="AT8" s="98"/>
      <c r="AU8" s="76"/>
    </row>
    <row r="9" spans="2:48" ht="12.75" customHeight="1" x14ac:dyDescent="0.35">
      <c r="B9" s="47"/>
      <c r="C9" s="71"/>
      <c r="D9" s="77"/>
      <c r="E9" s="77"/>
      <c r="F9" s="77"/>
      <c r="G9" s="77"/>
      <c r="H9" s="77"/>
      <c r="I9" s="77"/>
      <c r="J9" s="77"/>
      <c r="K9" s="77"/>
      <c r="L9" s="77"/>
      <c r="M9" s="77"/>
      <c r="N9" s="78"/>
      <c r="O9" s="78"/>
      <c r="P9" s="78"/>
      <c r="Q9" s="78"/>
      <c r="R9" s="78"/>
      <c r="S9" s="78"/>
      <c r="T9" s="78"/>
      <c r="U9" s="78"/>
      <c r="V9" s="76"/>
      <c r="AA9" s="47"/>
      <c r="AB9" s="71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8"/>
      <c r="AN9" s="78"/>
      <c r="AO9" s="78"/>
      <c r="AP9" s="78"/>
      <c r="AQ9" s="78"/>
      <c r="AR9" s="78"/>
      <c r="AS9" s="78"/>
      <c r="AT9" s="78"/>
      <c r="AU9" s="76"/>
    </row>
    <row r="10" spans="2:48" ht="12.75" customHeight="1" x14ac:dyDescent="0.35">
      <c r="B10" s="47"/>
      <c r="C10" s="71"/>
      <c r="D10" s="97" t="s">
        <v>84</v>
      </c>
      <c r="E10" s="97"/>
      <c r="F10" s="97"/>
      <c r="G10" s="97"/>
      <c r="H10" s="97"/>
      <c r="I10" s="97"/>
      <c r="J10" s="97"/>
      <c r="K10" s="97"/>
      <c r="L10" s="97"/>
      <c r="M10" s="97"/>
      <c r="N10" s="98">
        <f>SUM('Control de Stock'!E6:E17)</f>
        <v>400</v>
      </c>
      <c r="O10" s="98"/>
      <c r="P10" s="98"/>
      <c r="Q10" s="98"/>
      <c r="R10" s="98"/>
      <c r="S10" s="98"/>
      <c r="T10" s="98"/>
      <c r="U10" s="98"/>
      <c r="V10" s="76"/>
      <c r="AA10" s="47"/>
      <c r="AB10" s="71"/>
      <c r="AC10" s="97" t="s">
        <v>84</v>
      </c>
      <c r="AD10" s="97"/>
      <c r="AE10" s="97"/>
      <c r="AF10" s="97"/>
      <c r="AG10" s="97"/>
      <c r="AH10" s="97"/>
      <c r="AI10" s="97"/>
      <c r="AJ10" s="97"/>
      <c r="AK10" s="97"/>
      <c r="AL10" s="97"/>
      <c r="AM10" s="98">
        <f>DSUM(TB_ControlStock[#All],"Cantidad en Stock",CriteriosProducto)</f>
        <v>248</v>
      </c>
      <c r="AN10" s="98"/>
      <c r="AO10" s="98"/>
      <c r="AP10" s="98"/>
      <c r="AQ10" s="98"/>
      <c r="AR10" s="98"/>
      <c r="AS10" s="98"/>
      <c r="AT10" s="98"/>
      <c r="AU10" s="76"/>
    </row>
    <row r="11" spans="2:48" ht="12.75" customHeight="1" x14ac:dyDescent="0.35">
      <c r="B11" s="47"/>
      <c r="C11" s="71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8"/>
      <c r="O11" s="98"/>
      <c r="P11" s="98"/>
      <c r="Q11" s="98"/>
      <c r="R11" s="98"/>
      <c r="S11" s="98"/>
      <c r="T11" s="98"/>
      <c r="U11" s="98"/>
      <c r="V11" s="76"/>
      <c r="AA11" s="47"/>
      <c r="AB11" s="71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8"/>
      <c r="AN11" s="98"/>
      <c r="AO11" s="98"/>
      <c r="AP11" s="98"/>
      <c r="AQ11" s="98"/>
      <c r="AR11" s="98"/>
      <c r="AS11" s="98"/>
      <c r="AT11" s="98"/>
      <c r="AU11" s="76"/>
    </row>
    <row r="12" spans="2:48" ht="12.75" customHeight="1" x14ac:dyDescent="0.35">
      <c r="B12" s="47"/>
      <c r="C12" s="71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9"/>
      <c r="O12" s="79"/>
      <c r="P12" s="79"/>
      <c r="Q12" s="79"/>
      <c r="R12" s="79"/>
      <c r="S12" s="79"/>
      <c r="T12" s="79"/>
      <c r="U12" s="79"/>
      <c r="V12" s="76"/>
      <c r="AA12" s="47"/>
      <c r="AB12" s="71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9"/>
      <c r="AN12" s="79"/>
      <c r="AO12" s="79"/>
      <c r="AP12" s="79"/>
      <c r="AQ12" s="79"/>
      <c r="AR12" s="79"/>
      <c r="AS12" s="79"/>
      <c r="AT12" s="79"/>
      <c r="AU12" s="76"/>
    </row>
    <row r="13" spans="2:48" ht="12.75" customHeight="1" x14ac:dyDescent="0.35">
      <c r="B13" s="47"/>
      <c r="C13" s="71"/>
      <c r="D13" s="97" t="s">
        <v>85</v>
      </c>
      <c r="E13" s="97"/>
      <c r="F13" s="97"/>
      <c r="G13" s="97"/>
      <c r="H13" s="97"/>
      <c r="I13" s="97"/>
      <c r="J13" s="97"/>
      <c r="K13" s="97"/>
      <c r="L13" s="97"/>
      <c r="M13" s="97"/>
      <c r="N13" s="99">
        <f>SUM(TB_ControlStock[Valor de Venta])</f>
        <v>12512</v>
      </c>
      <c r="O13" s="99"/>
      <c r="P13" s="99"/>
      <c r="Q13" s="99"/>
      <c r="R13" s="99"/>
      <c r="S13" s="99"/>
      <c r="T13" s="99"/>
      <c r="U13" s="99"/>
      <c r="V13" s="76"/>
      <c r="AA13" s="47"/>
      <c r="AB13" s="71"/>
      <c r="AC13" s="97" t="s">
        <v>85</v>
      </c>
      <c r="AD13" s="97"/>
      <c r="AE13" s="97"/>
      <c r="AF13" s="97"/>
      <c r="AG13" s="97"/>
      <c r="AH13" s="97"/>
      <c r="AI13" s="97"/>
      <c r="AJ13" s="97"/>
      <c r="AK13" s="97"/>
      <c r="AL13" s="97"/>
      <c r="AM13" s="99">
        <f>DSUM(TB_ControlStock[#All],7,CriteriosProducto)</f>
        <v>4985</v>
      </c>
      <c r="AN13" s="99"/>
      <c r="AO13" s="99"/>
      <c r="AP13" s="99"/>
      <c r="AQ13" s="99"/>
      <c r="AR13" s="99"/>
      <c r="AS13" s="99"/>
      <c r="AT13" s="99"/>
      <c r="AU13" s="76"/>
    </row>
    <row r="14" spans="2:48" ht="12.75" customHeight="1" x14ac:dyDescent="0.35">
      <c r="B14" s="47"/>
      <c r="C14" s="71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9"/>
      <c r="O14" s="99"/>
      <c r="P14" s="99"/>
      <c r="Q14" s="99"/>
      <c r="R14" s="99"/>
      <c r="S14" s="99"/>
      <c r="T14" s="99"/>
      <c r="U14" s="99"/>
      <c r="V14" s="76"/>
      <c r="AA14" s="47"/>
      <c r="AB14" s="71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9"/>
      <c r="AN14" s="99"/>
      <c r="AO14" s="99"/>
      <c r="AP14" s="99"/>
      <c r="AQ14" s="99"/>
      <c r="AR14" s="99"/>
      <c r="AS14" s="99"/>
      <c r="AT14" s="99"/>
      <c r="AU14" s="76"/>
    </row>
    <row r="15" spans="2:48" ht="12.75" customHeight="1" x14ac:dyDescent="0.35">
      <c r="B15" s="47"/>
      <c r="C15" s="71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9"/>
      <c r="O15" s="79"/>
      <c r="P15" s="79"/>
      <c r="Q15" s="79"/>
      <c r="R15" s="79"/>
      <c r="S15" s="79"/>
      <c r="T15" s="79"/>
      <c r="U15" s="79"/>
      <c r="V15" s="76"/>
      <c r="AA15" s="47"/>
      <c r="AB15" s="71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9"/>
      <c r="AN15" s="79"/>
      <c r="AO15" s="79"/>
      <c r="AP15" s="79"/>
      <c r="AQ15" s="79"/>
      <c r="AR15" s="79"/>
      <c r="AS15" s="79"/>
      <c r="AT15" s="79"/>
      <c r="AU15" s="76"/>
    </row>
    <row r="16" spans="2:48" ht="12.75" customHeight="1" x14ac:dyDescent="0.35">
      <c r="B16" s="47"/>
      <c r="C16" s="71"/>
      <c r="D16" s="97" t="s">
        <v>86</v>
      </c>
      <c r="E16" s="97"/>
      <c r="F16" s="97"/>
      <c r="G16" s="97"/>
      <c r="H16" s="97"/>
      <c r="I16" s="97"/>
      <c r="J16" s="97"/>
      <c r="K16" s="97"/>
      <c r="L16" s="97"/>
      <c r="M16" s="97"/>
      <c r="N16" s="99">
        <f>SUM(TB_ControlStock[Costo Total])</f>
        <v>8545.75</v>
      </c>
      <c r="O16" s="99"/>
      <c r="P16" s="99"/>
      <c r="Q16" s="99"/>
      <c r="R16" s="99"/>
      <c r="S16" s="99"/>
      <c r="T16" s="99"/>
      <c r="U16" s="99"/>
      <c r="V16" s="76"/>
      <c r="AA16" s="47"/>
      <c r="AB16" s="71"/>
      <c r="AC16" s="97" t="s">
        <v>86</v>
      </c>
      <c r="AD16" s="97"/>
      <c r="AE16" s="97"/>
      <c r="AF16" s="97"/>
      <c r="AG16" s="97"/>
      <c r="AH16" s="97"/>
      <c r="AI16" s="97"/>
      <c r="AJ16" s="97"/>
      <c r="AK16" s="97"/>
      <c r="AL16" s="97"/>
      <c r="AM16" s="99">
        <f>DSUM(TB_ControlStock[#All],8,CriteriosProducto)</f>
        <v>3735</v>
      </c>
      <c r="AN16" s="99"/>
      <c r="AO16" s="99"/>
      <c r="AP16" s="99"/>
      <c r="AQ16" s="99"/>
      <c r="AR16" s="99"/>
      <c r="AS16" s="99"/>
      <c r="AT16" s="99"/>
      <c r="AU16" s="76"/>
    </row>
    <row r="17" spans="2:47" ht="12.75" customHeight="1" x14ac:dyDescent="0.35">
      <c r="B17" s="47"/>
      <c r="C17" s="71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9"/>
      <c r="O17" s="99"/>
      <c r="P17" s="99"/>
      <c r="Q17" s="99"/>
      <c r="R17" s="99"/>
      <c r="S17" s="99"/>
      <c r="T17" s="99"/>
      <c r="U17" s="99"/>
      <c r="V17" s="76"/>
      <c r="AA17" s="47"/>
      <c r="AB17" s="71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9"/>
      <c r="AN17" s="99"/>
      <c r="AO17" s="99"/>
      <c r="AP17" s="99"/>
      <c r="AQ17" s="99"/>
      <c r="AR17" s="99"/>
      <c r="AS17" s="99"/>
      <c r="AT17" s="99"/>
      <c r="AU17" s="76"/>
    </row>
    <row r="18" spans="2:47" ht="12.75" customHeight="1" x14ac:dyDescent="0.35">
      <c r="B18" s="47"/>
      <c r="C18" s="71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9"/>
      <c r="O18" s="79"/>
      <c r="P18" s="79"/>
      <c r="Q18" s="79"/>
      <c r="R18" s="79"/>
      <c r="S18" s="79"/>
      <c r="T18" s="79"/>
      <c r="U18" s="79"/>
      <c r="V18" s="76"/>
      <c r="AA18" s="47"/>
      <c r="AB18" s="71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9"/>
      <c r="AN18" s="79"/>
      <c r="AO18" s="79"/>
      <c r="AP18" s="79"/>
      <c r="AQ18" s="79"/>
      <c r="AR18" s="79"/>
      <c r="AS18" s="79"/>
      <c r="AT18" s="79"/>
      <c r="AU18" s="76"/>
    </row>
    <row r="19" spans="2:47" ht="12.75" customHeight="1" x14ac:dyDescent="0.35">
      <c r="B19" s="47"/>
      <c r="C19" s="71"/>
      <c r="D19" s="97" t="s">
        <v>87</v>
      </c>
      <c r="E19" s="97"/>
      <c r="F19" s="97"/>
      <c r="G19" s="97"/>
      <c r="H19" s="97"/>
      <c r="I19" s="97"/>
      <c r="J19" s="97"/>
      <c r="K19" s="97"/>
      <c r="L19" s="97"/>
      <c r="M19" s="97"/>
      <c r="N19" s="99">
        <f>N13-N16</f>
        <v>3966.25</v>
      </c>
      <c r="O19" s="99"/>
      <c r="P19" s="99"/>
      <c r="Q19" s="99"/>
      <c r="R19" s="99"/>
      <c r="S19" s="99"/>
      <c r="T19" s="99"/>
      <c r="U19" s="99"/>
      <c r="V19" s="76"/>
      <c r="AA19" s="47"/>
      <c r="AB19" s="71"/>
      <c r="AC19" s="97" t="s">
        <v>87</v>
      </c>
      <c r="AD19" s="97"/>
      <c r="AE19" s="97"/>
      <c r="AF19" s="97"/>
      <c r="AG19" s="97"/>
      <c r="AH19" s="97"/>
      <c r="AI19" s="97"/>
      <c r="AJ19" s="97"/>
      <c r="AK19" s="97"/>
      <c r="AL19" s="97"/>
      <c r="AM19" s="99">
        <f>DSUM(TB_ControlStock[#All],9,CriteriosProducto)</f>
        <v>1250</v>
      </c>
      <c r="AN19" s="99"/>
      <c r="AO19" s="99"/>
      <c r="AP19" s="99"/>
      <c r="AQ19" s="99"/>
      <c r="AR19" s="99"/>
      <c r="AS19" s="99"/>
      <c r="AT19" s="99"/>
      <c r="AU19" s="76"/>
    </row>
    <row r="20" spans="2:47" ht="12.75" customHeight="1" x14ac:dyDescent="0.35">
      <c r="B20" s="47"/>
      <c r="C20" s="71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9"/>
      <c r="O20" s="99"/>
      <c r="P20" s="99"/>
      <c r="Q20" s="99"/>
      <c r="R20" s="99"/>
      <c r="S20" s="99"/>
      <c r="T20" s="99"/>
      <c r="U20" s="99"/>
      <c r="V20" s="76"/>
      <c r="AA20" s="47"/>
      <c r="AB20" s="71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9"/>
      <c r="AN20" s="99"/>
      <c r="AO20" s="99"/>
      <c r="AP20" s="99"/>
      <c r="AQ20" s="99"/>
      <c r="AR20" s="99"/>
      <c r="AS20" s="99"/>
      <c r="AT20" s="99"/>
      <c r="AU20" s="76"/>
    </row>
    <row r="21" spans="2:47" ht="12.75" customHeight="1" x14ac:dyDescent="0.35">
      <c r="B21" s="47"/>
      <c r="C21" s="71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9"/>
      <c r="O21" s="79"/>
      <c r="P21" s="79"/>
      <c r="Q21" s="79"/>
      <c r="R21" s="79"/>
      <c r="S21" s="79"/>
      <c r="T21" s="79"/>
      <c r="U21" s="79"/>
      <c r="V21" s="76"/>
      <c r="AA21" s="47"/>
      <c r="AB21" s="71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9"/>
      <c r="AN21" s="79"/>
      <c r="AO21" s="79"/>
      <c r="AP21" s="79"/>
      <c r="AQ21" s="79"/>
      <c r="AR21" s="79"/>
      <c r="AS21" s="79"/>
      <c r="AT21" s="79"/>
      <c r="AU21" s="76"/>
    </row>
    <row r="22" spans="2:47" ht="12.75" customHeight="1" x14ac:dyDescent="0.35">
      <c r="B22" s="47"/>
      <c r="C22" s="71"/>
      <c r="D22" s="97" t="s">
        <v>88</v>
      </c>
      <c r="E22" s="97"/>
      <c r="F22" s="97"/>
      <c r="G22" s="97"/>
      <c r="H22" s="97"/>
      <c r="I22" s="97"/>
      <c r="J22" s="97"/>
      <c r="K22" s="97"/>
      <c r="L22" s="97"/>
      <c r="M22" s="97"/>
      <c r="N22" s="100">
        <f>N19/N16</f>
        <v>0.46411959160986455</v>
      </c>
      <c r="O22" s="100"/>
      <c r="P22" s="100"/>
      <c r="Q22" s="100"/>
      <c r="R22" s="100"/>
      <c r="S22" s="100"/>
      <c r="T22" s="100"/>
      <c r="U22" s="100"/>
      <c r="V22" s="76"/>
      <c r="AA22" s="47"/>
      <c r="AB22" s="71"/>
      <c r="AC22" s="97" t="s">
        <v>88</v>
      </c>
      <c r="AD22" s="97"/>
      <c r="AE22" s="97"/>
      <c r="AF22" s="97"/>
      <c r="AG22" s="97"/>
      <c r="AH22" s="97"/>
      <c r="AI22" s="97"/>
      <c r="AJ22" s="97"/>
      <c r="AK22" s="97"/>
      <c r="AL22" s="97"/>
      <c r="AM22" s="100">
        <f>AM19/AM16</f>
        <v>0.33467202141900937</v>
      </c>
      <c r="AN22" s="100"/>
      <c r="AO22" s="100"/>
      <c r="AP22" s="100"/>
      <c r="AQ22" s="100"/>
      <c r="AR22" s="100"/>
      <c r="AS22" s="100"/>
      <c r="AT22" s="100"/>
      <c r="AU22" s="76"/>
    </row>
    <row r="23" spans="2:47" ht="12.75" customHeight="1" x14ac:dyDescent="0.35">
      <c r="B23" s="47"/>
      <c r="C23" s="71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100"/>
      <c r="O23" s="100"/>
      <c r="P23" s="100"/>
      <c r="Q23" s="100"/>
      <c r="R23" s="100"/>
      <c r="S23" s="100"/>
      <c r="T23" s="100"/>
      <c r="U23" s="100"/>
      <c r="V23" s="76"/>
      <c r="AA23" s="47"/>
      <c r="AB23" s="71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100"/>
      <c r="AN23" s="100"/>
      <c r="AO23" s="100"/>
      <c r="AP23" s="100"/>
      <c r="AQ23" s="100"/>
      <c r="AR23" s="100"/>
      <c r="AS23" s="100"/>
      <c r="AT23" s="100"/>
      <c r="AU23" s="76"/>
    </row>
    <row r="24" spans="2:47" ht="12.75" customHeight="1" thickBot="1" x14ac:dyDescent="0.4">
      <c r="B24" s="47"/>
      <c r="C24" s="80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2"/>
      <c r="O24" s="82"/>
      <c r="P24" s="82"/>
      <c r="Q24" s="82"/>
      <c r="R24" s="82"/>
      <c r="S24" s="82"/>
      <c r="T24" s="82"/>
      <c r="U24" s="82"/>
      <c r="V24" s="83"/>
      <c r="AA24" s="47"/>
      <c r="AB24" s="80"/>
      <c r="AC24" s="81"/>
      <c r="AD24" s="81"/>
      <c r="AE24" s="81"/>
      <c r="AF24" s="81"/>
      <c r="AG24" s="81"/>
      <c r="AH24" s="81"/>
      <c r="AI24" s="81"/>
      <c r="AJ24" s="81"/>
      <c r="AK24" s="81"/>
      <c r="AL24" s="81"/>
      <c r="AM24" s="82"/>
      <c r="AN24" s="82"/>
      <c r="AO24" s="82"/>
      <c r="AP24" s="82"/>
      <c r="AQ24" s="82"/>
      <c r="AR24" s="82"/>
      <c r="AS24" s="82"/>
      <c r="AT24" s="82"/>
      <c r="AU24" s="83"/>
    </row>
    <row r="25" spans="2:47" ht="12.75" customHeight="1" x14ac:dyDescent="0.25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</row>
    <row r="26" spans="2:47" ht="12.75" customHeight="1" x14ac:dyDescent="0.25"/>
    <row r="27" spans="2:47" ht="12.75" customHeight="1" x14ac:dyDescent="0.25"/>
    <row r="28" spans="2:47" ht="12.75" customHeight="1" x14ac:dyDescent="0.25"/>
  </sheetData>
  <sheetProtection selectLockedCells="1"/>
  <mergeCells count="27">
    <mergeCell ref="D22:M23"/>
    <mergeCell ref="N22:U23"/>
    <mergeCell ref="AC22:AL23"/>
    <mergeCell ref="AM22:AT23"/>
    <mergeCell ref="D16:M17"/>
    <mergeCell ref="N16:U17"/>
    <mergeCell ref="AC16:AL17"/>
    <mergeCell ref="AM16:AT17"/>
    <mergeCell ref="D19:M20"/>
    <mergeCell ref="N19:U20"/>
    <mergeCell ref="AC19:AL20"/>
    <mergeCell ref="AM19:AT20"/>
    <mergeCell ref="D10:M11"/>
    <mergeCell ref="N10:U11"/>
    <mergeCell ref="AC10:AL11"/>
    <mergeCell ref="AM10:AT11"/>
    <mergeCell ref="D13:M14"/>
    <mergeCell ref="N13:U14"/>
    <mergeCell ref="AC13:AL14"/>
    <mergeCell ref="AM13:AT14"/>
    <mergeCell ref="AD1:AV1"/>
    <mergeCell ref="C4:V5"/>
    <mergeCell ref="AB4:AU5"/>
    <mergeCell ref="D7:M8"/>
    <mergeCell ref="N7:U8"/>
    <mergeCell ref="AC7:AL8"/>
    <mergeCell ref="AM7:AT8"/>
  </mergeCells>
  <dataValidations count="1">
    <dataValidation type="list" allowBlank="1" showInputMessage="1" showErrorMessage="1" sqref="AM7:AT8" xr:uid="{C09AAF50-0210-4A46-A056-965C80620D95}">
      <formula1>Lista_Productos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5" ma:contentTypeDescription="Crie um novo documento." ma:contentTypeScope="" ma:versionID="356590f5a0d689a097ccf88dfc74651c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358450caccba16b195b14fe92929b549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2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3013FB-E102-4D6E-ABBB-5EEF1B62F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3</vt:i4>
      </vt:variant>
    </vt:vector>
  </HeadingPairs>
  <TitlesOfParts>
    <vt:vector size="10" baseType="lpstr">
      <vt:lpstr>Productos</vt:lpstr>
      <vt:lpstr>Proveedor</vt:lpstr>
      <vt:lpstr>Entradas</vt:lpstr>
      <vt:lpstr>Salidas</vt:lpstr>
      <vt:lpstr>Consulta</vt:lpstr>
      <vt:lpstr>Control de Stock</vt:lpstr>
      <vt:lpstr>Cuadro Resumen</vt:lpstr>
      <vt:lpstr>CriteriosProducto</vt:lpstr>
      <vt:lpstr>Lista_Productos</vt:lpstr>
      <vt:lpstr>Lista_Proveedores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Office Resolve Testes</cp:lastModifiedBy>
  <cp:revision/>
  <dcterms:created xsi:type="dcterms:W3CDTF">2022-11-17T13:49:56Z</dcterms:created>
  <dcterms:modified xsi:type="dcterms:W3CDTF">2023-05-11T15:28:06Z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