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EAFEDF13-3193-4E5E-B43E-F5B36163B6E2}" xr6:coauthVersionLast="47" xr6:coauthVersionMax="47" xr10:uidLastSave="{00000000-0000-0000-0000-000000000000}"/>
  <bookViews>
    <workbookView xWindow="38280" yWindow="-120" windowWidth="20640" windowHeight="11760" tabRatio="781" activeTab="5" xr2:uid="{87BE7180-3E81-4FE5-B433-FFDBA552102C}"/>
  </bookViews>
  <sheets>
    <sheet name="Productos" sheetId="2" r:id="rId1"/>
    <sheet name="Proveedor" sheetId="3" r:id="rId2"/>
    <sheet name="Entradas" sheetId="4" r:id="rId3"/>
    <sheet name="Salidas" sheetId="5" r:id="rId4"/>
    <sheet name="Consulta" sheetId="6" r:id="rId5"/>
    <sheet name="Control de Stock" sheetId="7" r:id="rId6"/>
  </sheets>
  <definedNames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N9" i="7"/>
  <c r="I6" i="7"/>
  <c r="I7" i="7"/>
  <c r="I8" i="7"/>
  <c r="I9" i="7"/>
  <c r="I10" i="7"/>
  <c r="I11" i="7"/>
  <c r="I12" i="7"/>
  <c r="I13" i="7"/>
  <c r="I14" i="7"/>
  <c r="I15" i="7"/>
  <c r="I16" i="7"/>
  <c r="I17" i="7"/>
  <c r="J6" i="7" l="1"/>
  <c r="J7" i="7"/>
  <c r="J8" i="7"/>
  <c r="J9" i="7"/>
  <c r="J10" i="7"/>
  <c r="J11" i="7"/>
  <c r="J12" i="7"/>
  <c r="J13" i="7"/>
  <c r="J14" i="7"/>
  <c r="J15" i="7"/>
  <c r="J16" i="7"/>
  <c r="J17" i="7"/>
  <c r="H6" i="7"/>
  <c r="H7" i="7"/>
  <c r="H8" i="7"/>
  <c r="H9" i="7"/>
  <c r="H10" i="7"/>
  <c r="H11" i="7"/>
  <c r="H12" i="7"/>
  <c r="H13" i="7"/>
  <c r="H14" i="7"/>
  <c r="H15" i="7"/>
  <c r="H16" i="7"/>
  <c r="H17" i="7"/>
  <c r="E11" i="7"/>
  <c r="G11" i="7" a="1"/>
  <c r="G11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F6" i="7"/>
  <c r="F7" i="7"/>
  <c r="F8" i="7"/>
  <c r="F9" i="7"/>
  <c r="F10" i="7"/>
  <c r="F11" i="7"/>
  <c r="F12" i="7"/>
  <c r="F13" i="7"/>
  <c r="F14" i="7"/>
  <c r="F15" i="7"/>
  <c r="F16" i="7"/>
  <c r="F17" i="7"/>
  <c r="E6" i="7"/>
  <c r="E7" i="7"/>
  <c r="E8" i="7"/>
  <c r="E9" i="7"/>
  <c r="E10" i="7"/>
  <c r="E12" i="7"/>
  <c r="E13" i="7"/>
  <c r="E14" i="7"/>
  <c r="E15" i="7"/>
  <c r="E16" i="7"/>
  <c r="E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F8" i="6" l="1"/>
  <c r="F10" i="6" s="1"/>
  <c r="F6" i="6"/>
  <c r="E5" i="5" l="1"/>
  <c r="F5" i="5" s="1"/>
  <c r="E6" i="5"/>
  <c r="F6" i="5" s="1"/>
  <c r="F14" i="6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12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<sst xmlns="http://schemas.openxmlformats.org/spreadsheetml/2006/main" count="211" uniqueCount="79">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</sst>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4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166" fontId="18" fillId="9" borderId="7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Moneda" xfId="1" builtinId="4"/>
    <cellStyle name="Normal" xfId="0" builtinId="0"/>
  </cellStyles>
  <dxfs count="53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b/>
        <i val="0"/>
      </font>
      <fill>
        <patternFill>
          <bgColor theme="5" tint="0.59996337778862885"/>
        </patternFill>
      </fill>
    </dxf>
    <dxf>
      <font>
        <color rgb="FFFFFF00"/>
      </font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52"/>
      <tableStyleElement type="headerRow" dxfId="51"/>
      <tableStyleElement type="firstRowStripe" dxfId="50"/>
      <tableStyleElement type="firstColumnStripe" dxfId="49"/>
      <tableStyleElement type="firstHeaderCell" dxfId="48"/>
    </tableStyle>
    <tableStyle name="Serenatto Café e Bistrô" pivot="0" count="8" xr9:uid="{8893930E-E468-4850-879C-C0078EFF5D52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  <tableStyleElement type="firstHeaderCell" dxfId="40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totalsRowShown="0" headerRowDxfId="39" tableBorderDxfId="38">
  <autoFilter ref="B4:F32" xr:uid="{F0AF6394-EF65-45E1-9758-FD9D66AC3231}"/>
  <tableColumns count="5">
    <tableColumn id="1" xr3:uid="{6073F92B-A668-43CA-ACC7-070F6E4D94A5}" name="Producto" dataDxfId="37"/>
    <tableColumn id="2" xr3:uid="{0BE8200A-8342-4F01-899C-AAF566F194C5}" name="Unidad de Medida" dataDxfId="36"/>
    <tableColumn id="3" xr3:uid="{740F0444-A968-43F4-92B2-4E79007E1985}" name="Stock Mínimo" dataDxfId="35"/>
    <tableColumn id="4" xr3:uid="{9AA501E3-3C18-41ED-AE83-A9E3EF1EE871}" name="Costo Unitario" dataDxfId="34"/>
    <tableColumn id="5" xr3:uid="{0C8A8622-7DA0-492F-AB4F-AEC070DDC00F}" name="Precio Unitario" dataDxfId="33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32" tableBorderDxfId="31">
  <autoFilter ref="B5:E9" xr:uid="{CD00647B-4E8D-4A36-85A4-0A8755F2B8A4}"/>
  <tableColumns count="4">
    <tableColumn id="1" xr3:uid="{63B42362-8DB3-4714-BBC4-BBE73EAFEF47}" name="Empresa" dataDxfId="30"/>
    <tableColumn id="2" xr3:uid="{87ACEE19-99E4-4548-BF5A-98FFF08E81F2}" name="Teléfono" dataDxfId="29"/>
    <tableColumn id="3" xr3:uid="{FB62AD26-160C-4198-AA1D-C631BC434381}" name="Responsable" dataDxfId="28"/>
    <tableColumn id="4" xr3:uid="{0F91F07D-F0A7-4037-BC97-2040641DBE35}" name="E-mail" dataDxfId="27" dataCellStyle="Moneda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G31" totalsRowShown="0" headerRowDxfId="26" tableBorderDxfId="25">
  <autoFilter ref="B5:G31" xr:uid="{BF84F5BB-DA35-4A31-99F4-C2322915B9C4}"/>
  <tableColumns count="6">
    <tableColumn id="1" xr3:uid="{EC79F83A-7EF9-42F5-AAE8-1FD41239C9A4}" name="Fecha" dataDxfId="24"/>
    <tableColumn id="2" xr3:uid="{AED7AD57-B669-41CA-9892-80914837C295}" name="Producto" dataDxfId="23"/>
    <tableColumn id="3" xr3:uid="{5A77D640-5829-4F36-BFCC-81A04393316F}" name="Proveedor" dataDxfId="22"/>
    <tableColumn id="4" xr3:uid="{A720A641-1DB7-4DED-86E5-7FA5D65D4505}" name="Cantidad Comprada" dataDxfId="21" dataCellStyle="Moneda"/>
    <tableColumn id="5" xr3:uid="{C5ECE10D-4F4D-4DCE-AEB9-D9ED55084ED5}" name="Costo Unitario" dataDxfId="20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dataDxfId="19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F32" totalsRowShown="0" tableBorderDxfId="18">
  <autoFilter ref="B4:F32" xr:uid="{76A9F28D-17B5-4E77-B23B-462E3325059C}"/>
  <tableColumns count="5">
    <tableColumn id="1" xr3:uid="{41575399-A8EF-40F1-BD88-61B9CAA00E9C}" name="Fecha" dataDxfId="17"/>
    <tableColumn id="2" xr3:uid="{52C1A91D-EC67-4D5C-815B-A71D2A3A8E6F}" name="Producto" dataDxfId="16"/>
    <tableColumn id="3" xr3:uid="{07A43350-026D-4360-B1FC-A9DC8966664A}" name="Cantidad Vendida" dataDxfId="15"/>
    <tableColumn id="4" xr3:uid="{1C5FBD4D-DA7F-4178-986E-268D78D80121}" name="Precio Unitario" dataDxfId="14" dataCellStyle="Moneda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dataDxfId="13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12" dataDxfId="5">
  <autoFilter ref="B5:J17" xr:uid="{347EF29C-00D0-4030-B676-536CD20FE6BA}"/>
  <tableColumns count="9">
    <tableColumn id="1" xr3:uid="{1D8562F4-40E3-4A78-AAD9-E8203B460A5E}" name="Producto" dataDxfId="11"/>
    <tableColumn id="2" xr3:uid="{DD3DE186-85AA-45F0-80B7-2E03D9D22C46}" name="Entradas" dataDxfId="10">
      <calculatedColumnFormula>SUMIF(TB_Entradas[Producto],TB_ControlStock[[#This Row],[Producto]],TB_Entradas[Cantidad Comprada])</calculatedColumnFormula>
    </tableColumn>
    <tableColumn id="3" xr3:uid="{1D267570-2FAE-499A-955C-05BD9C94E4C3}" name="Salidas" dataDxfId="9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8">
      <calculatedColumnFormula>TB_ControlStock[[#This Row],[Entradas]]-TB_ControlStock[[#This Row],[Salidas]]</calculatedColumnFormula>
    </tableColumn>
    <tableColumn id="5" xr3:uid="{BFDF0550-4859-44A7-AF6A-35DB54694A3A}" name="Stock Mínimo" dataDxfId="7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6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2">
      <calculatedColumnFormula>SUMIFS(TB_Salidas[Valor de Venta],TB_Salidas[Producto],TB_ControlStock[[#This Row],[Producto]])</calculatedColumnFormula>
    </tableColumn>
    <tableColumn id="8" xr3:uid="{878575E6-DF13-46A9-BBC9-B0ED8177B234}" name="Costo Total" dataDxfId="0">
      <calculatedColumnFormula>SUMIFS(TB_Entradas[Valor de Compra],TB_Entradas[Producto],TB_ControlStock[[#This Row],[Producto]])</calculatedColumnFormula>
    </tableColumn>
    <tableColumn id="9" xr3:uid="{CEEE58FF-C558-4EA8-853E-D483134C7E51}" name="Ganancias" dataDxfId="1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zoomScale="140" zoomScaleNormal="140" workbookViewId="0">
      <selection activeCell="F5" sqref="F5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B10" sqref="B10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topLeftCell="A13" zoomScaleNormal="100" workbookViewId="0">
      <selection activeCell="G6" sqref="G6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7" s="5" customFormat="1" ht="60" customHeight="1" x14ac:dyDescent="0.25">
      <c r="E1" s="6" t="s">
        <v>60</v>
      </c>
      <c r="F1" s="7"/>
    </row>
    <row r="2" spans="2:7" s="8" customFormat="1" ht="6" customHeight="1" x14ac:dyDescent="0.25">
      <c r="F2" s="9"/>
    </row>
    <row r="4" spans="2:7" x14ac:dyDescent="0.25">
      <c r="B4"/>
    </row>
    <row r="5" spans="2:7" s="4" customFormat="1" x14ac:dyDescent="0.25">
      <c r="B5" s="31" t="s">
        <v>61</v>
      </c>
      <c r="C5" s="31" t="s">
        <v>2</v>
      </c>
      <c r="D5" s="31" t="s">
        <v>3</v>
      </c>
      <c r="E5" s="31" t="s">
        <v>62</v>
      </c>
      <c r="F5" s="31" t="s">
        <v>36</v>
      </c>
      <c r="G5" s="31" t="s">
        <v>67</v>
      </c>
    </row>
    <row r="6" spans="2:7" ht="18" x14ac:dyDescent="0.35">
      <c r="B6" s="36">
        <v>44566</v>
      </c>
      <c r="C6" s="37" t="s">
        <v>5</v>
      </c>
      <c r="D6" s="38" t="s">
        <v>0</v>
      </c>
      <c r="E6" s="39">
        <v>275</v>
      </c>
      <c r="F6" s="40">
        <f>_xlfn.XLOOKUP(TB_Entradas[[#This Row],[Producto]],TB_Producto[Producto],TB_Producto[Costo Unitario],"Producto Incorrecto")</f>
        <v>3</v>
      </c>
      <c r="G6" s="40">
        <f>IFERROR(TB_Entradas[[#This Row],[Cantidad Comprada]]*TB_Entradas[[#This Row],[Costo Unitario]],"Producto Incorrecto")</f>
        <v>825</v>
      </c>
    </row>
    <row r="7" spans="2:7" ht="18" x14ac:dyDescent="0.35">
      <c r="B7" s="36">
        <v>44566</v>
      </c>
      <c r="C7" s="37" t="s">
        <v>20</v>
      </c>
      <c r="D7" s="38" t="s">
        <v>4</v>
      </c>
      <c r="E7" s="39">
        <v>510</v>
      </c>
      <c r="F7" s="40">
        <f>_xlfn.XLOOKUP(TB_Entradas[[#This Row],[Producto]],TB_Producto[Producto],TB_Producto[Costo Unitario],"Producto Incorrecto")</f>
        <v>1.5</v>
      </c>
      <c r="G7" s="40">
        <f>IFERROR(TB_Entradas[[#This Row],[Cantidad Comprada]]*TB_Entradas[[#This Row],[Costo Unitario]],"Producto Incorrecto")</f>
        <v>765</v>
      </c>
    </row>
    <row r="8" spans="2:7" ht="18" x14ac:dyDescent="0.35">
      <c r="B8" s="36">
        <v>44593</v>
      </c>
      <c r="C8" s="37" t="s">
        <v>22</v>
      </c>
      <c r="D8" s="38" t="s">
        <v>4</v>
      </c>
      <c r="E8" s="39">
        <v>550</v>
      </c>
      <c r="F8" s="40">
        <f>_xlfn.XLOOKUP(TB_Entradas[[#This Row],[Producto]],TB_Producto[Producto],TB_Producto[Costo Unitario],"Producto Incorrecto")</f>
        <v>2</v>
      </c>
      <c r="G8" s="40">
        <f>IFERROR(TB_Entradas[[#This Row],[Cantidad Comprada]]*TB_Entradas[[#This Row],[Costo Unitario]],"Producto Incorrecto")</f>
        <v>1100</v>
      </c>
    </row>
    <row r="9" spans="2:7" ht="18" x14ac:dyDescent="0.35">
      <c r="B9" s="36">
        <v>44594</v>
      </c>
      <c r="C9" s="37" t="s">
        <v>40</v>
      </c>
      <c r="D9" s="38" t="s">
        <v>0</v>
      </c>
      <c r="E9" s="39">
        <v>300</v>
      </c>
      <c r="F9" s="40">
        <f>_xlfn.XLOOKUP(TB_Entradas[[#This Row],[Producto]],TB_Producto[Producto],TB_Producto[Costo Unitario],"Producto Incorrecto")</f>
        <v>0.1</v>
      </c>
      <c r="G9" s="40">
        <f>IFERROR(TB_Entradas[[#This Row],[Cantidad Comprada]]*TB_Entradas[[#This Row],[Costo Unitario]],"Producto Incorrecto")</f>
        <v>30</v>
      </c>
    </row>
    <row r="10" spans="2:7" ht="18" x14ac:dyDescent="0.35">
      <c r="B10" s="36">
        <v>44598</v>
      </c>
      <c r="C10" s="37" t="s">
        <v>5</v>
      </c>
      <c r="D10" s="38" t="s">
        <v>0</v>
      </c>
      <c r="E10" s="39">
        <v>150</v>
      </c>
      <c r="F10" s="40">
        <f>_xlfn.XLOOKUP(TB_Entradas[[#This Row],[Producto]],TB_Producto[Producto],TB_Producto[Costo Unitario],"Producto Incorrecto")</f>
        <v>3</v>
      </c>
      <c r="G10" s="40">
        <f>IFERROR(TB_Entradas[[#This Row],[Cantidad Comprada]]*TB_Entradas[[#This Row],[Costo Unitario]],"Producto Incorrecto")</f>
        <v>450</v>
      </c>
    </row>
    <row r="11" spans="2:7" ht="18" x14ac:dyDescent="0.35">
      <c r="B11" s="36">
        <v>44625</v>
      </c>
      <c r="C11" s="37" t="s">
        <v>27</v>
      </c>
      <c r="D11" s="38" t="s">
        <v>52</v>
      </c>
      <c r="E11" s="39">
        <v>365</v>
      </c>
      <c r="F11" s="40">
        <f>_xlfn.XLOOKUP(TB_Entradas[[#This Row],[Producto]],TB_Producto[Producto],TB_Producto[Costo Unitario],"Producto Incorrecto")</f>
        <v>0.5</v>
      </c>
      <c r="G11" s="40">
        <f>IFERROR(TB_Entradas[[#This Row],[Cantidad Comprada]]*TB_Entradas[[#This Row],[Costo Unitario]],"Producto Incorrecto")</f>
        <v>182.5</v>
      </c>
    </row>
    <row r="12" spans="2:7" ht="18" x14ac:dyDescent="0.35">
      <c r="B12" s="36">
        <v>44630</v>
      </c>
      <c r="C12" s="37" t="s">
        <v>10</v>
      </c>
      <c r="D12" s="38" t="s">
        <v>0</v>
      </c>
      <c r="E12" s="39">
        <v>200</v>
      </c>
      <c r="F12" s="40">
        <f>_xlfn.XLOOKUP(TB_Entradas[[#This Row],[Producto]],TB_Producto[Producto],TB_Producto[Costo Unitario],"Producto Incorrecto")</f>
        <v>3.5</v>
      </c>
      <c r="G12" s="40">
        <f>IFERROR(TB_Entradas[[#This Row],[Cantidad Comprada]]*TB_Entradas[[#This Row],[Costo Unitario]],"Producto Incorrecto")</f>
        <v>700</v>
      </c>
    </row>
    <row r="13" spans="2:7" ht="18" x14ac:dyDescent="0.35">
      <c r="B13" s="36">
        <v>44635</v>
      </c>
      <c r="C13" s="37" t="s">
        <v>5</v>
      </c>
      <c r="D13" s="38" t="s">
        <v>0</v>
      </c>
      <c r="E13" s="39">
        <v>150</v>
      </c>
      <c r="F13" s="40">
        <f>_xlfn.XLOOKUP(TB_Entradas[[#This Row],[Producto]],TB_Producto[Producto],TB_Producto[Costo Unitario],"Producto Incorrecto")</f>
        <v>3</v>
      </c>
      <c r="G13" s="40">
        <f>IFERROR(TB_Entradas[[#This Row],[Cantidad Comprada]]*TB_Entradas[[#This Row],[Costo Unitario]],"Producto Incorrecto")</f>
        <v>450</v>
      </c>
    </row>
    <row r="14" spans="2:7" ht="18" x14ac:dyDescent="0.35">
      <c r="B14" s="36">
        <v>44655</v>
      </c>
      <c r="C14" s="37" t="s">
        <v>29</v>
      </c>
      <c r="D14" s="38" t="s">
        <v>52</v>
      </c>
      <c r="E14" s="39">
        <v>50</v>
      </c>
      <c r="F14" s="40">
        <f>_xlfn.XLOOKUP(TB_Entradas[[#This Row],[Producto]],TB_Producto[Producto],TB_Producto[Costo Unitario],"Producto Incorrecto")</f>
        <v>1.25</v>
      </c>
      <c r="G14" s="40">
        <f>IFERROR(TB_Entradas[[#This Row],[Cantidad Comprada]]*TB_Entradas[[#This Row],[Costo Unitario]],"Producto Incorrecto")</f>
        <v>62.5</v>
      </c>
    </row>
    <row r="15" spans="2:7" ht="18" x14ac:dyDescent="0.35">
      <c r="B15" s="36">
        <v>44661</v>
      </c>
      <c r="C15" s="37" t="s">
        <v>5</v>
      </c>
      <c r="D15" s="38" t="s">
        <v>0</v>
      </c>
      <c r="E15" s="39">
        <v>700</v>
      </c>
      <c r="F15" s="40">
        <f>_xlfn.XLOOKUP(TB_Entradas[[#This Row],[Producto]],TB_Producto[Producto],TB_Producto[Costo Unitario],"Producto Incorrecto")</f>
        <v>3</v>
      </c>
      <c r="G15" s="40">
        <f>IFERROR(TB_Entradas[[#This Row],[Cantidad Comprada]]*TB_Entradas[[#This Row],[Costo Unitario]],"Producto Incorrecto")</f>
        <v>2100</v>
      </c>
    </row>
    <row r="16" spans="2:7" ht="18" x14ac:dyDescent="0.35">
      <c r="B16" s="36">
        <v>44686</v>
      </c>
      <c r="C16" s="37" t="s">
        <v>31</v>
      </c>
      <c r="D16" s="38" t="s">
        <v>1</v>
      </c>
      <c r="E16" s="39">
        <v>65</v>
      </c>
      <c r="F16" s="40">
        <f>_xlfn.XLOOKUP(TB_Entradas[[#This Row],[Producto]],TB_Producto[Producto],TB_Producto[Costo Unitario],"Producto Incorrecto")</f>
        <v>2.5</v>
      </c>
      <c r="G16" s="40">
        <f>IFERROR(TB_Entradas[[#This Row],[Cantidad Comprada]]*TB_Entradas[[#This Row],[Costo Unitario]],"Producto Incorrecto")</f>
        <v>162.5</v>
      </c>
    </row>
    <row r="17" spans="2:7" ht="18" x14ac:dyDescent="0.35">
      <c r="B17" s="36">
        <v>44691</v>
      </c>
      <c r="C17" s="37" t="s">
        <v>24</v>
      </c>
      <c r="D17" s="38" t="s">
        <v>4</v>
      </c>
      <c r="E17" s="39">
        <v>500</v>
      </c>
      <c r="F17" s="40">
        <f>_xlfn.XLOOKUP(TB_Entradas[[#This Row],[Producto]],TB_Producto[Producto],TB_Producto[Costo Unitario],"Producto Incorrecto")</f>
        <v>1.5</v>
      </c>
      <c r="G17" s="40">
        <f>IFERROR(TB_Entradas[[#This Row],[Cantidad Comprada]]*TB_Entradas[[#This Row],[Costo Unitario]],"Producto Incorrecto")</f>
        <v>750</v>
      </c>
    </row>
    <row r="18" spans="2:7" ht="18" x14ac:dyDescent="0.35">
      <c r="B18" s="36">
        <v>44691</v>
      </c>
      <c r="C18" s="37" t="s">
        <v>5</v>
      </c>
      <c r="D18" s="38" t="s">
        <v>0</v>
      </c>
      <c r="E18" s="39">
        <v>100</v>
      </c>
      <c r="F18" s="40">
        <f>_xlfn.XLOOKUP(TB_Entradas[[#This Row],[Producto]],TB_Producto[Producto],TB_Producto[Costo Unitario],"Producto Incorrecto")</f>
        <v>3</v>
      </c>
      <c r="G18" s="40">
        <f>IFERROR(TB_Entradas[[#This Row],[Cantidad Comprada]]*TB_Entradas[[#This Row],[Costo Unitario]],"Producto Incorrecto")</f>
        <v>300</v>
      </c>
    </row>
    <row r="19" spans="2:7" ht="18" x14ac:dyDescent="0.35">
      <c r="B19" s="36">
        <v>44714</v>
      </c>
      <c r="C19" s="37" t="s">
        <v>5</v>
      </c>
      <c r="D19" s="38" t="s">
        <v>0</v>
      </c>
      <c r="E19" s="39">
        <v>150</v>
      </c>
      <c r="F19" s="40">
        <f>_xlfn.XLOOKUP(TB_Entradas[[#This Row],[Producto]],TB_Producto[Producto],TB_Producto[Costo Unitario],"Producto Incorrecto")</f>
        <v>3</v>
      </c>
      <c r="G19" s="40">
        <f>IFERROR(TB_Entradas[[#This Row],[Cantidad Comprada]]*TB_Entradas[[#This Row],[Costo Unitario]],"Producto Incorrecto")</f>
        <v>450</v>
      </c>
    </row>
    <row r="20" spans="2:7" ht="18" x14ac:dyDescent="0.35">
      <c r="B20" s="36">
        <v>44719</v>
      </c>
      <c r="C20" s="37" t="s">
        <v>18</v>
      </c>
      <c r="D20" s="38" t="s">
        <v>0</v>
      </c>
      <c r="E20" s="39">
        <v>275</v>
      </c>
      <c r="F20" s="40">
        <f>_xlfn.XLOOKUP(TB_Entradas[[#This Row],[Producto]],TB_Producto[Producto],TB_Producto[Costo Unitario],"Producto Incorrecto")</f>
        <v>4.5</v>
      </c>
      <c r="G20" s="40">
        <f>IFERROR(TB_Entradas[[#This Row],[Cantidad Comprada]]*TB_Entradas[[#This Row],[Costo Unitario]],"Producto Incorrecto")</f>
        <v>1237.5</v>
      </c>
    </row>
    <row r="21" spans="2:7" ht="18" x14ac:dyDescent="0.35">
      <c r="B21" s="36">
        <v>44743</v>
      </c>
      <c r="C21" s="37" t="s">
        <v>5</v>
      </c>
      <c r="D21" s="38" t="s">
        <v>0</v>
      </c>
      <c r="E21" s="39">
        <v>250</v>
      </c>
      <c r="F21" s="40">
        <f>_xlfn.XLOOKUP(TB_Entradas[[#This Row],[Producto]],TB_Producto[Producto],TB_Producto[Costo Unitario],"Producto Incorrecto")</f>
        <v>3</v>
      </c>
      <c r="G21" s="40">
        <f>IFERROR(TB_Entradas[[#This Row],[Cantidad Comprada]]*TB_Entradas[[#This Row],[Costo Unitario]],"Producto Incorrecto")</f>
        <v>750</v>
      </c>
    </row>
    <row r="22" spans="2:7" ht="18" x14ac:dyDescent="0.35">
      <c r="B22" s="36">
        <v>44747</v>
      </c>
      <c r="C22" s="37" t="s">
        <v>26</v>
      </c>
      <c r="D22" s="38" t="s">
        <v>52</v>
      </c>
      <c r="E22" s="39">
        <v>200</v>
      </c>
      <c r="F22" s="40">
        <f>_xlfn.XLOOKUP(TB_Entradas[[#This Row],[Producto]],TB_Producto[Producto],TB_Producto[Costo Unitario],"Producto Incorrecto")</f>
        <v>1.5</v>
      </c>
      <c r="G22" s="40">
        <f>IFERROR(TB_Entradas[[#This Row],[Cantidad Comprada]]*TB_Entradas[[#This Row],[Costo Unitario]],"Producto Incorrecto")</f>
        <v>300</v>
      </c>
    </row>
    <row r="23" spans="2:7" ht="18" x14ac:dyDescent="0.35">
      <c r="B23" s="36">
        <v>44783</v>
      </c>
      <c r="C23" s="37" t="s">
        <v>12</v>
      </c>
      <c r="D23" s="38" t="s">
        <v>0</v>
      </c>
      <c r="E23" s="39">
        <v>350</v>
      </c>
      <c r="F23" s="40">
        <f>_xlfn.XLOOKUP(TB_Entradas[[#This Row],[Producto]],TB_Producto[Producto],TB_Producto[Costo Unitario],"Producto Incorrecto")</f>
        <v>1.25</v>
      </c>
      <c r="G23" s="40">
        <f>IFERROR(TB_Entradas[[#This Row],[Cantidad Comprada]]*TB_Entradas[[#This Row],[Costo Unitario]],"Producto Incorrecto")</f>
        <v>437.5</v>
      </c>
    </row>
    <row r="24" spans="2:7" ht="18" x14ac:dyDescent="0.35">
      <c r="B24" s="36">
        <v>44794</v>
      </c>
      <c r="C24" s="37" t="s">
        <v>32</v>
      </c>
      <c r="D24" s="38" t="s">
        <v>4</v>
      </c>
      <c r="E24" s="39">
        <v>300</v>
      </c>
      <c r="F24" s="40">
        <f>_xlfn.XLOOKUP(TB_Entradas[[#This Row],[Producto]],TB_Producto[Producto],TB_Producto[Costo Unitario],"Producto Incorrecto")</f>
        <v>2.25</v>
      </c>
      <c r="G24" s="40">
        <f>IFERROR(TB_Entradas[[#This Row],[Cantidad Comprada]]*TB_Entradas[[#This Row],[Costo Unitario]],"Producto Incorrecto")</f>
        <v>675</v>
      </c>
    </row>
    <row r="25" spans="2:7" ht="18" x14ac:dyDescent="0.35">
      <c r="B25" s="36">
        <v>44804</v>
      </c>
      <c r="C25" s="37" t="s">
        <v>5</v>
      </c>
      <c r="D25" s="38" t="s">
        <v>0</v>
      </c>
      <c r="E25" s="39">
        <v>225</v>
      </c>
      <c r="F25" s="40">
        <f>_xlfn.XLOOKUP(TB_Entradas[[#This Row],[Producto]],TB_Producto[Producto],TB_Producto[Costo Unitario],"Producto Incorrecto")</f>
        <v>3</v>
      </c>
      <c r="G25" s="40">
        <f>IFERROR(TB_Entradas[[#This Row],[Cantidad Comprada]]*TB_Entradas[[#This Row],[Costo Unitario]],"Producto Incorrecto")</f>
        <v>675</v>
      </c>
    </row>
    <row r="26" spans="2:7" ht="18" x14ac:dyDescent="0.35">
      <c r="B26" s="36">
        <v>44806</v>
      </c>
      <c r="C26" s="37" t="s">
        <v>27</v>
      </c>
      <c r="D26" s="38" t="s">
        <v>52</v>
      </c>
      <c r="E26" s="39">
        <v>250</v>
      </c>
      <c r="F26" s="40">
        <f>_xlfn.XLOOKUP(TB_Entradas[[#This Row],[Producto]],TB_Producto[Producto],TB_Producto[Costo Unitario],"Producto Incorrecto")</f>
        <v>0.5</v>
      </c>
      <c r="G26" s="40">
        <f>IFERROR(TB_Entradas[[#This Row],[Cantidad Comprada]]*TB_Entradas[[#This Row],[Costo Unitario]],"Producto Incorrecto")</f>
        <v>125</v>
      </c>
    </row>
    <row r="27" spans="2:7" ht="18" x14ac:dyDescent="0.35">
      <c r="B27" s="36">
        <v>44821</v>
      </c>
      <c r="C27" s="37" t="s">
        <v>25</v>
      </c>
      <c r="D27" s="38" t="s">
        <v>1</v>
      </c>
      <c r="E27" s="39">
        <v>450</v>
      </c>
      <c r="F27" s="40">
        <f>_xlfn.XLOOKUP(TB_Entradas[[#This Row],[Producto]],TB_Producto[Producto],TB_Producto[Costo Unitario],"Producto Incorrecto")</f>
        <v>4</v>
      </c>
      <c r="G27" s="40">
        <f>IFERROR(TB_Entradas[[#This Row],[Cantidad Comprada]]*TB_Entradas[[#This Row],[Costo Unitario]],"Producto Incorrecto")</f>
        <v>1800</v>
      </c>
    </row>
    <row r="28" spans="2:7" ht="18" x14ac:dyDescent="0.35">
      <c r="B28" s="36">
        <v>44834</v>
      </c>
      <c r="C28" s="37" t="s">
        <v>5</v>
      </c>
      <c r="D28" s="38" t="s">
        <v>0</v>
      </c>
      <c r="E28" s="39">
        <v>75</v>
      </c>
      <c r="F28" s="40">
        <f>_xlfn.XLOOKUP(TB_Entradas[[#This Row],[Producto]],TB_Producto[Producto],TB_Producto[Costo Unitario],"Producto Incorrecto")</f>
        <v>3</v>
      </c>
      <c r="G28" s="40">
        <f>IFERROR(TB_Entradas[[#This Row],[Cantidad Comprada]]*TB_Entradas[[#This Row],[Costo Unitario]],"Producto Incorrecto")</f>
        <v>225</v>
      </c>
    </row>
    <row r="29" spans="2:7" ht="18" x14ac:dyDescent="0.35">
      <c r="B29" s="36">
        <v>44854</v>
      </c>
      <c r="C29" s="37" t="s">
        <v>5</v>
      </c>
      <c r="D29" s="38" t="s">
        <v>0</v>
      </c>
      <c r="E29" s="39">
        <v>225</v>
      </c>
      <c r="F29" s="40">
        <f>_xlfn.XLOOKUP(TB_Entradas[[#This Row],[Producto]],TB_Producto[Producto],TB_Producto[Costo Unitario],"Producto Incorrecto")</f>
        <v>3</v>
      </c>
      <c r="G29" s="40">
        <f>IFERROR(TB_Entradas[[#This Row],[Cantidad Comprada]]*TB_Entradas[[#This Row],[Costo Unitario]],"Producto Incorrecto")</f>
        <v>675</v>
      </c>
    </row>
    <row r="30" spans="2:7" ht="18" x14ac:dyDescent="0.35">
      <c r="B30" s="36">
        <v>44874</v>
      </c>
      <c r="C30" s="37" t="s">
        <v>28</v>
      </c>
      <c r="D30" s="38" t="s">
        <v>52</v>
      </c>
      <c r="E30" s="39">
        <v>150</v>
      </c>
      <c r="F30" s="40">
        <f>_xlfn.XLOOKUP(TB_Entradas[[#This Row],[Producto]],TB_Producto[Producto],TB_Producto[Costo Unitario],"Producto Incorrecto")</f>
        <v>0.25</v>
      </c>
      <c r="G30" s="40">
        <f>IFERROR(TB_Entradas[[#This Row],[Cantidad Comprada]]*TB_Entradas[[#This Row],[Costo Unitario]],"Producto Incorrecto")</f>
        <v>37.5</v>
      </c>
    </row>
    <row r="31" spans="2:7" ht="18" x14ac:dyDescent="0.35">
      <c r="B31" s="36">
        <v>44883</v>
      </c>
      <c r="C31" s="37" t="s">
        <v>29</v>
      </c>
      <c r="D31" s="38" t="s">
        <v>52</v>
      </c>
      <c r="E31" s="39">
        <v>100</v>
      </c>
      <c r="F31" s="40">
        <f>_xlfn.XLOOKUP(TB_Entradas[[#This Row],[Producto]],TB_Producto[Producto],TB_Producto[Costo Unitario],"Producto Incorrecto")</f>
        <v>1.25</v>
      </c>
      <c r="G31" s="40">
        <f>IFERROR(TB_Entradas[[#This Row],[Cantidad Comprada]]*TB_Entradas[[#This Row],[Costo Unitario]],"Producto Incorrecto")</f>
        <v>125</v>
      </c>
    </row>
  </sheetData>
  <dataValidations count="2">
    <dataValidation type="list" allowBlank="1" showInputMessage="1" showErrorMessage="1" sqref="C6:C31" xr:uid="{3591EBEC-F6F8-4135-8EBE-CA57855A7A9F}">
      <formula1>Lista_Productos</formula1>
    </dataValidation>
    <dataValidation type="list" allowBlank="1" showInputMessage="1" showErrorMessage="1" sqref="D6:D31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2"/>
  <sheetViews>
    <sheetView showGridLines="0" zoomScale="140" zoomScaleNormal="140" workbookViewId="0">
      <selection activeCell="B10" activeCellId="1" sqref="B6:F6 B10:F10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  <col min="5" max="6" width="18.5703125" customWidth="1"/>
  </cols>
  <sheetData>
    <row r="1" spans="2:6" s="5" customFormat="1" ht="60" customHeight="1" x14ac:dyDescent="0.25">
      <c r="E1" s="6" t="s">
        <v>63</v>
      </c>
      <c r="F1" s="7"/>
    </row>
    <row r="2" spans="2:6" s="8" customFormat="1" ht="6" customHeight="1" x14ac:dyDescent="0.25">
      <c r="F2" s="9"/>
    </row>
    <row r="4" spans="2:6" ht="15.75" thickBot="1" x14ac:dyDescent="0.3">
      <c r="B4" s="41" t="s">
        <v>61</v>
      </c>
      <c r="C4" s="41" t="s">
        <v>2</v>
      </c>
      <c r="D4" s="42" t="s">
        <v>64</v>
      </c>
      <c r="E4" s="35" t="s">
        <v>37</v>
      </c>
      <c r="F4" s="35" t="s">
        <v>65</v>
      </c>
    </row>
    <row r="5" spans="2:6" ht="18" x14ac:dyDescent="0.35">
      <c r="B5" s="3">
        <v>44566</v>
      </c>
      <c r="C5" s="43" t="s">
        <v>20</v>
      </c>
      <c r="D5" s="44">
        <v>150</v>
      </c>
      <c r="E5" s="45">
        <f>_xlfn.XLOOKUP(TB_Salidas[[#This Row],[Producto]],TB_Producto[Producto],TB_Producto[Precio Unitario],"Producto Incorrecto")</f>
        <v>3.5</v>
      </c>
      <c r="F5" s="40">
        <f>TB_Salidas[[#This Row],[Cantidad Vendida]]*TB_Salidas[[#This Row],[Precio Unitario]]</f>
        <v>525</v>
      </c>
    </row>
    <row r="6" spans="2:6" ht="18" x14ac:dyDescent="0.35">
      <c r="B6" s="3">
        <v>44567</v>
      </c>
      <c r="C6" s="43" t="s">
        <v>5</v>
      </c>
      <c r="D6" s="44">
        <v>200</v>
      </c>
      <c r="E6" s="45">
        <f>_xlfn.XLOOKUP(TB_Salidas[[#This Row],[Producto]],TB_Producto[Producto],TB_Producto[Precio Unitario],"Producto Incorrecto")</f>
        <v>5</v>
      </c>
      <c r="F6" s="40">
        <f>TB_Salidas[[#This Row],[Cantidad Vendida]]*TB_Salidas[[#This Row],[Precio Unitario]]</f>
        <v>1000</v>
      </c>
    </row>
    <row r="7" spans="2:6" ht="18" x14ac:dyDescent="0.35">
      <c r="B7" s="3">
        <v>44597</v>
      </c>
      <c r="C7" s="43" t="s">
        <v>22</v>
      </c>
      <c r="D7" s="44">
        <v>325</v>
      </c>
      <c r="E7" s="45">
        <f>_xlfn.XLOOKUP(TB_Salidas[[#This Row],[Producto]],TB_Producto[Producto],TB_Producto[Precio Unitario],"Producto Incorrecto")</f>
        <v>4.75</v>
      </c>
      <c r="F7" s="40">
        <f>TB_Salidas[[#This Row],[Cantidad Vendida]]*TB_Salidas[[#This Row],[Precio Unitario]]</f>
        <v>1543.75</v>
      </c>
    </row>
    <row r="8" spans="2:6" ht="18" x14ac:dyDescent="0.35">
      <c r="B8" s="3">
        <v>44598</v>
      </c>
      <c r="C8" s="43" t="s">
        <v>40</v>
      </c>
      <c r="D8" s="44">
        <v>275</v>
      </c>
      <c r="E8" s="45">
        <f>_xlfn.XLOOKUP(TB_Salidas[[#This Row],[Producto]],TB_Producto[Producto],TB_Producto[Precio Unitario],"Producto Incorrecto")</f>
        <v>0.75</v>
      </c>
      <c r="F8" s="40">
        <f>TB_Salidas[[#This Row],[Cantidad Vendida]]*TB_Salidas[[#This Row],[Precio Unitario]]</f>
        <v>206.25</v>
      </c>
    </row>
    <row r="9" spans="2:6" ht="18" x14ac:dyDescent="0.35">
      <c r="B9" s="3">
        <v>44626</v>
      </c>
      <c r="C9" s="43" t="s">
        <v>27</v>
      </c>
      <c r="D9" s="44">
        <v>287</v>
      </c>
      <c r="E9" s="45">
        <f>_xlfn.XLOOKUP(TB_Salidas[[#This Row],[Producto]],TB_Producto[Producto],TB_Producto[Precio Unitario],"Producto Incorrecto")</f>
        <v>1</v>
      </c>
      <c r="F9" s="40">
        <f>TB_Salidas[[#This Row],[Cantidad Vendida]]*TB_Salidas[[#This Row],[Precio Unitario]]</f>
        <v>287</v>
      </c>
    </row>
    <row r="10" spans="2:6" ht="18" x14ac:dyDescent="0.35">
      <c r="B10" s="3">
        <v>44630</v>
      </c>
      <c r="C10" s="43" t="s">
        <v>5</v>
      </c>
      <c r="D10" s="44">
        <v>100</v>
      </c>
      <c r="E10" s="45">
        <f>_xlfn.XLOOKUP(TB_Salidas[[#This Row],[Producto]],TB_Producto[Producto],TB_Producto[Precio Unitario],"Producto Incorrecto")</f>
        <v>5</v>
      </c>
      <c r="F10" s="40">
        <f>TB_Salidas[[#This Row],[Cantidad Vendida]]*TB_Salidas[[#This Row],[Precio Unitario]]</f>
        <v>500</v>
      </c>
    </row>
    <row r="11" spans="2:6" ht="18" x14ac:dyDescent="0.35">
      <c r="B11" s="3">
        <v>44659</v>
      </c>
      <c r="C11" s="43" t="s">
        <v>20</v>
      </c>
      <c r="D11" s="44">
        <v>100</v>
      </c>
      <c r="E11" s="45">
        <f>_xlfn.XLOOKUP(TB_Salidas[[#This Row],[Producto]],TB_Producto[Producto],TB_Producto[Precio Unitario],"Producto Incorrecto")</f>
        <v>3.5</v>
      </c>
      <c r="F11" s="40">
        <f>TB_Salidas[[#This Row],[Cantidad Vendida]]*TB_Salidas[[#This Row],[Precio Unitario]]</f>
        <v>350</v>
      </c>
    </row>
    <row r="12" spans="2:6" ht="18" x14ac:dyDescent="0.35">
      <c r="B12" s="3">
        <v>44663</v>
      </c>
      <c r="C12" s="43" t="s">
        <v>5</v>
      </c>
      <c r="D12" s="44">
        <v>200</v>
      </c>
      <c r="E12" s="45">
        <f>_xlfn.XLOOKUP(TB_Salidas[[#This Row],[Producto]],TB_Producto[Producto],TB_Producto[Precio Unitario],"Producto Incorrecto")</f>
        <v>5</v>
      </c>
      <c r="F12" s="40">
        <f>TB_Salidas[[#This Row],[Cantidad Vendida]]*TB_Salidas[[#This Row],[Precio Unitario]]</f>
        <v>1000</v>
      </c>
    </row>
    <row r="13" spans="2:6" ht="18" x14ac:dyDescent="0.35">
      <c r="B13" s="3">
        <v>44667</v>
      </c>
      <c r="C13" s="43" t="s">
        <v>29</v>
      </c>
      <c r="D13" s="44">
        <v>50</v>
      </c>
      <c r="E13" s="45">
        <f>_xlfn.XLOOKUP(TB_Salidas[[#This Row],[Producto]],TB_Producto[Producto],TB_Producto[Precio Unitario],"Producto Incorrecto")</f>
        <v>2.25</v>
      </c>
      <c r="F13" s="40">
        <f>TB_Salidas[[#This Row],[Cantidad Vendida]]*TB_Salidas[[#This Row],[Precio Unitario]]</f>
        <v>112.5</v>
      </c>
    </row>
    <row r="14" spans="2:6" ht="18" x14ac:dyDescent="0.35">
      <c r="B14" s="3">
        <v>44691</v>
      </c>
      <c r="C14" s="43" t="s">
        <v>20</v>
      </c>
      <c r="D14" s="44">
        <v>200</v>
      </c>
      <c r="E14" s="45">
        <f>_xlfn.XLOOKUP(TB_Salidas[[#This Row],[Producto]],TB_Producto[Producto],TB_Producto[Precio Unitario],"Producto Incorrecto")</f>
        <v>3.5</v>
      </c>
      <c r="F14" s="40">
        <f>TB_Salidas[[#This Row],[Cantidad Vendida]]*TB_Salidas[[#This Row],[Precio Unitario]]</f>
        <v>700</v>
      </c>
    </row>
    <row r="15" spans="2:6" ht="18" x14ac:dyDescent="0.35">
      <c r="B15" s="3">
        <v>44691</v>
      </c>
      <c r="C15" s="43" t="s">
        <v>22</v>
      </c>
      <c r="D15" s="44">
        <v>175</v>
      </c>
      <c r="E15" s="45">
        <f>_xlfn.XLOOKUP(TB_Salidas[[#This Row],[Producto]],TB_Producto[Producto],TB_Producto[Precio Unitario],"Producto Incorrecto")</f>
        <v>4.75</v>
      </c>
      <c r="F15" s="40">
        <f>TB_Salidas[[#This Row],[Cantidad Vendida]]*TB_Salidas[[#This Row],[Precio Unitario]]</f>
        <v>831.25</v>
      </c>
    </row>
    <row r="16" spans="2:6" ht="18" x14ac:dyDescent="0.35">
      <c r="B16" s="3">
        <v>44692</v>
      </c>
      <c r="C16" s="43" t="s">
        <v>31</v>
      </c>
      <c r="D16" s="44">
        <v>15</v>
      </c>
      <c r="E16" s="45">
        <f>_xlfn.XLOOKUP(TB_Salidas[[#This Row],[Producto]],TB_Producto[Producto],TB_Producto[Precio Unitario],"Producto Incorrecto")</f>
        <v>5</v>
      </c>
      <c r="F16" s="40">
        <f>TB_Salidas[[#This Row],[Cantidad Vendida]]*TB_Salidas[[#This Row],[Precio Unitario]]</f>
        <v>75</v>
      </c>
    </row>
    <row r="17" spans="2:6" ht="18" x14ac:dyDescent="0.35">
      <c r="B17" s="3">
        <v>44692</v>
      </c>
      <c r="C17" s="43" t="s">
        <v>5</v>
      </c>
      <c r="D17" s="44">
        <v>350</v>
      </c>
      <c r="E17" s="45">
        <f>_xlfn.XLOOKUP(TB_Salidas[[#This Row],[Producto]],TB_Producto[Producto],TB_Producto[Precio Unitario],"Producto Incorrecto")</f>
        <v>5</v>
      </c>
      <c r="F17" s="40">
        <f>TB_Salidas[[#This Row],[Cantidad Vendida]]*TB_Salidas[[#This Row],[Precio Unitario]]</f>
        <v>1750</v>
      </c>
    </row>
    <row r="18" spans="2:6" ht="18" x14ac:dyDescent="0.35">
      <c r="B18" s="3">
        <v>44737</v>
      </c>
      <c r="C18" s="43" t="s">
        <v>18</v>
      </c>
      <c r="D18" s="44">
        <v>250</v>
      </c>
      <c r="E18" s="45">
        <f>_xlfn.XLOOKUP(TB_Salidas[[#This Row],[Producto]],TB_Producto[Producto],TB_Producto[Precio Unitario],"Producto Incorrecto")</f>
        <v>7</v>
      </c>
      <c r="F18" s="40">
        <f>TB_Salidas[[#This Row],[Cantidad Vendida]]*TB_Salidas[[#This Row],[Precio Unitario]]</f>
        <v>1750</v>
      </c>
    </row>
    <row r="19" spans="2:6" ht="18" x14ac:dyDescent="0.35">
      <c r="B19" s="3">
        <v>44749</v>
      </c>
      <c r="C19" s="43" t="s">
        <v>26</v>
      </c>
      <c r="D19" s="44">
        <v>150</v>
      </c>
      <c r="E19" s="45">
        <f>_xlfn.XLOOKUP(TB_Salidas[[#This Row],[Producto]],TB_Producto[Producto],TB_Producto[Precio Unitario],"Producto Incorrecto")</f>
        <v>3</v>
      </c>
      <c r="F19" s="40">
        <f>TB_Salidas[[#This Row],[Cantidad Vendida]]*TB_Salidas[[#This Row],[Precio Unitario]]</f>
        <v>450</v>
      </c>
    </row>
    <row r="20" spans="2:6" ht="18" x14ac:dyDescent="0.35">
      <c r="B20" s="3">
        <v>44749</v>
      </c>
      <c r="C20" s="43" t="s">
        <v>5</v>
      </c>
      <c r="D20" s="44">
        <v>375</v>
      </c>
      <c r="E20" s="45">
        <f>_xlfn.XLOOKUP(TB_Salidas[[#This Row],[Producto]],TB_Producto[Producto],TB_Producto[Precio Unitario],"Producto Incorrecto")</f>
        <v>5</v>
      </c>
      <c r="F20" s="40">
        <f>TB_Salidas[[#This Row],[Cantidad Vendida]]*TB_Salidas[[#This Row],[Precio Unitario]]</f>
        <v>1875</v>
      </c>
    </row>
    <row r="21" spans="2:6" ht="18" x14ac:dyDescent="0.35">
      <c r="B21" s="3">
        <v>44803</v>
      </c>
      <c r="C21" s="43" t="s">
        <v>12</v>
      </c>
      <c r="D21" s="44">
        <v>315</v>
      </c>
      <c r="E21" s="45">
        <f>_xlfn.XLOOKUP(TB_Salidas[[#This Row],[Producto]],TB_Producto[Producto],TB_Producto[Precio Unitario],"Producto Incorrecto")</f>
        <v>2.75</v>
      </c>
      <c r="F21" s="40">
        <f>TB_Salidas[[#This Row],[Cantidad Vendida]]*TB_Salidas[[#This Row],[Precio Unitario]]</f>
        <v>866.25</v>
      </c>
    </row>
    <row r="22" spans="2:6" ht="18" x14ac:dyDescent="0.35">
      <c r="B22" s="3">
        <v>44803</v>
      </c>
      <c r="C22" s="43" t="s">
        <v>32</v>
      </c>
      <c r="D22" s="44">
        <v>245</v>
      </c>
      <c r="E22" s="45">
        <f>_xlfn.XLOOKUP(TB_Salidas[[#This Row],[Producto]],TB_Producto[Producto],TB_Producto[Precio Unitario],"Producto Incorrecto")</f>
        <v>3</v>
      </c>
      <c r="F22" s="40">
        <f>TB_Salidas[[#This Row],[Cantidad Vendida]]*TB_Salidas[[#This Row],[Precio Unitario]]</f>
        <v>735</v>
      </c>
    </row>
    <row r="23" spans="2:6" ht="18" x14ac:dyDescent="0.35">
      <c r="B23" s="3">
        <v>44811</v>
      </c>
      <c r="C23" s="43" t="s">
        <v>27</v>
      </c>
      <c r="D23" s="44">
        <v>293</v>
      </c>
      <c r="E23" s="45">
        <f>_xlfn.XLOOKUP(TB_Salidas[[#This Row],[Producto]],TB_Producto[Producto],TB_Producto[Precio Unitario],"Producto Incorrecto")</f>
        <v>1</v>
      </c>
      <c r="F23" s="40">
        <f>TB_Salidas[[#This Row],[Cantidad Vendida]]*TB_Salidas[[#This Row],[Precio Unitario]]</f>
        <v>293</v>
      </c>
    </row>
    <row r="24" spans="2:6" ht="18" x14ac:dyDescent="0.35">
      <c r="B24" s="3">
        <v>44811</v>
      </c>
      <c r="C24" s="43" t="s">
        <v>5</v>
      </c>
      <c r="D24" s="44">
        <v>375</v>
      </c>
      <c r="E24" s="45">
        <f>_xlfn.XLOOKUP(TB_Salidas[[#This Row],[Producto]],TB_Producto[Producto],TB_Producto[Precio Unitario],"Producto Incorrecto")</f>
        <v>5</v>
      </c>
      <c r="F24" s="40">
        <f>TB_Salidas[[#This Row],[Cantidad Vendida]]*TB_Salidas[[#This Row],[Precio Unitario]]</f>
        <v>1875</v>
      </c>
    </row>
    <row r="25" spans="2:6" ht="18" x14ac:dyDescent="0.35">
      <c r="B25" s="3">
        <v>44823</v>
      </c>
      <c r="C25" s="43" t="s">
        <v>25</v>
      </c>
      <c r="D25" s="44">
        <v>385</v>
      </c>
      <c r="E25" s="45">
        <f>_xlfn.XLOOKUP(TB_Salidas[[#This Row],[Producto]],TB_Producto[Producto],TB_Producto[Precio Unitario],"Producto Incorrecto")</f>
        <v>7</v>
      </c>
      <c r="F25" s="40">
        <f>TB_Salidas[[#This Row],[Cantidad Vendida]]*TB_Salidas[[#This Row],[Precio Unitario]]</f>
        <v>2695</v>
      </c>
    </row>
    <row r="26" spans="2:6" ht="18" x14ac:dyDescent="0.35">
      <c r="B26" s="3">
        <v>44847</v>
      </c>
      <c r="C26" s="43" t="s">
        <v>31</v>
      </c>
      <c r="D26" s="44">
        <v>45</v>
      </c>
      <c r="E26" s="45">
        <f>_xlfn.XLOOKUP(TB_Salidas[[#This Row],[Producto]],TB_Producto[Producto],TB_Producto[Precio Unitario],"Producto Incorrecto")</f>
        <v>5</v>
      </c>
      <c r="F26" s="40">
        <f>TB_Salidas[[#This Row],[Cantidad Vendida]]*TB_Salidas[[#This Row],[Precio Unitario]]</f>
        <v>225</v>
      </c>
    </row>
    <row r="27" spans="2:6" ht="18" x14ac:dyDescent="0.35">
      <c r="B27" s="3">
        <v>44865</v>
      </c>
      <c r="C27" s="43" t="s">
        <v>26</v>
      </c>
      <c r="D27" s="44">
        <v>50</v>
      </c>
      <c r="E27" s="45">
        <f>_xlfn.XLOOKUP(TB_Salidas[[#This Row],[Producto]],TB_Producto[Producto],TB_Producto[Precio Unitario],"Producto Incorrecto")</f>
        <v>3</v>
      </c>
      <c r="F27" s="40">
        <f>TB_Salidas[[#This Row],[Cantidad Vendida]]*TB_Salidas[[#This Row],[Precio Unitario]]</f>
        <v>150</v>
      </c>
    </row>
    <row r="28" spans="2:6" ht="18" x14ac:dyDescent="0.35">
      <c r="B28" s="3">
        <v>44866</v>
      </c>
      <c r="C28" s="43" t="s">
        <v>5</v>
      </c>
      <c r="D28" s="44">
        <v>255</v>
      </c>
      <c r="E28" s="45">
        <f>_xlfn.XLOOKUP(TB_Salidas[[#This Row],[Producto]],TB_Producto[Producto],TB_Producto[Precio Unitario],"Producto Incorrecto")</f>
        <v>5</v>
      </c>
      <c r="F28" s="40">
        <f>TB_Salidas[[#This Row],[Cantidad Vendida]]*TB_Salidas[[#This Row],[Precio Unitario]]</f>
        <v>1275</v>
      </c>
    </row>
    <row r="29" spans="2:6" ht="18" x14ac:dyDescent="0.35">
      <c r="B29" s="3">
        <v>44869</v>
      </c>
      <c r="C29" s="43" t="s">
        <v>20</v>
      </c>
      <c r="D29" s="44">
        <v>50</v>
      </c>
      <c r="E29" s="45">
        <f>_xlfn.XLOOKUP(TB_Salidas[[#This Row],[Producto]],TB_Producto[Producto],TB_Producto[Precio Unitario],"Producto Incorrecto")</f>
        <v>3.5</v>
      </c>
      <c r="F29" s="40">
        <f>TB_Salidas[[#This Row],[Cantidad Vendida]]*TB_Salidas[[#This Row],[Precio Unitario]]</f>
        <v>175</v>
      </c>
    </row>
    <row r="30" spans="2:6" ht="18" x14ac:dyDescent="0.35">
      <c r="B30" s="3">
        <v>44872</v>
      </c>
      <c r="C30" s="43" t="s">
        <v>5</v>
      </c>
      <c r="D30" s="44">
        <v>175</v>
      </c>
      <c r="E30" s="45">
        <f>_xlfn.XLOOKUP(TB_Salidas[[#This Row],[Producto]],TB_Producto[Producto],TB_Producto[Precio Unitario],"Producto Incorrecto")</f>
        <v>5</v>
      </c>
      <c r="F30" s="40">
        <f>TB_Salidas[[#This Row],[Cantidad Vendida]]*TB_Salidas[[#This Row],[Precio Unitario]]</f>
        <v>875</v>
      </c>
    </row>
    <row r="31" spans="2:6" ht="18" x14ac:dyDescent="0.35">
      <c r="B31" s="3">
        <v>44886</v>
      </c>
      <c r="C31" s="43" t="s">
        <v>29</v>
      </c>
      <c r="D31" s="44">
        <v>50</v>
      </c>
      <c r="E31" s="45">
        <f>_xlfn.XLOOKUP(TB_Salidas[[#This Row],[Producto]],TB_Producto[Producto],TB_Producto[Precio Unitario],"Producto Incorrecto")</f>
        <v>2.25</v>
      </c>
      <c r="F31" s="40">
        <f>TB_Salidas[[#This Row],[Cantidad Vendida]]*TB_Salidas[[#This Row],[Precio Unitario]]</f>
        <v>112.5</v>
      </c>
    </row>
    <row r="32" spans="2:6" ht="18" x14ac:dyDescent="0.35">
      <c r="B32" s="3">
        <v>44888</v>
      </c>
      <c r="C32" s="43" t="s">
        <v>5</v>
      </c>
      <c r="D32" s="44">
        <v>86</v>
      </c>
      <c r="E32" s="45">
        <f>_xlfn.XLOOKUP(TB_Salidas[[#This Row],[Producto]],TB_Producto[Producto],TB_Producto[Precio Unitario],"Producto Incorrecto")</f>
        <v>5</v>
      </c>
      <c r="F32" s="40">
        <f>TB_Salidas[[#This Row],[Cantidad Vendida]]*TB_Salidas[[#This Row],[Precio Unitario]]</f>
        <v>430</v>
      </c>
    </row>
  </sheetData>
  <phoneticPr fontId="3" type="noConversion"/>
  <dataValidations count="1">
    <dataValidation type="list" allowBlank="1" showInputMessage="1" showErrorMessage="1" sqref="C5:C32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F10" sqref="F10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1"/>
      <c r="F3" s="61"/>
    </row>
    <row r="4" spans="2:10" ht="9.75" customHeight="1" x14ac:dyDescent="0.35">
      <c r="C4" s="53"/>
      <c r="D4" s="60"/>
      <c r="E4" s="60"/>
      <c r="F4" s="60"/>
      <c r="G4" s="53"/>
    </row>
    <row r="5" spans="2:10" ht="27.75" customHeight="1" x14ac:dyDescent="0.35">
      <c r="B5" s="47"/>
      <c r="C5" s="53"/>
      <c r="D5" s="58" t="s">
        <v>61</v>
      </c>
      <c r="E5" s="59"/>
      <c r="F5" s="58" t="s">
        <v>2</v>
      </c>
      <c r="G5" s="53"/>
    </row>
    <row r="6" spans="2:10" s="52" customFormat="1" ht="27.75" customHeight="1" x14ac:dyDescent="0.35">
      <c r="B6" s="47"/>
      <c r="C6" s="53"/>
      <c r="D6" s="57" t="s">
        <v>70</v>
      </c>
      <c r="E6" s="53"/>
      <c r="F6" s="51" t="str">
        <f>"=Café"</f>
        <v>=Café</v>
      </c>
      <c r="G6" s="53"/>
      <c r="I6" s="56"/>
      <c r="J6" s="55"/>
    </row>
    <row r="7" spans="2:10" s="52" customFormat="1" ht="15" customHeight="1" x14ac:dyDescent="0.35">
      <c r="B7" s="47"/>
      <c r="C7" s="53"/>
      <c r="D7" s="54"/>
      <c r="E7" s="53"/>
      <c r="F7" s="54"/>
      <c r="G7" s="53"/>
    </row>
    <row r="8" spans="2:10" ht="27.75" customHeight="1" x14ac:dyDescent="0.25">
      <c r="B8" s="47"/>
      <c r="C8" s="48"/>
      <c r="D8" s="50" t="s">
        <v>64</v>
      </c>
      <c r="E8" s="50"/>
      <c r="F8" s="51">
        <f>DSUM(TB_Salidas[#All],Consulta!D8,Consulta!D5:F6)</f>
        <v>500</v>
      </c>
      <c r="G8" s="48" t="s">
        <v>69</v>
      </c>
    </row>
    <row r="9" spans="2:10" ht="15" customHeight="1" x14ac:dyDescent="0.25">
      <c r="B9" s="47"/>
      <c r="C9" s="48"/>
      <c r="D9" s="50"/>
      <c r="E9" s="50"/>
      <c r="F9" s="48"/>
      <c r="G9" s="48"/>
    </row>
    <row r="10" spans="2:10" ht="27.75" customHeight="1" x14ac:dyDescent="0.25">
      <c r="B10" s="47"/>
      <c r="C10" s="48"/>
      <c r="D10" s="50" t="s">
        <v>68</v>
      </c>
      <c r="E10" s="50"/>
      <c r="F10" s="51">
        <f>DSUM(TB_Entradas[#All],"Cantidad Comprada",Consulta!D5:F6)-F8</f>
        <v>775</v>
      </c>
      <c r="G10" s="48"/>
    </row>
    <row r="11" spans="2:10" ht="15" customHeight="1" x14ac:dyDescent="0.25">
      <c r="B11" s="47"/>
      <c r="C11" s="48"/>
      <c r="D11" s="50"/>
      <c r="E11" s="50"/>
      <c r="F11" s="50"/>
      <c r="G11" s="48"/>
    </row>
    <row r="12" spans="2:10" ht="27.75" customHeight="1" x14ac:dyDescent="0.25">
      <c r="B12" s="47"/>
      <c r="C12" s="48"/>
      <c r="D12" s="50" t="s">
        <v>67</v>
      </c>
      <c r="E12" s="50"/>
      <c r="F12" s="49">
        <f>DSUM(TB_Entradas[#All],Consulta!D12,Consulta!D5:F6)</f>
        <v>3825</v>
      </c>
      <c r="G12" s="48"/>
    </row>
    <row r="13" spans="2:10" ht="15" customHeight="1" x14ac:dyDescent="0.25">
      <c r="B13" s="47"/>
      <c r="C13" s="48"/>
      <c r="D13" s="50"/>
      <c r="E13" s="50"/>
      <c r="F13" s="48"/>
      <c r="G13" s="48"/>
    </row>
    <row r="14" spans="2:10" ht="27.75" customHeight="1" x14ac:dyDescent="0.25">
      <c r="B14" s="47"/>
      <c r="C14" s="48"/>
      <c r="D14" s="50" t="s">
        <v>65</v>
      </c>
      <c r="E14" s="50"/>
      <c r="F14" s="49">
        <f>DSUM(TB_Salidas[#All],Consulta!D14,Consulta!D5:F6)</f>
        <v>2500</v>
      </c>
      <c r="G14" s="48"/>
    </row>
    <row r="15" spans="2:10" ht="21.75" customHeight="1" x14ac:dyDescent="0.25">
      <c r="B15" s="47"/>
      <c r="C15" s="48"/>
      <c r="D15" s="48"/>
      <c r="E15" s="48"/>
      <c r="F15" s="48"/>
      <c r="G15" s="48"/>
    </row>
    <row r="16" spans="2:10" ht="12" customHeight="1" x14ac:dyDescent="0.25">
      <c r="B16" s="47"/>
      <c r="C16" s="47"/>
      <c r="D16" s="47"/>
      <c r="E16" s="47"/>
      <c r="F16" s="47"/>
      <c r="G16" s="4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tabSelected="1" topLeftCell="A2" zoomScaleNormal="100" workbookViewId="0">
      <selection activeCell="G21" sqref="G21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3" customFormat="1" ht="36" x14ac:dyDescent="0.25">
      <c r="B5" s="62" t="s">
        <v>2</v>
      </c>
      <c r="C5" s="62" t="s">
        <v>73</v>
      </c>
      <c r="D5" s="62" t="s">
        <v>74</v>
      </c>
      <c r="E5" s="62" t="s">
        <v>68</v>
      </c>
      <c r="F5" s="62" t="s">
        <v>35</v>
      </c>
      <c r="G5" s="62" t="s">
        <v>75</v>
      </c>
      <c r="H5" s="62" t="s">
        <v>65</v>
      </c>
      <c r="I5" s="62" t="s">
        <v>76</v>
      </c>
      <c r="J5" s="62" t="s">
        <v>77</v>
      </c>
    </row>
    <row r="6" spans="2:17" ht="18" x14ac:dyDescent="0.35">
      <c r="B6" s="65" t="s">
        <v>27</v>
      </c>
      <c r="C6" s="66">
        <f>SUMIF(TB_Entradas[Producto],TB_ControlStock[[#This Row],[Producto]],TB_Entradas[Cantidad Comprada])</f>
        <v>615</v>
      </c>
      <c r="D6" s="66">
        <f>SUMIF(TB_Salidas[Producto],TB_ControlStock[[#This Row],[Producto]],TB_Salidas[Cantidad Vendida])</f>
        <v>580</v>
      </c>
      <c r="E6" s="66">
        <f>TB_ControlStock[[#This Row],[Entradas]]-TB_ControlStock[[#This Row],[Salidas]]</f>
        <v>35</v>
      </c>
      <c r="F6" s="66">
        <f>_xlfn.XLOOKUP(TB_ControlStock[[#This Row],[Producto]],TB_Producto[Producto],TB_Producto[Stock Mínimo],"No Encontrado")</f>
        <v>30</v>
      </c>
      <c r="G6" s="65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7">
        <f>SUMIFS(TB_Salidas[Valor de Venta],TB_Salidas[Producto],TB_ControlStock[[#This Row],[Producto]])</f>
        <v>580</v>
      </c>
      <c r="I6" s="68">
        <f>SUMIFS(TB_Entradas[Valor de Compra],TB_Entradas[Producto],TB_ControlStock[[#This Row],[Producto]])</f>
        <v>307.5</v>
      </c>
      <c r="J6" s="68">
        <f>TB_ControlStock[[#This Row],[Valor de Venta]]-TB_ControlStock[[#This Row],[Costo Total]]</f>
        <v>272.5</v>
      </c>
      <c r="M6" s="60"/>
      <c r="N6" s="60"/>
      <c r="O6" s="60"/>
      <c r="P6" s="60"/>
      <c r="Q6" s="60"/>
    </row>
    <row r="7" spans="2:17" ht="18" customHeight="1" x14ac:dyDescent="0.35">
      <c r="B7" s="65" t="s">
        <v>22</v>
      </c>
      <c r="C7" s="66">
        <f>SUMIF(TB_Entradas[Producto],TB_ControlStock[[#This Row],[Producto]],TB_Entradas[Cantidad Comprada])</f>
        <v>550</v>
      </c>
      <c r="D7" s="66">
        <f>SUMIF(TB_Salidas[Producto],TB_ControlStock[[#This Row],[Producto]],TB_Salidas[Cantidad Vendida])</f>
        <v>500</v>
      </c>
      <c r="E7" s="66">
        <f>TB_ControlStock[[#This Row],[Entradas]]-TB_ControlStock[[#This Row],[Salidas]]</f>
        <v>50</v>
      </c>
      <c r="F7" s="66">
        <f>_xlfn.XLOOKUP(TB_ControlStock[[#This Row],[Producto]],TB_Producto[Producto],TB_Producto[Stock Mínimo],"No Encontrado")</f>
        <v>10</v>
      </c>
      <c r="G7" s="65" t="str" cm="1">
        <f t="array" ref="G7">_xlfn.IFS(TB_ControlStock[[#This Row],[Cantidad en Stock]]&gt;TB_ControlStock[[#This Row],[Stock Mínimo]],"Stock OK",TB_ControlStock[[#This Row],[Cantidad en Stock]]=0,"Stock Agotado",TRUE,"Stock Bajo")</f>
        <v>Stock OK</v>
      </c>
      <c r="H7" s="67">
        <f>SUMIFS(TB_Salidas[Valor de Venta],TB_Salidas[Producto],TB_ControlStock[[#This Row],[Producto]])</f>
        <v>2375</v>
      </c>
      <c r="I7" s="68">
        <f>SUMIFS(TB_Entradas[Valor de Compra],TB_Entradas[Producto],TB_ControlStock[[#This Row],[Producto]])</f>
        <v>1100</v>
      </c>
      <c r="J7" s="68">
        <f>TB_ControlStock[[#This Row],[Valor de Venta]]-TB_ControlStock[[#This Row],[Costo Total]]</f>
        <v>1275</v>
      </c>
      <c r="L7" s="47"/>
      <c r="M7" s="60"/>
      <c r="N7" s="69" t="s">
        <v>78</v>
      </c>
      <c r="O7" s="69"/>
      <c r="P7" s="69"/>
      <c r="Q7" s="60"/>
    </row>
    <row r="8" spans="2:17" ht="16.149999999999999" customHeight="1" x14ac:dyDescent="0.35">
      <c r="B8" s="65" t="s">
        <v>5</v>
      </c>
      <c r="C8" s="66">
        <f>SUMIF(TB_Entradas[Producto],TB_ControlStock[[#This Row],[Producto]],TB_Entradas[Cantidad Comprada])</f>
        <v>2300</v>
      </c>
      <c r="D8" s="66">
        <f>SUMIF(TB_Salidas[Producto],TB_ControlStock[[#This Row],[Producto]],TB_Salidas[Cantidad Vendida])</f>
        <v>2116</v>
      </c>
      <c r="E8" s="66">
        <f>TB_ControlStock[[#This Row],[Entradas]]-TB_ControlStock[[#This Row],[Salidas]]</f>
        <v>184</v>
      </c>
      <c r="F8" s="66">
        <f>_xlfn.XLOOKUP(TB_ControlStock[[#This Row],[Producto]],TB_Producto[Producto],TB_Producto[Stock Mínimo],"No Encontrado")</f>
        <v>20</v>
      </c>
      <c r="G8" s="65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7">
        <f>SUMIFS(TB_Salidas[Valor de Venta],TB_Salidas[Producto],TB_ControlStock[[#This Row],[Producto]])</f>
        <v>10580</v>
      </c>
      <c r="I8" s="68">
        <f>SUMIFS(TB_Entradas[Valor de Compra],TB_Entradas[Producto],TB_ControlStock[[#This Row],[Producto]])</f>
        <v>6900</v>
      </c>
      <c r="J8" s="68">
        <f>TB_ControlStock[[#This Row],[Valor de Venta]]-TB_ControlStock[[#This Row],[Costo Total]]</f>
        <v>3680</v>
      </c>
      <c r="L8" s="47"/>
      <c r="M8" s="60"/>
      <c r="N8" s="70" t="s">
        <v>77</v>
      </c>
      <c r="O8" s="60"/>
      <c r="P8" s="70" t="s">
        <v>2</v>
      </c>
      <c r="Q8" s="60"/>
    </row>
    <row r="9" spans="2:17" ht="18" x14ac:dyDescent="0.25">
      <c r="B9" s="65" t="s">
        <v>26</v>
      </c>
      <c r="C9" s="66">
        <f>SUMIF(TB_Entradas[Producto],TB_ControlStock[[#This Row],[Producto]],TB_Entradas[Cantidad Comprada])</f>
        <v>200</v>
      </c>
      <c r="D9" s="66">
        <f>SUMIF(TB_Salidas[Producto],TB_ControlStock[[#This Row],[Producto]],TB_Salidas[Cantidad Vendida])</f>
        <v>200</v>
      </c>
      <c r="E9" s="66">
        <f>TB_ControlStock[[#This Row],[Entradas]]-TB_ControlStock[[#This Row],[Salidas]]</f>
        <v>0</v>
      </c>
      <c r="F9" s="66">
        <f>_xlfn.XLOOKUP(TB_ControlStock[[#This Row],[Producto]],TB_Producto[Producto],TB_Producto[Stock Mínimo],"No Encontrado")</f>
        <v>50</v>
      </c>
      <c r="G9" s="65" t="str" cm="1">
        <f t="array" ref="G9">_xlfn.IFS(TB_ControlStock[[#This Row],[Cantidad en Stock]]&gt;TB_ControlStock[[#This Row],[Stock Mínimo]],"Stock OK",TB_ControlStock[[#This Row],[Cantidad en Stock]]=0,"Stock Agotado",TRUE,"Stock Bajo")</f>
        <v>Stock Agotado</v>
      </c>
      <c r="H9" s="67">
        <f>SUMIFS(TB_Salidas[Valor de Venta],TB_Salidas[Producto],TB_ControlStock[[#This Row],[Producto]])</f>
        <v>600</v>
      </c>
      <c r="I9" s="68">
        <f>SUMIFS(TB_Entradas[Valor de Compra],TB_Entradas[Producto],TB_ControlStock[[#This Row],[Producto]])</f>
        <v>300</v>
      </c>
      <c r="J9" s="68">
        <f>TB_ControlStock[[#This Row],[Valor de Venta]]-TB_ControlStock[[#This Row],[Costo Total]]</f>
        <v>300</v>
      </c>
      <c r="L9" s="47"/>
      <c r="M9" s="71"/>
      <c r="N9" s="72">
        <f>MAX(TB_ControlStock[Ganancias])</f>
        <v>3680</v>
      </c>
      <c r="O9" s="71"/>
      <c r="P9" s="73" t="str">
        <f>DGET(TB_ControlStock[#All],1,N8:N9)</f>
        <v>Café</v>
      </c>
      <c r="Q9" s="71"/>
    </row>
    <row r="10" spans="2:17" ht="18" x14ac:dyDescent="0.25">
      <c r="B10" s="65" t="s">
        <v>40</v>
      </c>
      <c r="C10" s="66">
        <f>SUMIF(TB_Entradas[Producto],TB_ControlStock[[#This Row],[Producto]],TB_Entradas[Cantidad Comprada])</f>
        <v>300</v>
      </c>
      <c r="D10" s="66">
        <f>SUMIF(TB_Salidas[Producto],TB_ControlStock[[#This Row],[Producto]],TB_Salidas[Cantidad Vendida])</f>
        <v>275</v>
      </c>
      <c r="E10" s="66">
        <f>TB_ControlStock[[#This Row],[Entradas]]-TB_ControlStock[[#This Row],[Salidas]]</f>
        <v>25</v>
      </c>
      <c r="F10" s="66">
        <f>_xlfn.XLOOKUP(TB_ControlStock[[#This Row],[Producto]],TB_Producto[Producto],TB_Producto[Stock Mínimo],"No Encontrado")</f>
        <v>10</v>
      </c>
      <c r="G10" s="65" t="str" cm="1">
        <f t="array" ref="G10">_xlfn.IFS(TB_ControlStock[[#This Row],[Cantidad en Stock]]&gt;TB_ControlStock[[#This Row],[Stock Mínimo]],"Stock OK",TB_ControlStock[[#This Row],[Cantidad en Stock]]=0,"Stock Agotado",TRUE,"Stock Bajo")</f>
        <v>Stock OK</v>
      </c>
      <c r="H10" s="67">
        <f>SUMIFS(TB_Salidas[Valor de Venta],TB_Salidas[Producto],TB_ControlStock[[#This Row],[Producto]])</f>
        <v>206.25</v>
      </c>
      <c r="I10" s="68">
        <f>SUMIFS(TB_Entradas[Valor de Compra],TB_Entradas[Producto],TB_ControlStock[[#This Row],[Producto]])</f>
        <v>30</v>
      </c>
      <c r="J10" s="68">
        <f>TB_ControlStock[[#This Row],[Valor de Venta]]-TB_ControlStock[[#This Row],[Costo Total]]</f>
        <v>176.25</v>
      </c>
      <c r="L10" s="47"/>
      <c r="M10" s="71"/>
      <c r="N10" s="74"/>
      <c r="O10" s="71"/>
      <c r="P10" s="75"/>
      <c r="Q10" s="71"/>
    </row>
    <row r="11" spans="2:17" ht="18" x14ac:dyDescent="0.25">
      <c r="B11" s="65" t="s">
        <v>29</v>
      </c>
      <c r="C11" s="66">
        <f>SUMIF(TB_Entradas[Producto],TB_ControlStock[[#This Row],[Producto]],TB_Entradas[Cantidad Comprada])</f>
        <v>150</v>
      </c>
      <c r="D11" s="66">
        <f>SUMIF(TB_Salidas[Producto],TB_ControlStock[[#This Row],[Producto]],TB_Salidas[Cantidad Vendida])</f>
        <v>100</v>
      </c>
      <c r="E11" s="66">
        <f>TB_ControlStock[[#This Row],[Entradas]]-TB_ControlStock[[#This Row],[Salidas]]</f>
        <v>50</v>
      </c>
      <c r="F11" s="66">
        <f>_xlfn.XLOOKUP(TB_ControlStock[[#This Row],[Producto]],TB_Producto[Producto],TB_Producto[Stock Mínimo],"No Encontrado")</f>
        <v>20</v>
      </c>
      <c r="G11" s="65" t="str" cm="1">
        <f t="array" ref="G11">_xlfn.IFS(TB_ControlStock[[#This Row],[Cantidad en Stock]]&gt;TB_ControlStock[[#This Row],[Stock Mínimo]],"Stock OK",TB_ControlStock[[#This Row],[Cantidad en Stock]]=0,"Stock Agotado",TRUE,"Stock Bajo")</f>
        <v>Stock OK</v>
      </c>
      <c r="H11" s="67">
        <f>SUMIFS(TB_Salidas[Valor de Venta],TB_Salidas[Producto],TB_ControlStock[[#This Row],[Producto]])</f>
        <v>225</v>
      </c>
      <c r="I11" s="68">
        <f>SUMIFS(TB_Entradas[Valor de Compra],TB_Entradas[Producto],TB_ControlStock[[#This Row],[Producto]])</f>
        <v>187.5</v>
      </c>
      <c r="J11" s="68">
        <f>TB_ControlStock[[#This Row],[Valor de Venta]]-TB_ControlStock[[#This Row],[Costo Total]]</f>
        <v>37.5</v>
      </c>
      <c r="L11" s="47"/>
      <c r="M11" s="71"/>
      <c r="N11" s="71"/>
      <c r="O11" s="71"/>
      <c r="P11" s="71"/>
      <c r="Q11" s="71"/>
    </row>
    <row r="12" spans="2:17" ht="18" x14ac:dyDescent="0.25">
      <c r="B12" s="65" t="s">
        <v>18</v>
      </c>
      <c r="C12" s="66">
        <f>SUMIF(TB_Entradas[Producto],TB_ControlStock[[#This Row],[Producto]],TB_Entradas[Cantidad Comprada])</f>
        <v>275</v>
      </c>
      <c r="D12" s="66">
        <f>SUMIF(TB_Salidas[Producto],TB_ControlStock[[#This Row],[Producto]],TB_Salidas[Cantidad Vendida])</f>
        <v>250</v>
      </c>
      <c r="E12" s="66">
        <f>TB_ControlStock[[#This Row],[Entradas]]-TB_ControlStock[[#This Row],[Salidas]]</f>
        <v>25</v>
      </c>
      <c r="F12" s="66">
        <f>_xlfn.XLOOKUP(TB_ControlStock[[#This Row],[Producto]],TB_Producto[Producto],TB_Producto[Stock Mínimo],"No Encontrado")</f>
        <v>10</v>
      </c>
      <c r="G12" s="65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7">
        <f>SUMIFS(TB_Salidas[Valor de Venta],TB_Salidas[Producto],TB_ControlStock[[#This Row],[Producto]])</f>
        <v>1750</v>
      </c>
      <c r="I12" s="68">
        <f>SUMIFS(TB_Entradas[Valor de Compra],TB_Entradas[Producto],TB_ControlStock[[#This Row],[Producto]])</f>
        <v>1237.5</v>
      </c>
      <c r="J12" s="68">
        <f>TB_ControlStock[[#This Row],[Valor de Venta]]-TB_ControlStock[[#This Row],[Costo Total]]</f>
        <v>512.5</v>
      </c>
      <c r="L12" s="47"/>
      <c r="M12" s="47"/>
      <c r="N12" s="47"/>
      <c r="O12" s="47"/>
      <c r="P12" s="47"/>
    </row>
    <row r="13" spans="2:17" ht="18" x14ac:dyDescent="0.25">
      <c r="B13" s="65" t="s">
        <v>32</v>
      </c>
      <c r="C13" s="66">
        <f>SUMIF(TB_Entradas[Producto],TB_ControlStock[[#This Row],[Producto]],TB_Entradas[Cantidad Comprada])</f>
        <v>300</v>
      </c>
      <c r="D13" s="66">
        <f>SUMIF(TB_Salidas[Producto],TB_ControlStock[[#This Row],[Producto]],TB_Salidas[Cantidad Vendida])</f>
        <v>245</v>
      </c>
      <c r="E13" s="66">
        <f>TB_ControlStock[[#This Row],[Entradas]]-TB_ControlStock[[#This Row],[Salidas]]</f>
        <v>55</v>
      </c>
      <c r="F13" s="66">
        <f>_xlfn.XLOOKUP(TB_ControlStock[[#This Row],[Producto]],TB_Producto[Producto],TB_Producto[Stock Mínimo],"No Encontrado")</f>
        <v>15</v>
      </c>
      <c r="G13" s="65" t="str" cm="1">
        <f t="array" ref="G13">_xlfn.IFS(TB_ControlStock[[#This Row],[Cantidad en Stock]]&gt;TB_ControlStock[[#This Row],[Stock Mínimo]],"Stock OK",TB_ControlStock[[#This Row],[Cantidad en Stock]]=0,"Stock Agotado",TRUE,"Stock Bajo")</f>
        <v>Stock OK</v>
      </c>
      <c r="H13" s="67">
        <f>SUMIFS(TB_Salidas[Valor de Venta],TB_Salidas[Producto],TB_ControlStock[[#This Row],[Producto]])</f>
        <v>735</v>
      </c>
      <c r="I13" s="68">
        <f>SUMIFS(TB_Entradas[Valor de Compra],TB_Entradas[Producto],TB_ControlStock[[#This Row],[Producto]])</f>
        <v>675</v>
      </c>
      <c r="J13" s="68">
        <f>TB_ControlStock[[#This Row],[Valor de Venta]]-TB_ControlStock[[#This Row],[Costo Total]]</f>
        <v>60</v>
      </c>
    </row>
    <row r="14" spans="2:17" ht="18" x14ac:dyDescent="0.25">
      <c r="B14" s="65" t="s">
        <v>20</v>
      </c>
      <c r="C14" s="66">
        <f>SUMIF(TB_Entradas[Producto],TB_ControlStock[[#This Row],[Producto]],TB_Entradas[Cantidad Comprada])</f>
        <v>510</v>
      </c>
      <c r="D14" s="66">
        <f>SUMIF(TB_Salidas[Producto],TB_ControlStock[[#This Row],[Producto]],TB_Salidas[Cantidad Vendida])</f>
        <v>500</v>
      </c>
      <c r="E14" s="66">
        <f>TB_ControlStock[[#This Row],[Entradas]]-TB_ControlStock[[#This Row],[Salidas]]</f>
        <v>10</v>
      </c>
      <c r="F14" s="66">
        <f>_xlfn.XLOOKUP(TB_ControlStock[[#This Row],[Producto]],TB_Producto[Producto],TB_Producto[Stock Mínimo],"No Encontrado")</f>
        <v>10</v>
      </c>
      <c r="G14" s="65" t="str" cm="1">
        <f t="array" ref="G14">_xlfn.IFS(TB_ControlStock[[#This Row],[Cantidad en Stock]]&gt;TB_ControlStock[[#This Row],[Stock Mínimo]],"Stock OK",TB_ControlStock[[#This Row],[Cantidad en Stock]]=0,"Stock Agotado",TRUE,"Stock Bajo")</f>
        <v>Stock Bajo</v>
      </c>
      <c r="H14" s="67">
        <f>SUMIFS(TB_Salidas[Valor de Venta],TB_Salidas[Producto],TB_ControlStock[[#This Row],[Producto]])</f>
        <v>1750</v>
      </c>
      <c r="I14" s="68">
        <f>SUMIFS(TB_Entradas[Valor de Compra],TB_Entradas[Producto],TB_ControlStock[[#This Row],[Producto]])</f>
        <v>765</v>
      </c>
      <c r="J14" s="68">
        <f>TB_ControlStock[[#This Row],[Valor de Venta]]-TB_ControlStock[[#This Row],[Costo Total]]</f>
        <v>985</v>
      </c>
    </row>
    <row r="15" spans="2:17" ht="18" x14ac:dyDescent="0.25">
      <c r="B15" s="65" t="s">
        <v>25</v>
      </c>
      <c r="C15" s="66">
        <f>SUMIF(TB_Entradas[Producto],TB_ControlStock[[#This Row],[Producto]],TB_Entradas[Cantidad Comprada])</f>
        <v>450</v>
      </c>
      <c r="D15" s="66">
        <f>SUMIF(TB_Salidas[Producto],TB_ControlStock[[#This Row],[Producto]],TB_Salidas[Cantidad Vendida])</f>
        <v>385</v>
      </c>
      <c r="E15" s="66">
        <f>TB_ControlStock[[#This Row],[Entradas]]-TB_ControlStock[[#This Row],[Salidas]]</f>
        <v>65</v>
      </c>
      <c r="F15" s="66">
        <f>_xlfn.XLOOKUP(TB_ControlStock[[#This Row],[Producto]],TB_Producto[Producto],TB_Producto[Stock Mínimo],"No Encontrado")</f>
        <v>15</v>
      </c>
      <c r="G15" s="65" t="str" cm="1">
        <f t="array" ref="G15">_xlfn.IFS(TB_ControlStock[[#This Row],[Cantidad en Stock]]&gt;TB_ControlStock[[#This Row],[Stock Mínimo]],"Stock OK",TB_ControlStock[[#This Row],[Cantidad en Stock]]=0,"Stock Agotado",TRUE,"Stock Bajo")</f>
        <v>Stock OK</v>
      </c>
      <c r="H15" s="67">
        <f>SUMIFS(TB_Salidas[Valor de Venta],TB_Salidas[Producto],TB_ControlStock[[#This Row],[Producto]])</f>
        <v>2695</v>
      </c>
      <c r="I15" s="68">
        <f>SUMIFS(TB_Entradas[Valor de Compra],TB_Entradas[Producto],TB_ControlStock[[#This Row],[Producto]])</f>
        <v>1800</v>
      </c>
      <c r="J15" s="68">
        <f>TB_ControlStock[[#This Row],[Valor de Venta]]-TB_ControlStock[[#This Row],[Costo Total]]</f>
        <v>895</v>
      </c>
    </row>
    <row r="16" spans="2:17" ht="18" x14ac:dyDescent="0.25">
      <c r="B16" s="65" t="s">
        <v>12</v>
      </c>
      <c r="C16" s="66">
        <f>SUMIF(TB_Entradas[Producto],TB_ControlStock[[#This Row],[Producto]],TB_Entradas[Cantidad Comprada])</f>
        <v>350</v>
      </c>
      <c r="D16" s="66">
        <f>SUMIF(TB_Salidas[Producto],TB_ControlStock[[#This Row],[Producto]],TB_Salidas[Cantidad Vendida])</f>
        <v>315</v>
      </c>
      <c r="E16" s="66">
        <f>TB_ControlStock[[#This Row],[Entradas]]-TB_ControlStock[[#This Row],[Salidas]]</f>
        <v>35</v>
      </c>
      <c r="F16" s="66">
        <f>_xlfn.XLOOKUP(TB_ControlStock[[#This Row],[Producto]],TB_Producto[Producto],TB_Producto[Stock Mínimo],"No Encontrado")</f>
        <v>30</v>
      </c>
      <c r="G16" s="65" t="str" cm="1">
        <f t="array" ref="G16">_xlfn.IFS(TB_ControlStock[[#This Row],[Cantidad en Stock]]&gt;TB_ControlStock[[#This Row],[Stock Mínimo]],"Stock OK",TB_ControlStock[[#This Row],[Cantidad en Stock]]=0,"Stock Agotado",TRUE,"Stock Bajo")</f>
        <v>Stock OK</v>
      </c>
      <c r="H16" s="67">
        <f>SUMIFS(TB_Salidas[Valor de Venta],TB_Salidas[Producto],TB_ControlStock[[#This Row],[Producto]])</f>
        <v>866.25</v>
      </c>
      <c r="I16" s="68">
        <f>SUMIFS(TB_Entradas[Valor de Compra],TB_Entradas[Producto],TB_ControlStock[[#This Row],[Producto]])</f>
        <v>437.5</v>
      </c>
      <c r="J16" s="68">
        <f>TB_ControlStock[[#This Row],[Valor de Venta]]-TB_ControlStock[[#This Row],[Costo Total]]</f>
        <v>428.75</v>
      </c>
    </row>
    <row r="17" spans="2:10" ht="18" x14ac:dyDescent="0.25">
      <c r="B17" s="65" t="s">
        <v>31</v>
      </c>
      <c r="C17" s="66">
        <f>SUMIF(TB_Entradas[Producto],TB_ControlStock[[#This Row],[Producto]],TB_Entradas[Cantidad Comprada])</f>
        <v>65</v>
      </c>
      <c r="D17" s="66">
        <f>SUMIF(TB_Salidas[Producto],TB_ControlStock[[#This Row],[Producto]],TB_Salidas[Cantidad Vendida])</f>
        <v>60</v>
      </c>
      <c r="E17" s="66">
        <f>TB_ControlStock[[#This Row],[Entradas]]-TB_ControlStock[[#This Row],[Salidas]]</f>
        <v>5</v>
      </c>
      <c r="F17" s="66">
        <f>_xlfn.XLOOKUP(TB_ControlStock[[#This Row],[Producto]],TB_Producto[Producto],TB_Producto[Stock Mínimo],"No Encontrado")</f>
        <v>15</v>
      </c>
      <c r="G17" s="65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7">
        <f>SUMIFS(TB_Salidas[Valor de Venta],TB_Salidas[Producto],TB_ControlStock[[#This Row],[Producto]])</f>
        <v>300</v>
      </c>
      <c r="I17" s="68">
        <f>SUMIFS(TB_Entradas[Valor de Compra],TB_Entradas[Producto],TB_ControlStock[[#This Row],[Producto]])</f>
        <v>162.5</v>
      </c>
      <c r="J17" s="68">
        <f>TB_ControlStock[[#This Row],[Valor de Venta]]-TB_ControlStock[[#This Row],[Costo Total]]</f>
        <v>137.5</v>
      </c>
    </row>
    <row r="20" spans="2:10" x14ac:dyDescent="0.25">
      <c r="J20" s="64"/>
    </row>
  </sheetData>
  <mergeCells count="3">
    <mergeCell ref="N7:P7"/>
    <mergeCell ref="N9:N10"/>
    <mergeCell ref="P9:P10"/>
  </mergeCells>
  <conditionalFormatting sqref="B6:J17">
    <cfRule type="expression" dxfId="4" priority="2">
      <formula>$G6="Stock Bajo"</formula>
    </cfRule>
    <cfRule type="expression" dxfId="3" priority="1">
      <formula>$G6="Stock Agotado"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Productos</vt:lpstr>
      <vt:lpstr>Proveedor</vt:lpstr>
      <vt:lpstr>Entradas</vt:lpstr>
      <vt:lpstr>Salidas</vt:lpstr>
      <vt:lpstr>Consulta</vt:lpstr>
      <vt:lpstr>Control de Stock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2023-04-27T23:37:45Z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