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74" activeTab="5"/>
  </bookViews>
  <sheets>
    <sheet name="（天时）入场时机判断" sheetId="2" r:id="rId1"/>
    <sheet name="（地利）白马组合" sheetId="7" r:id="rId2"/>
    <sheet name="小熊定理判定" sheetId="3" r:id="rId3"/>
    <sheet name="指定日期分位点" sheetId="10" r:id="rId4"/>
    <sheet name="周期表（不要动）" sheetId="11" r:id="rId5"/>
    <sheet name="计算投资资金" sheetId="12" r:id="rId6"/>
  </sheets>
  <definedNames>
    <definedName name="_xlnm._FilterDatabase" localSheetId="1" hidden="1">'（地利）白马组合'!$A$4:$W$115</definedName>
  </definedNames>
  <calcPr calcId="144525"/>
</workbook>
</file>

<file path=xl/sharedStrings.xml><?xml version="1.0" encoding="utf-8"?>
<sst xmlns="http://schemas.openxmlformats.org/spreadsheetml/2006/main" count="12003" uniqueCount="4162">
  <si>
    <t>欢迎开启你的股票投资之路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</si>
  <si>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</si>
  <si>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</si>
  <si>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</si>
  <si>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</si>
  <si>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</si>
  <si>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</si>
  <si>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</si>
  <si>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</si>
  <si>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</si>
  <si>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</si>
  <si>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</si>
  <si>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>选出属于你的白马股</t>
  </si>
  <si>
    <t>第一步，roe≥15%</t>
  </si>
  <si>
    <t>第二步
剔除周期股</t>
  </si>
  <si>
    <t>第三步
剔除增长下滑</t>
  </si>
  <si>
    <t>第四步
小熊定理剔除</t>
  </si>
  <si>
    <t>第五步
贵的剔除</t>
  </si>
  <si>
    <t>股票代码</t>
  </si>
  <si>
    <t>股票简称</t>
  </si>
  <si>
    <t>所属同花顺行业</t>
  </si>
  <si>
    <t>营业收入
同比增长率
(%)</t>
  </si>
  <si>
    <t>净利润
同比增长率
(%)</t>
  </si>
  <si>
    <t>是否周期股</t>
  </si>
  <si>
    <t>剔除指标</t>
  </si>
  <si>
    <t>小熊定理一</t>
  </si>
  <si>
    <t>小熊定理二</t>
  </si>
  <si>
    <t>小熊定理三</t>
  </si>
  <si>
    <t>600338.SH</t>
  </si>
  <si>
    <t>西藏珠峰</t>
  </si>
  <si>
    <t>有色金属-有色冶炼加工-铅锌</t>
  </si>
  <si>
    <t>000921.SZ</t>
  </si>
  <si>
    <t>海信家电</t>
  </si>
  <si>
    <t>家用电器-白色家电-冰箱</t>
  </si>
  <si>
    <t>002142.SZ</t>
  </si>
  <si>
    <t>宁波银行</t>
  </si>
  <si>
    <t>金融服务-银行-银行Ⅲ</t>
  </si>
  <si>
    <t>000963.SZ</t>
  </si>
  <si>
    <t>华东医药</t>
  </si>
  <si>
    <t>医药生物-化学制药-化学制剂</t>
  </si>
  <si>
    <t>603288.SH</t>
  </si>
  <si>
    <t>海天味业</t>
  </si>
  <si>
    <t>食品饮料-食品加工制造-调味发酵品</t>
  </si>
  <si>
    <t>600340.SH</t>
  </si>
  <si>
    <t>华夏幸福</t>
  </si>
  <si>
    <t>房地产-房地产开发-房地产开发Ⅲ</t>
  </si>
  <si>
    <t>600566.SH</t>
  </si>
  <si>
    <t>济川药业</t>
  </si>
  <si>
    <t>医药生物-中药-中药Ⅲ</t>
  </si>
  <si>
    <t>000651.SZ</t>
  </si>
  <si>
    <t>格力电器</t>
  </si>
  <si>
    <t>家用电器-白色家电-空调</t>
  </si>
  <si>
    <t>000848.SZ</t>
  </si>
  <si>
    <t>承德露露</t>
  </si>
  <si>
    <t>食品饮料-饮料制造-软饮料</t>
  </si>
  <si>
    <t>000333.SZ</t>
  </si>
  <si>
    <t>美的集团</t>
  </si>
  <si>
    <t>600690.SH</t>
  </si>
  <si>
    <t>海尔智家</t>
  </si>
  <si>
    <t>002262.SZ</t>
  </si>
  <si>
    <t>恩华药业</t>
  </si>
  <si>
    <t>600612.SH</t>
  </si>
  <si>
    <t>老凤祥</t>
  </si>
  <si>
    <t>轻工制造-家用轻工-珠宝首饰</t>
  </si>
  <si>
    <t>300357.SZ</t>
  </si>
  <si>
    <t>我武生物</t>
  </si>
  <si>
    <t>医药生物-生物制品-生物制品Ⅲ</t>
  </si>
  <si>
    <t>002304.SZ</t>
  </si>
  <si>
    <t>洋河股份</t>
  </si>
  <si>
    <t>食品饮料-饮料制造-白酒</t>
  </si>
  <si>
    <t>000049.SZ</t>
  </si>
  <si>
    <t>德赛电池</t>
  </si>
  <si>
    <t>电子-电子制造-电子系统组装</t>
  </si>
  <si>
    <t>000895.SZ</t>
  </si>
  <si>
    <t>双汇发展</t>
  </si>
  <si>
    <t>食品饮料-食品加工制造-肉制品</t>
  </si>
  <si>
    <t>002508.SZ</t>
  </si>
  <si>
    <t>老板电器</t>
  </si>
  <si>
    <t>家用电器-白色家电-小家电</t>
  </si>
  <si>
    <t>000661.SZ</t>
  </si>
  <si>
    <t>长春高新</t>
  </si>
  <si>
    <t>002271.SZ</t>
  </si>
  <si>
    <t>东方雨虹</t>
  </si>
  <si>
    <t>建筑材料-建筑材料-其他建材</t>
  </si>
  <si>
    <t>603369.SH</t>
  </si>
  <si>
    <t>今世缘</t>
  </si>
  <si>
    <t>600887.SH</t>
  </si>
  <si>
    <t>伊利股份</t>
  </si>
  <si>
    <t>食品饮料-食品加工制造-乳品</t>
  </si>
  <si>
    <t>002415.SZ</t>
  </si>
  <si>
    <t>海康威视</t>
  </si>
  <si>
    <t>000596.SZ</t>
  </si>
  <si>
    <t>古井贡酒</t>
  </si>
  <si>
    <t>600436.SH</t>
  </si>
  <si>
    <t>片仔癀</t>
  </si>
  <si>
    <t>600763.SH</t>
  </si>
  <si>
    <t>通策医疗</t>
  </si>
  <si>
    <t>医药生物-医疗器械服务-医疗服务Ⅲ</t>
  </si>
  <si>
    <t>600276.SH</t>
  </si>
  <si>
    <t>恒瑞医药</t>
  </si>
  <si>
    <t>002242.SZ</t>
  </si>
  <si>
    <t>九阳股份</t>
  </si>
  <si>
    <t>600519.SH</t>
  </si>
  <si>
    <t>贵州茅台</t>
  </si>
  <si>
    <t>002032.SZ</t>
  </si>
  <si>
    <t>苏泊尔</t>
  </si>
  <si>
    <t>300418.SZ</t>
  </si>
  <si>
    <t>昆仑万维</t>
  </si>
  <si>
    <t>信息服务-传媒-其他传媒</t>
  </si>
  <si>
    <t>002372.SZ</t>
  </si>
  <si>
    <t>伟星新材</t>
  </si>
  <si>
    <t>建筑材料-建筑材料-管材</t>
  </si>
  <si>
    <t>603899.SH</t>
  </si>
  <si>
    <t>晨光文具</t>
  </si>
  <si>
    <t>轻工制造-家用轻工-文娱用品</t>
  </si>
  <si>
    <t>601318.SH</t>
  </si>
  <si>
    <t>中国平安</t>
  </si>
  <si>
    <t>金融服务-保险及其他-保险Ⅲ</t>
  </si>
  <si>
    <t>002007.SZ</t>
  </si>
  <si>
    <t>华兰生物</t>
  </si>
  <si>
    <t>公司名称</t>
  </si>
  <si>
    <t>小熊判定</t>
  </si>
  <si>
    <t>公司
名称</t>
  </si>
  <si>
    <t>营业收入</t>
  </si>
  <si>
    <t>应收账款</t>
  </si>
  <si>
    <t>存货</t>
  </si>
  <si>
    <t>流动比率</t>
  </si>
  <si>
    <t>一</t>
  </si>
  <si>
    <t>二</t>
  </si>
  <si>
    <t>三</t>
  </si>
  <si>
    <t>--</t>
  </si>
  <si>
    <t>915.50万</t>
  </si>
  <si>
    <t>645.55万</t>
  </si>
  <si>
    <t>494.81万</t>
  </si>
  <si>
    <t>﻿交易所</t>
  </si>
  <si>
    <t>代码</t>
  </si>
  <si>
    <t>公司</t>
  </si>
  <si>
    <t>行业</t>
  </si>
  <si>
    <t>PE-TTM(扣非)  (最近时间)</t>
  </si>
  <si>
    <t>PB(不含商誉)  (最近时间)</t>
  </si>
  <si>
    <t>sh</t>
  </si>
  <si>
    <t>退市华业</t>
  </si>
  <si>
    <t>sz</t>
  </si>
  <si>
    <t>华泽退</t>
  </si>
  <si>
    <t>雏鹰退</t>
  </si>
  <si>
    <t>农牧渔产品</t>
  </si>
  <si>
    <t>神城B退</t>
  </si>
  <si>
    <t>*ST秋林</t>
  </si>
  <si>
    <t>百货商店</t>
  </si>
  <si>
    <t>神城A退</t>
  </si>
  <si>
    <t>退市海润</t>
  </si>
  <si>
    <t>*ST保千</t>
  </si>
  <si>
    <t>电子设备及服务</t>
  </si>
  <si>
    <t>*ST鹏起B</t>
  </si>
  <si>
    <t>印纪退</t>
  </si>
  <si>
    <t>*ST富控</t>
  </si>
  <si>
    <t>计算机软件</t>
  </si>
  <si>
    <t>天神娱乐</t>
  </si>
  <si>
    <t>*ST工新</t>
  </si>
  <si>
    <t>信息技术服务</t>
  </si>
  <si>
    <t>*ST赫美</t>
  </si>
  <si>
    <t>服装与配饰</t>
  </si>
  <si>
    <t>乐视网</t>
  </si>
  <si>
    <t>互联网软件与服务</t>
  </si>
  <si>
    <t>天翔环境</t>
  </si>
  <si>
    <t>通用机械</t>
  </si>
  <si>
    <t>*ST利源</t>
  </si>
  <si>
    <t>有色金属</t>
  </si>
  <si>
    <t>聚力文化</t>
  </si>
  <si>
    <t>ST中南</t>
  </si>
  <si>
    <t>传媒</t>
  </si>
  <si>
    <t>金洲慈航</t>
  </si>
  <si>
    <t>盛运环保</t>
  </si>
  <si>
    <t>专用设备</t>
  </si>
  <si>
    <t>力帆股份</t>
  </si>
  <si>
    <t>汽车</t>
  </si>
  <si>
    <t>*ST欧浦</t>
  </si>
  <si>
    <t>物流</t>
  </si>
  <si>
    <t>*ST信威</t>
  </si>
  <si>
    <t>通信技术服务</t>
  </si>
  <si>
    <t>*ST鹏起</t>
  </si>
  <si>
    <t>天山生物</t>
  </si>
  <si>
    <t>*ST飞马</t>
  </si>
  <si>
    <t>*ST德豪</t>
  </si>
  <si>
    <t>家用电器</t>
  </si>
  <si>
    <t>*ST瑞德</t>
  </si>
  <si>
    <t>联建光电</t>
  </si>
  <si>
    <t>*ST凯迪</t>
  </si>
  <si>
    <t>电力公用事业</t>
  </si>
  <si>
    <t>*ST龙力</t>
  </si>
  <si>
    <t>食品</t>
  </si>
  <si>
    <t>暴风集团</t>
  </si>
  <si>
    <t>*ST北讯</t>
  </si>
  <si>
    <t>通信设备</t>
  </si>
  <si>
    <t>金鸿控股</t>
  </si>
  <si>
    <t>燃气公用事业</t>
  </si>
  <si>
    <t>华映科技</t>
  </si>
  <si>
    <t>电子元器件</t>
  </si>
  <si>
    <t>众和退</t>
  </si>
  <si>
    <t>永安林业</t>
  </si>
  <si>
    <t>耐用家居用品</t>
  </si>
  <si>
    <t>神雾环保</t>
  </si>
  <si>
    <t>坚瑞沃能</t>
  </si>
  <si>
    <t>*ST斯太</t>
  </si>
  <si>
    <t>汽车零配件与设备</t>
  </si>
  <si>
    <t>飞乐音响</t>
  </si>
  <si>
    <t>宏图高科</t>
  </si>
  <si>
    <t>专营零售</t>
  </si>
  <si>
    <t>千山药机</t>
  </si>
  <si>
    <t>*ST毅达B</t>
  </si>
  <si>
    <t>华闻集团</t>
  </si>
  <si>
    <t>*ST刚泰</t>
  </si>
  <si>
    <t>鼎龙文化</t>
  </si>
  <si>
    <t>*ST节能</t>
  </si>
  <si>
    <t>商业用品与服务</t>
  </si>
  <si>
    <t>*ST科林</t>
  </si>
  <si>
    <t>*ST猛狮</t>
  </si>
  <si>
    <t>中文在线</t>
  </si>
  <si>
    <t>*ST高升</t>
  </si>
  <si>
    <t>金亚科技</t>
  </si>
  <si>
    <t>ST天宝</t>
  </si>
  <si>
    <t>*ST德奥</t>
  </si>
  <si>
    <t>*ST中安</t>
  </si>
  <si>
    <t>ST金贵</t>
  </si>
  <si>
    <t>*ST南糖</t>
  </si>
  <si>
    <t>*ST中孚</t>
  </si>
  <si>
    <t>雪莱特</t>
  </si>
  <si>
    <t>银禧科技</t>
  </si>
  <si>
    <t>化学制品</t>
  </si>
  <si>
    <t>珈伟新能</t>
  </si>
  <si>
    <t>光电子器件</t>
  </si>
  <si>
    <t>联创股份</t>
  </si>
  <si>
    <t>东方金钰</t>
  </si>
  <si>
    <t>华谊嘉信</t>
  </si>
  <si>
    <t>康盛股份</t>
  </si>
  <si>
    <t>当代东方</t>
  </si>
  <si>
    <t>东方精工</t>
  </si>
  <si>
    <t>大晟文化</t>
  </si>
  <si>
    <t>ST庞大</t>
  </si>
  <si>
    <t>富临精工</t>
  </si>
  <si>
    <t>众泰汽车</t>
  </si>
  <si>
    <t>*ST游久</t>
  </si>
  <si>
    <t>盾安环境</t>
  </si>
  <si>
    <t>中珠医疗</t>
  </si>
  <si>
    <t>住宅地产开发和管理</t>
  </si>
  <si>
    <t>ST中天</t>
  </si>
  <si>
    <t>石油天然气</t>
  </si>
  <si>
    <t>唐德影视</t>
  </si>
  <si>
    <t>劲胜智能</t>
  </si>
  <si>
    <t>深大通</t>
  </si>
  <si>
    <t>顺钠股份</t>
  </si>
  <si>
    <t>电气部件与设备</t>
  </si>
  <si>
    <t>*ST中绒</t>
  </si>
  <si>
    <t>纺织品</t>
  </si>
  <si>
    <t>佳云科技</t>
  </si>
  <si>
    <t>ST双环</t>
  </si>
  <si>
    <t>化学原料</t>
  </si>
  <si>
    <t>西宁特钢</t>
  </si>
  <si>
    <t>黑色金属</t>
  </si>
  <si>
    <t>*ST大洲</t>
  </si>
  <si>
    <t>工业集团企业</t>
  </si>
  <si>
    <t>ST中新</t>
  </si>
  <si>
    <t>*ST新海</t>
  </si>
  <si>
    <t>商赢环球</t>
  </si>
  <si>
    <t>拉夏贝尔</t>
  </si>
  <si>
    <t>金盾股份</t>
  </si>
  <si>
    <t>美都能源</t>
  </si>
  <si>
    <t>工业贸易经销商</t>
  </si>
  <si>
    <t>*ST沪普B</t>
  </si>
  <si>
    <t>幸福蓝海</t>
  </si>
  <si>
    <t>长城影视</t>
  </si>
  <si>
    <t>*ST海马</t>
  </si>
  <si>
    <t>*ST东网</t>
  </si>
  <si>
    <t>*ST天马</t>
  </si>
  <si>
    <t>康尼机电</t>
  </si>
  <si>
    <t>国民技术</t>
  </si>
  <si>
    <t>半导体</t>
  </si>
  <si>
    <t>蓝丰生化</t>
  </si>
  <si>
    <t>农用化工</t>
  </si>
  <si>
    <t>宝德股份</t>
  </si>
  <si>
    <t>消费金融</t>
  </si>
  <si>
    <t>奥马电器</t>
  </si>
  <si>
    <t>融捷健康</t>
  </si>
  <si>
    <t>休闲设备与用品</t>
  </si>
  <si>
    <t>江特电机</t>
  </si>
  <si>
    <t>ST银亿</t>
  </si>
  <si>
    <t>国美通讯</t>
  </si>
  <si>
    <t>*ST华电B</t>
  </si>
  <si>
    <t>云南城投</t>
  </si>
  <si>
    <t>丽鹏股份</t>
  </si>
  <si>
    <t>容器与包装</t>
  </si>
  <si>
    <t>圣济堂</t>
  </si>
  <si>
    <t>湘电股份</t>
  </si>
  <si>
    <t>重型电气设备</t>
  </si>
  <si>
    <t>梦舟股份</t>
  </si>
  <si>
    <t>海陆重工</t>
  </si>
  <si>
    <t>华录百纳</t>
  </si>
  <si>
    <t>*ST中科</t>
  </si>
  <si>
    <t>贵人鸟</t>
  </si>
  <si>
    <t>天龙集团</t>
  </si>
  <si>
    <t>长城动漫</t>
  </si>
  <si>
    <t>*ST尤夫</t>
  </si>
  <si>
    <t>合成纤维</t>
  </si>
  <si>
    <t>宜通世纪</t>
  </si>
  <si>
    <t>大连友谊</t>
  </si>
  <si>
    <t>长安Ｂ</t>
  </si>
  <si>
    <t>*ST沈机</t>
  </si>
  <si>
    <t>华鹏飞</t>
  </si>
  <si>
    <t>*ST西发</t>
  </si>
  <si>
    <t>饮料</t>
  </si>
  <si>
    <t>*ST厦工</t>
  </si>
  <si>
    <t>ST银河</t>
  </si>
  <si>
    <t>浩丰科技</t>
  </si>
  <si>
    <t>浔兴股份</t>
  </si>
  <si>
    <t>*ST毅达</t>
  </si>
  <si>
    <t>建筑与工程</t>
  </si>
  <si>
    <t>六国化工</t>
  </si>
  <si>
    <t>大洋电机</t>
  </si>
  <si>
    <t>*ST九有</t>
  </si>
  <si>
    <t>ST东海洋</t>
  </si>
  <si>
    <t>天舟文化</t>
  </si>
  <si>
    <t>*ST荣联</t>
  </si>
  <si>
    <t>星星科技</t>
  </si>
  <si>
    <t>飞利信</t>
  </si>
  <si>
    <t>广博股份</t>
  </si>
  <si>
    <t>*ST百花</t>
  </si>
  <si>
    <t>生物科技</t>
  </si>
  <si>
    <t>天广中茂</t>
  </si>
  <si>
    <t>*ST索菱</t>
  </si>
  <si>
    <t>银河电子</t>
  </si>
  <si>
    <t>*ST毅昌</t>
  </si>
  <si>
    <t>勤上股份</t>
  </si>
  <si>
    <t>旗天科技</t>
  </si>
  <si>
    <t>个人用品</t>
  </si>
  <si>
    <t>科陆电子</t>
  </si>
  <si>
    <t>*ST凯瑞</t>
  </si>
  <si>
    <t>电信增值服务</t>
  </si>
  <si>
    <t>厦门信达</t>
  </si>
  <si>
    <t>ST大化B</t>
  </si>
  <si>
    <t>金龙机电</t>
  </si>
  <si>
    <t>智慧松德</t>
  </si>
  <si>
    <t>万润科技</t>
  </si>
  <si>
    <t>ST柳化</t>
  </si>
  <si>
    <t>兰石重装</t>
  </si>
  <si>
    <t>神火股份</t>
  </si>
  <si>
    <t>ST百特</t>
  </si>
  <si>
    <t>*ST长投</t>
  </si>
  <si>
    <t>恒康医疗</t>
  </si>
  <si>
    <t>医疗保健提供商与服务</t>
  </si>
  <si>
    <t>天海防务</t>
  </si>
  <si>
    <t>*ST中捷</t>
  </si>
  <si>
    <t>实达集团</t>
  </si>
  <si>
    <t>电脑与外围设备</t>
  </si>
  <si>
    <t>慈文传媒</t>
  </si>
  <si>
    <t>博瑞传播</t>
  </si>
  <si>
    <t>胜利精密</t>
  </si>
  <si>
    <t>联络互动</t>
  </si>
  <si>
    <t>和晶科技</t>
  </si>
  <si>
    <t>南风股份</t>
  </si>
  <si>
    <t>福田汽车</t>
  </si>
  <si>
    <t>*ST人乐</t>
  </si>
  <si>
    <t>食品与主要用品零售</t>
  </si>
  <si>
    <t>三维丝</t>
  </si>
  <si>
    <t>江泉实业</t>
  </si>
  <si>
    <t>天津松江</t>
  </si>
  <si>
    <t>迅游科技</t>
  </si>
  <si>
    <t>海创B股</t>
  </si>
  <si>
    <t>双林股份</t>
  </si>
  <si>
    <t>华东科技</t>
  </si>
  <si>
    <t>兴源环境</t>
  </si>
  <si>
    <t>吴通控股</t>
  </si>
  <si>
    <t>*ST上普</t>
  </si>
  <si>
    <t>锦富技术</t>
  </si>
  <si>
    <t>深康佳Ｂ</t>
  </si>
  <si>
    <t>长园集团</t>
  </si>
  <si>
    <t>*ST金山</t>
  </si>
  <si>
    <t>ST准油</t>
  </si>
  <si>
    <t>能源设备与服务</t>
  </si>
  <si>
    <t>方正电机</t>
  </si>
  <si>
    <t>向日葵</t>
  </si>
  <si>
    <t>达华智能</t>
  </si>
  <si>
    <t>久其软件</t>
  </si>
  <si>
    <t>晨鑫科技</t>
  </si>
  <si>
    <t>ST新光</t>
  </si>
  <si>
    <t>商业地产开发和管理</t>
  </si>
  <si>
    <t>申华控股</t>
  </si>
  <si>
    <t>ST宜化</t>
  </si>
  <si>
    <t>益佰制药</t>
  </si>
  <si>
    <t>中药</t>
  </si>
  <si>
    <t>中央商场</t>
  </si>
  <si>
    <t>邦讯技术</t>
  </si>
  <si>
    <t>远方信息</t>
  </si>
  <si>
    <t>法尔胜</t>
  </si>
  <si>
    <t>华谊兄弟</t>
  </si>
  <si>
    <t>华讯方舟</t>
  </si>
  <si>
    <t>航天航空</t>
  </si>
  <si>
    <t>ST安通</t>
  </si>
  <si>
    <t>水上运输</t>
  </si>
  <si>
    <t>*ST巴士</t>
  </si>
  <si>
    <t>*ST美丽</t>
  </si>
  <si>
    <t>平庄能源</t>
  </si>
  <si>
    <t>煤炭</t>
  </si>
  <si>
    <t>津劝业</t>
  </si>
  <si>
    <t>大港股份</t>
  </si>
  <si>
    <t>ST中基</t>
  </si>
  <si>
    <t>鼎汉技术</t>
  </si>
  <si>
    <t>*ST菲达</t>
  </si>
  <si>
    <t>永贵电器</t>
  </si>
  <si>
    <t>中元股份</t>
  </si>
  <si>
    <t>交大昂立</t>
  </si>
  <si>
    <t>*ST华源</t>
  </si>
  <si>
    <t>退市大控</t>
  </si>
  <si>
    <t>ST康美</t>
  </si>
  <si>
    <t>鸿利智汇</t>
  </si>
  <si>
    <t>三湘印象</t>
  </si>
  <si>
    <t>一汽夏利</t>
  </si>
  <si>
    <t>*ST安凯</t>
  </si>
  <si>
    <t>嘉凯城</t>
  </si>
  <si>
    <t>掌趣科技</t>
  </si>
  <si>
    <t>华东数控</t>
  </si>
  <si>
    <t>青海华鼎</t>
  </si>
  <si>
    <t>海源复材</t>
  </si>
  <si>
    <t>海航控股</t>
  </si>
  <si>
    <t>航空运输</t>
  </si>
  <si>
    <t>同方股份</t>
  </si>
  <si>
    <t>*ST航通</t>
  </si>
  <si>
    <t>保变电气</t>
  </si>
  <si>
    <t>初灵信息</t>
  </si>
  <si>
    <t>全通教育</t>
  </si>
  <si>
    <t>田中精机</t>
  </si>
  <si>
    <t>安控科技</t>
  </si>
  <si>
    <t>彩虹股份</t>
  </si>
  <si>
    <t>露笑科技</t>
  </si>
  <si>
    <t>*ST升达</t>
  </si>
  <si>
    <t>华灿光电</t>
  </si>
  <si>
    <t>海控Ｂ股</t>
  </si>
  <si>
    <t>一拖股份</t>
  </si>
  <si>
    <t>皇氏集团</t>
  </si>
  <si>
    <t>金宇车城</t>
  </si>
  <si>
    <t>信邦制药</t>
  </si>
  <si>
    <t>*ST河化</t>
  </si>
  <si>
    <t>安信信托</t>
  </si>
  <si>
    <t>投资信托</t>
  </si>
  <si>
    <t>时代万恒</t>
  </si>
  <si>
    <t>常铝股份</t>
  </si>
  <si>
    <t>长安汽车</t>
  </si>
  <si>
    <t>秦川机床</t>
  </si>
  <si>
    <t>澳洋健康</t>
  </si>
  <si>
    <t>棕榈股份</t>
  </si>
  <si>
    <t>惠天热电</t>
  </si>
  <si>
    <t>复合型公用事业</t>
  </si>
  <si>
    <t>华昌达</t>
  </si>
  <si>
    <t>华天酒店</t>
  </si>
  <si>
    <t>酒店餐饮与休闲</t>
  </si>
  <si>
    <t>奥飞娱乐</t>
  </si>
  <si>
    <t>森远股份</t>
  </si>
  <si>
    <t>青岛双星</t>
  </si>
  <si>
    <t>ST天成</t>
  </si>
  <si>
    <t>西部矿业</t>
  </si>
  <si>
    <t>天音控股</t>
  </si>
  <si>
    <t>商业城</t>
  </si>
  <si>
    <t>文投控股</t>
  </si>
  <si>
    <t>普丽盛</t>
  </si>
  <si>
    <t>翰宇药业</t>
  </si>
  <si>
    <t>化学制剂</t>
  </si>
  <si>
    <t>洪涛股份</t>
  </si>
  <si>
    <t>腾邦国际</t>
  </si>
  <si>
    <t>其他消费者服务</t>
  </si>
  <si>
    <t>江淮汽车</t>
  </si>
  <si>
    <t>全信股份</t>
  </si>
  <si>
    <t>人福医药</t>
  </si>
  <si>
    <t>惠博普</t>
  </si>
  <si>
    <t>海航创新</t>
  </si>
  <si>
    <t>林州重机</t>
  </si>
  <si>
    <t>*ST皇台</t>
  </si>
  <si>
    <t>宁通信B</t>
  </si>
  <si>
    <t>时代新材</t>
  </si>
  <si>
    <t>延华智能</t>
  </si>
  <si>
    <t>ST天润</t>
  </si>
  <si>
    <t>大唐电信</t>
  </si>
  <si>
    <t>同洲电子</t>
  </si>
  <si>
    <t>ST地矿</t>
  </si>
  <si>
    <t>*ST盈方</t>
  </si>
  <si>
    <t>科隆股份</t>
  </si>
  <si>
    <t>中迪投资</t>
  </si>
  <si>
    <t>辉丰股份</t>
  </si>
  <si>
    <t>ST慧业</t>
  </si>
  <si>
    <t>建车B</t>
  </si>
  <si>
    <t>奋达科技</t>
  </si>
  <si>
    <t>赛摩电气</t>
  </si>
  <si>
    <t>金利华电</t>
  </si>
  <si>
    <t>天龙光电</t>
  </si>
  <si>
    <t>华西能源</t>
  </si>
  <si>
    <t>丹科B股</t>
  </si>
  <si>
    <t>*ST天首</t>
  </si>
  <si>
    <t>株冶集团</t>
  </si>
  <si>
    <t>拓维信息</t>
  </si>
  <si>
    <t>科达洁能</t>
  </si>
  <si>
    <t>麦趣尔</t>
  </si>
  <si>
    <t>立思辰</t>
  </si>
  <si>
    <t>悦达投资</t>
  </si>
  <si>
    <t>天际股份</t>
  </si>
  <si>
    <t>万方发展</t>
  </si>
  <si>
    <t>凯马Ｂ</t>
  </si>
  <si>
    <t>云铝股份</t>
  </si>
  <si>
    <t>汇鸿集团</t>
  </si>
  <si>
    <t>消费品经销商</t>
  </si>
  <si>
    <t>中润资源</t>
  </si>
  <si>
    <t>银鸽投资</t>
  </si>
  <si>
    <t>纸类与林业产品</t>
  </si>
  <si>
    <t>ST华仪</t>
  </si>
  <si>
    <t>软控股份</t>
  </si>
  <si>
    <t>派生科技</t>
  </si>
  <si>
    <t>天保基建</t>
  </si>
  <si>
    <t>茂硕电源</t>
  </si>
  <si>
    <t>合康新能</t>
  </si>
  <si>
    <t>麦达数字</t>
  </si>
  <si>
    <t>中船防务</t>
  </si>
  <si>
    <t>大通燃气</t>
  </si>
  <si>
    <t>新时达</t>
  </si>
  <si>
    <t>亚振家居</t>
  </si>
  <si>
    <t>ST天业</t>
  </si>
  <si>
    <t>越博动力</t>
  </si>
  <si>
    <t>利欧股份</t>
  </si>
  <si>
    <t>兴民智通</t>
  </si>
  <si>
    <t>路畅科技</t>
  </si>
  <si>
    <t>曙光股份</t>
  </si>
  <si>
    <t>*ST莲花</t>
  </si>
  <si>
    <t>富春股份</t>
  </si>
  <si>
    <t>兴业矿业</t>
  </si>
  <si>
    <t>安彩高科</t>
  </si>
  <si>
    <t>江铃Ｂ</t>
  </si>
  <si>
    <t>科融环境</t>
  </si>
  <si>
    <t>德威新材</t>
  </si>
  <si>
    <t>天富能源</t>
  </si>
  <si>
    <t>敦煌种业</t>
  </si>
  <si>
    <t>*ST天雁B</t>
  </si>
  <si>
    <t>标准股份</t>
  </si>
  <si>
    <t>首航高科</t>
  </si>
  <si>
    <t>江西长运</t>
  </si>
  <si>
    <t>陆运</t>
  </si>
  <si>
    <t>创意信息</t>
  </si>
  <si>
    <t>宝塔实业</t>
  </si>
  <si>
    <t>大康农业</t>
  </si>
  <si>
    <t>珠江实业</t>
  </si>
  <si>
    <t>迪威迅</t>
  </si>
  <si>
    <t>电广传媒</t>
  </si>
  <si>
    <t>博天环境</t>
  </si>
  <si>
    <t>ST椰岛</t>
  </si>
  <si>
    <t>*ST仁智</t>
  </si>
  <si>
    <t>百洋股份</t>
  </si>
  <si>
    <t>厚普股份</t>
  </si>
  <si>
    <t>深冷股份</t>
  </si>
  <si>
    <t>北汽蓝谷</t>
  </si>
  <si>
    <t>兆新股份</t>
  </si>
  <si>
    <t>三五互联</t>
  </si>
  <si>
    <t>ST锐电</t>
  </si>
  <si>
    <t>莎普爱思</t>
  </si>
  <si>
    <t>江苏吴中</t>
  </si>
  <si>
    <t>新筑股份</t>
  </si>
  <si>
    <t>宏达股份</t>
  </si>
  <si>
    <t>小康股份</t>
  </si>
  <si>
    <t>正业科技</t>
  </si>
  <si>
    <t>中利集团</t>
  </si>
  <si>
    <t>宜宾纸业</t>
  </si>
  <si>
    <t>哈森股份</t>
  </si>
  <si>
    <t>太化股份</t>
  </si>
  <si>
    <t>天邦股份</t>
  </si>
  <si>
    <t>深康佳Ａ</t>
  </si>
  <si>
    <t>航天机电</t>
  </si>
  <si>
    <t>津膜科技</t>
  </si>
  <si>
    <t>喜临门</t>
  </si>
  <si>
    <t>*ST罗普</t>
  </si>
  <si>
    <t>建筑产品</t>
  </si>
  <si>
    <t>西水股份</t>
  </si>
  <si>
    <t>保险</t>
  </si>
  <si>
    <t>阳煤化工</t>
  </si>
  <si>
    <t>顾地科技</t>
  </si>
  <si>
    <t>览海投资</t>
  </si>
  <si>
    <t>证通电子</t>
  </si>
  <si>
    <t>华脉科技</t>
  </si>
  <si>
    <t>日出东方</t>
  </si>
  <si>
    <t>华银电力</t>
  </si>
  <si>
    <t>*ST天圣</t>
  </si>
  <si>
    <t>药品流通</t>
  </si>
  <si>
    <t>ST成城</t>
  </si>
  <si>
    <t>海正药业</t>
  </si>
  <si>
    <t>银邦股份</t>
  </si>
  <si>
    <t>京城股份</t>
  </si>
  <si>
    <t>维科技术</t>
  </si>
  <si>
    <t>东旭蓝天</t>
  </si>
  <si>
    <t>圣龙股份</t>
  </si>
  <si>
    <t>方正科技</t>
  </si>
  <si>
    <t>长高集团</t>
  </si>
  <si>
    <t>世纪星源</t>
  </si>
  <si>
    <t>国新B股</t>
  </si>
  <si>
    <t>维信诺</t>
  </si>
  <si>
    <t>五矿发展</t>
  </si>
  <si>
    <t>航天晨光</t>
  </si>
  <si>
    <t>惠而浦</t>
  </si>
  <si>
    <t>龙泉股份</t>
  </si>
  <si>
    <t>*ST康得</t>
  </si>
  <si>
    <t>*ST盐湖</t>
  </si>
  <si>
    <t>*ST新亿</t>
  </si>
  <si>
    <t>浙江广厦</t>
  </si>
  <si>
    <t>奥维通信</t>
  </si>
  <si>
    <t>新农开发</t>
  </si>
  <si>
    <t>熊猫金控</t>
  </si>
  <si>
    <t>其他金融服务</t>
  </si>
  <si>
    <t>精功科技</t>
  </si>
  <si>
    <t>黑猫股份</t>
  </si>
  <si>
    <t>罗平锌电</t>
  </si>
  <si>
    <t>动力源</t>
  </si>
  <si>
    <t>京威股份</t>
  </si>
  <si>
    <t>恺英网络</t>
  </si>
  <si>
    <t>ST南风</t>
  </si>
  <si>
    <t>家常用品</t>
  </si>
  <si>
    <t>九安医疗</t>
  </si>
  <si>
    <t>医疗保健设备与用品</t>
  </si>
  <si>
    <t>景峰医药</t>
  </si>
  <si>
    <t>锦旅Ｂ股</t>
  </si>
  <si>
    <t>福安药业</t>
  </si>
  <si>
    <t>华联股份</t>
  </si>
  <si>
    <t>房地产租赁</t>
  </si>
  <si>
    <t>方大Ｂ</t>
  </si>
  <si>
    <t>华信退</t>
  </si>
  <si>
    <t>豫能控股</t>
  </si>
  <si>
    <t>华伍股份</t>
  </si>
  <si>
    <t>丹化科技</t>
  </si>
  <si>
    <t>三聚环保</t>
  </si>
  <si>
    <t>蓝黛传动</t>
  </si>
  <si>
    <t>杭州高新</t>
  </si>
  <si>
    <t>探路者</t>
  </si>
  <si>
    <t>银宝山新</t>
  </si>
  <si>
    <t>长方集团</t>
  </si>
  <si>
    <t>金新农</t>
  </si>
  <si>
    <t>*ST云投</t>
  </si>
  <si>
    <t>荣华实业</t>
  </si>
  <si>
    <t>闽东电力</t>
  </si>
  <si>
    <t>苏宁易购</t>
  </si>
  <si>
    <t>美邦服饰</t>
  </si>
  <si>
    <t>智云股份</t>
  </si>
  <si>
    <t>*ST宇顺</t>
  </si>
  <si>
    <t>黄河旋风</t>
  </si>
  <si>
    <t>非金属材料与制品</t>
  </si>
  <si>
    <t>亚太股份</t>
  </si>
  <si>
    <t>两面针</t>
  </si>
  <si>
    <t>供销大集</t>
  </si>
  <si>
    <t>乾照光电</t>
  </si>
  <si>
    <t>蓝海华腾</t>
  </si>
  <si>
    <t>科力远</t>
  </si>
  <si>
    <t>华控赛格</t>
  </si>
  <si>
    <t>美盛文化</t>
  </si>
  <si>
    <t>阳普医疗</t>
  </si>
  <si>
    <t>秦安股份</t>
  </si>
  <si>
    <t>永清环保</t>
  </si>
  <si>
    <t>国旅联合</t>
  </si>
  <si>
    <t>申达股份</t>
  </si>
  <si>
    <t>沈阳化工</t>
  </si>
  <si>
    <t>焦作万方</t>
  </si>
  <si>
    <t>云南旅游</t>
  </si>
  <si>
    <t>欧菲光</t>
  </si>
  <si>
    <t>先锋新材</t>
  </si>
  <si>
    <t>海得控制</t>
  </si>
  <si>
    <t>四维图新</t>
  </si>
  <si>
    <t>德力股份</t>
  </si>
  <si>
    <t>亚泰集团</t>
  </si>
  <si>
    <t>建筑材料</t>
  </si>
  <si>
    <t>苏常柴Ｂ</t>
  </si>
  <si>
    <t>高斯贝尔</t>
  </si>
  <si>
    <t>南京化纤</t>
  </si>
  <si>
    <t>东方园林</t>
  </si>
  <si>
    <t>贝因美</t>
  </si>
  <si>
    <t>ST明科</t>
  </si>
  <si>
    <t>西仪股份</t>
  </si>
  <si>
    <t>钱江生化</t>
  </si>
  <si>
    <t>弘高创意</t>
  </si>
  <si>
    <t>郑州煤电</t>
  </si>
  <si>
    <t>ST摩登</t>
  </si>
  <si>
    <t>东沣B</t>
  </si>
  <si>
    <t>东安动力</t>
  </si>
  <si>
    <t>秀强股份</t>
  </si>
  <si>
    <t>双成药业</t>
  </si>
  <si>
    <t>神农科技</t>
  </si>
  <si>
    <t>易成新能</t>
  </si>
  <si>
    <t>莱茵体育</t>
  </si>
  <si>
    <t>东尼电子</t>
  </si>
  <si>
    <t>中信国安</t>
  </si>
  <si>
    <t>博云新材</t>
  </si>
  <si>
    <t>福日电子</t>
  </si>
  <si>
    <t>*ST舜喆B</t>
  </si>
  <si>
    <t>金枫酒业</t>
  </si>
  <si>
    <t>西部资源</t>
  </si>
  <si>
    <t>国新能源</t>
  </si>
  <si>
    <t>圣莱达</t>
  </si>
  <si>
    <t>泛海控股</t>
  </si>
  <si>
    <t>金固股份</t>
  </si>
  <si>
    <t>光洋股份</t>
  </si>
  <si>
    <t>精华制药</t>
  </si>
  <si>
    <t>ST蓝科</t>
  </si>
  <si>
    <t>红宇新材</t>
  </si>
  <si>
    <t>*ST步森</t>
  </si>
  <si>
    <t>深纺织Ｂ</t>
  </si>
  <si>
    <t>中路Ｂ股</t>
  </si>
  <si>
    <t>宝莫股份</t>
  </si>
  <si>
    <t>长电科技</t>
  </si>
  <si>
    <t>*ST津滨</t>
  </si>
  <si>
    <t>凯文教育</t>
  </si>
  <si>
    <t>北斗星通</t>
  </si>
  <si>
    <t>*ST天雁</t>
  </si>
  <si>
    <t>佳沃股份</t>
  </si>
  <si>
    <t>东晶电子</t>
  </si>
  <si>
    <t>江铃汽车</t>
  </si>
  <si>
    <t>太平洋</t>
  </si>
  <si>
    <t>证券</t>
  </si>
  <si>
    <t>中国高科</t>
  </si>
  <si>
    <t>华中数控</t>
  </si>
  <si>
    <t>青岛中程</t>
  </si>
  <si>
    <t>章源钨业</t>
  </si>
  <si>
    <t>乐通股份</t>
  </si>
  <si>
    <t>融钰集团</t>
  </si>
  <si>
    <t>中威电子</t>
  </si>
  <si>
    <t>新华都</t>
  </si>
  <si>
    <t>*ST中葡</t>
  </si>
  <si>
    <t>弘业股份</t>
  </si>
  <si>
    <t>恒泰艾普</t>
  </si>
  <si>
    <t>新黄浦</t>
  </si>
  <si>
    <t>梅安森</t>
  </si>
  <si>
    <t>*ST信通</t>
  </si>
  <si>
    <t>昂立教育</t>
  </si>
  <si>
    <t>华塑控股</t>
  </si>
  <si>
    <t>方大集团</t>
  </si>
  <si>
    <t>克劳斯</t>
  </si>
  <si>
    <t>万安科技</t>
  </si>
  <si>
    <t>华升股份</t>
  </si>
  <si>
    <t>太龙药业</t>
  </si>
  <si>
    <t>安源煤业</t>
  </si>
  <si>
    <t>万里股份</t>
  </si>
  <si>
    <t>襄阳轴承</t>
  </si>
  <si>
    <t>祥源文化</t>
  </si>
  <si>
    <t>英搏尔</t>
  </si>
  <si>
    <t>国电南自</t>
  </si>
  <si>
    <t>山东华鹏</t>
  </si>
  <si>
    <t>GQY视讯</t>
  </si>
  <si>
    <t>北玻股份</t>
  </si>
  <si>
    <t>晓程科技</t>
  </si>
  <si>
    <t>海联金汇</t>
  </si>
  <si>
    <t>界龙实业</t>
  </si>
  <si>
    <t>创新医疗</t>
  </si>
  <si>
    <t>獐子岛</t>
  </si>
  <si>
    <t>中化国际</t>
  </si>
  <si>
    <t>西藏矿业</t>
  </si>
  <si>
    <t>科信技术</t>
  </si>
  <si>
    <t>航发科技</t>
  </si>
  <si>
    <t>捷成股份</t>
  </si>
  <si>
    <t>青海春天</t>
  </si>
  <si>
    <t>恒星科技</t>
  </si>
  <si>
    <t>任子行</t>
  </si>
  <si>
    <t>岱勒新材</t>
  </si>
  <si>
    <t>万邦达</t>
  </si>
  <si>
    <t>卓翼科技</t>
  </si>
  <si>
    <t>中源协和</t>
  </si>
  <si>
    <t>盛洋科技</t>
  </si>
  <si>
    <t>川润股份</t>
  </si>
  <si>
    <t>际华集团</t>
  </si>
  <si>
    <t>亿利达</t>
  </si>
  <si>
    <t>美达股份</t>
  </si>
  <si>
    <t>新赛股份</t>
  </si>
  <si>
    <t>达意隆</t>
  </si>
  <si>
    <t>国际实业</t>
  </si>
  <si>
    <t>文一科技</t>
  </si>
  <si>
    <t>南国置业</t>
  </si>
  <si>
    <t>信雅达</t>
  </si>
  <si>
    <t>海螺型材</t>
  </si>
  <si>
    <t>中科金财</t>
  </si>
  <si>
    <t>ST亚邦</t>
  </si>
  <si>
    <t>ST罗顿</t>
  </si>
  <si>
    <t>惠伦晶体</t>
  </si>
  <si>
    <t>海油工程</t>
  </si>
  <si>
    <t>宁波富邦</t>
  </si>
  <si>
    <t>东方网力</t>
  </si>
  <si>
    <t>森源电气</t>
  </si>
  <si>
    <t>中能电气</t>
  </si>
  <si>
    <t>深南电B</t>
  </si>
  <si>
    <t>瓦轴B</t>
  </si>
  <si>
    <t>红阳能源</t>
  </si>
  <si>
    <t>怡亚通</t>
  </si>
  <si>
    <t>远大控股</t>
  </si>
  <si>
    <t>玉龙股份</t>
  </si>
  <si>
    <t>龙宇燃油</t>
  </si>
  <si>
    <t>钧达股份</t>
  </si>
  <si>
    <t>派思股份</t>
  </si>
  <si>
    <t>博晖创新</t>
  </si>
  <si>
    <t>聚龙股份</t>
  </si>
  <si>
    <t>亚玛顿</t>
  </si>
  <si>
    <t>*ST东南</t>
  </si>
  <si>
    <t>金鸿顺</t>
  </si>
  <si>
    <t>新华医疗</t>
  </si>
  <si>
    <t>中国一重</t>
  </si>
  <si>
    <t>维维股份</t>
  </si>
  <si>
    <t>百邦科技</t>
  </si>
  <si>
    <t>金莱特</t>
  </si>
  <si>
    <t>恒通股份</t>
  </si>
  <si>
    <t>华孚时尚</t>
  </si>
  <si>
    <t>金健米业</t>
  </si>
  <si>
    <t>广西广电</t>
  </si>
  <si>
    <t>汉邦高科</t>
  </si>
  <si>
    <t>上海雅仕</t>
  </si>
  <si>
    <t>恒银金融</t>
  </si>
  <si>
    <t>龙源技术</t>
  </si>
  <si>
    <t>振东制药</t>
  </si>
  <si>
    <t>天津普林</t>
  </si>
  <si>
    <t>金证股份</t>
  </si>
  <si>
    <t>资本市场服务</t>
  </si>
  <si>
    <t>一汽轿车</t>
  </si>
  <si>
    <t>中色股份</t>
  </si>
  <si>
    <t>西安饮食</t>
  </si>
  <si>
    <t>长城电工</t>
  </si>
  <si>
    <t>欣龙控股</t>
  </si>
  <si>
    <t>铜峰电子</t>
  </si>
  <si>
    <t>天目药业</t>
  </si>
  <si>
    <t>新研股份</t>
  </si>
  <si>
    <t>聚灿光电</t>
  </si>
  <si>
    <t>苏常柴Ａ</t>
  </si>
  <si>
    <t>吉峰科技</t>
  </si>
  <si>
    <t>大富科技</t>
  </si>
  <si>
    <t>吉林森工</t>
  </si>
  <si>
    <t>御银股份</t>
  </si>
  <si>
    <t>中飞股份</t>
  </si>
  <si>
    <t>深纺织Ａ</t>
  </si>
  <si>
    <t>众信旅游</t>
  </si>
  <si>
    <t>紫鑫药业</t>
  </si>
  <si>
    <t>宇环数控</t>
  </si>
  <si>
    <t>蒙草生态</t>
  </si>
  <si>
    <t>万通地产</t>
  </si>
  <si>
    <t>阳光股份</t>
  </si>
  <si>
    <t>吉翔股份</t>
  </si>
  <si>
    <t>海航投资</t>
  </si>
  <si>
    <t>远大智能</t>
  </si>
  <si>
    <t>东土科技</t>
  </si>
  <si>
    <t>粤传媒</t>
  </si>
  <si>
    <t>康芝药业</t>
  </si>
  <si>
    <t>凌云股份</t>
  </si>
  <si>
    <t>英可瑞</t>
  </si>
  <si>
    <t>华策影视</t>
  </si>
  <si>
    <t>东方锆业</t>
  </si>
  <si>
    <t>京山轻机</t>
  </si>
  <si>
    <t>中船科技</t>
  </si>
  <si>
    <t>综艺股份</t>
  </si>
  <si>
    <t>远望谷</t>
  </si>
  <si>
    <t>合众思壮</t>
  </si>
  <si>
    <t>超讯通信</t>
  </si>
  <si>
    <t>新文化</t>
  </si>
  <si>
    <t>春兰股份</t>
  </si>
  <si>
    <t>空港股份</t>
  </si>
  <si>
    <t>国新健康</t>
  </si>
  <si>
    <t>ST昌鱼</t>
  </si>
  <si>
    <t>光正集团</t>
  </si>
  <si>
    <t>长春燃气</t>
  </si>
  <si>
    <t>国际医学</t>
  </si>
  <si>
    <t>豫金刚石</t>
  </si>
  <si>
    <t>华丽家族</t>
  </si>
  <si>
    <t>乾景园林</t>
  </si>
  <si>
    <t>泽璟制药</t>
  </si>
  <si>
    <t>天津磁卡</t>
  </si>
  <si>
    <t>*ST集成</t>
  </si>
  <si>
    <t>云天化</t>
  </si>
  <si>
    <t>京蓝科技</t>
  </si>
  <si>
    <t>曲美家居</t>
  </si>
  <si>
    <t>*ST电能</t>
  </si>
  <si>
    <t>雷柏科技</t>
  </si>
  <si>
    <t>中国重工</t>
  </si>
  <si>
    <t>广电电气</t>
  </si>
  <si>
    <t>浙江世宝</t>
  </si>
  <si>
    <t>*ST生物</t>
  </si>
  <si>
    <t>星光农机</t>
  </si>
  <si>
    <t>三泰控股</t>
  </si>
  <si>
    <t>太安堂</t>
  </si>
  <si>
    <t>华茂股份</t>
  </si>
  <si>
    <t>洪都航空</t>
  </si>
  <si>
    <t>金正大</t>
  </si>
  <si>
    <t>吉药控股</t>
  </si>
  <si>
    <t>广晟有色</t>
  </si>
  <si>
    <t>中水渔业</t>
  </si>
  <si>
    <t>兄弟科技</t>
  </si>
  <si>
    <t>山东墨龙</t>
  </si>
  <si>
    <t>金种子酒</t>
  </si>
  <si>
    <t>博信股份</t>
  </si>
  <si>
    <t>飞力达</t>
  </si>
  <si>
    <t>龙韵股份</t>
  </si>
  <si>
    <t>金明精机</t>
  </si>
  <si>
    <t>中洲控股</t>
  </si>
  <si>
    <t>西安旅游</t>
  </si>
  <si>
    <t>精伦电子</t>
  </si>
  <si>
    <t>博汇纸业</t>
  </si>
  <si>
    <t>科达股份</t>
  </si>
  <si>
    <t>和科达</t>
  </si>
  <si>
    <t>ST云网</t>
  </si>
  <si>
    <t>宜华生活</t>
  </si>
  <si>
    <t>建科院</t>
  </si>
  <si>
    <t>熙菱信息</t>
  </si>
  <si>
    <t>凤凰光学</t>
  </si>
  <si>
    <t>ST东电</t>
  </si>
  <si>
    <t>中路股份</t>
  </si>
  <si>
    <t>神州泰岳</t>
  </si>
  <si>
    <t>三超新材</t>
  </si>
  <si>
    <t>申科股份</t>
  </si>
  <si>
    <t>钱江水利</t>
  </si>
  <si>
    <t>水公用事业</t>
  </si>
  <si>
    <t>金龙汽车</t>
  </si>
  <si>
    <t>锐奇股份</t>
  </si>
  <si>
    <t>漳泽电力</t>
  </si>
  <si>
    <t>三特索道</t>
  </si>
  <si>
    <t>太极集团</t>
  </si>
  <si>
    <t>国农科技</t>
  </si>
  <si>
    <t>鹏欣资源</t>
  </si>
  <si>
    <t>铁汉生态</t>
  </si>
  <si>
    <t>炼石航空</t>
  </si>
  <si>
    <t>国发股份</t>
  </si>
  <si>
    <t>民丰特纸</t>
  </si>
  <si>
    <t>佳创视讯</t>
  </si>
  <si>
    <t>德新交运</t>
  </si>
  <si>
    <t>常山北明</t>
  </si>
  <si>
    <t>慈星股份</t>
  </si>
  <si>
    <t>仟源医药</t>
  </si>
  <si>
    <t>凯盛科技</t>
  </si>
  <si>
    <t>浙富控股</t>
  </si>
  <si>
    <t>纳川股份</t>
  </si>
  <si>
    <t>多氟多</t>
  </si>
  <si>
    <t>绿景控股</t>
  </si>
  <si>
    <t>海南橡胶</t>
  </si>
  <si>
    <t>深赛格B</t>
  </si>
  <si>
    <t>国盛金控</t>
  </si>
  <si>
    <t>ST运盛</t>
  </si>
  <si>
    <t>全聚德</t>
  </si>
  <si>
    <t>鲁银投资</t>
  </si>
  <si>
    <t>珠海中富</t>
  </si>
  <si>
    <t>汇嘉时代</t>
  </si>
  <si>
    <t>中国铝业</t>
  </si>
  <si>
    <t>楚天科技</t>
  </si>
  <si>
    <t>宜华健康</t>
  </si>
  <si>
    <t>广哈通信</t>
  </si>
  <si>
    <t>全新好</t>
  </si>
  <si>
    <t>新日恒力</t>
  </si>
  <si>
    <t>爱康科技</t>
  </si>
  <si>
    <t>安洁科技</t>
  </si>
  <si>
    <t>丰乐种业</t>
  </si>
  <si>
    <t>维宏股份</t>
  </si>
  <si>
    <t>普邦股份</t>
  </si>
  <si>
    <t>依米康</t>
  </si>
  <si>
    <t>中房股份</t>
  </si>
  <si>
    <t>融捷股份</t>
  </si>
  <si>
    <t>未名医药</t>
  </si>
  <si>
    <t>青岛金王</t>
  </si>
  <si>
    <t>国光电器</t>
  </si>
  <si>
    <t>同达创业</t>
  </si>
  <si>
    <t>赤峰黄金</t>
  </si>
  <si>
    <t>杭齿前进</t>
  </si>
  <si>
    <t>神州信息</t>
  </si>
  <si>
    <t>新劲刚</t>
  </si>
  <si>
    <t>三毛B股</t>
  </si>
  <si>
    <t>易世达</t>
  </si>
  <si>
    <t>正海磁材</t>
  </si>
  <si>
    <t>芭田股份</t>
  </si>
  <si>
    <t>国统股份</t>
  </si>
  <si>
    <t>惠发食品</t>
  </si>
  <si>
    <t>波导股份</t>
  </si>
  <si>
    <t>道道全</t>
  </si>
  <si>
    <t>香雪制药</t>
  </si>
  <si>
    <t>安妮股份</t>
  </si>
  <si>
    <t>金信诺</t>
  </si>
  <si>
    <t>中曼石油</t>
  </si>
  <si>
    <t>华胜天成</t>
  </si>
  <si>
    <t>罗牛山</t>
  </si>
  <si>
    <t>八菱科技</t>
  </si>
  <si>
    <t>深南电A</t>
  </si>
  <si>
    <t>启迪古汉</t>
  </si>
  <si>
    <t>湘邮科技</t>
  </si>
  <si>
    <t>北纬科技</t>
  </si>
  <si>
    <t>洲际油气</t>
  </si>
  <si>
    <t>科泰电源</t>
  </si>
  <si>
    <t>旋极信息</t>
  </si>
  <si>
    <t>国中水务</t>
  </si>
  <si>
    <t>天和防务</t>
  </si>
  <si>
    <t>得润电子</t>
  </si>
  <si>
    <t>农发种业</t>
  </si>
  <si>
    <t>瑞丰光电</t>
  </si>
  <si>
    <t>宏达新材</t>
  </si>
  <si>
    <t>香梨股份</t>
  </si>
  <si>
    <t>*ST金泰</t>
  </si>
  <si>
    <t>贤丰控股</t>
  </si>
  <si>
    <t>通富微电</t>
  </si>
  <si>
    <t>来伊份</t>
  </si>
  <si>
    <t>中超控股</t>
  </si>
  <si>
    <t>华友钴业</t>
  </si>
  <si>
    <t>中航善达</t>
  </si>
  <si>
    <t>济民制药</t>
  </si>
  <si>
    <t>化学原料药</t>
  </si>
  <si>
    <t>博创科技</t>
  </si>
  <si>
    <t>新五丰</t>
  </si>
  <si>
    <t>模塑科技</t>
  </si>
  <si>
    <t>亚太实业</t>
  </si>
  <si>
    <t>丰华股份</t>
  </si>
  <si>
    <t>合成金属</t>
  </si>
  <si>
    <t>雷曼光电</t>
  </si>
  <si>
    <t>平潭发展</t>
  </si>
  <si>
    <t>招商积余</t>
  </si>
  <si>
    <t>嘉麟杰</t>
  </si>
  <si>
    <t>兰州黄河</t>
  </si>
  <si>
    <t>汉鼎宇佑</t>
  </si>
  <si>
    <t>轴研科技</t>
  </si>
  <si>
    <t>粤华包Ｂ</t>
  </si>
  <si>
    <t>*ST仰帆</t>
  </si>
  <si>
    <t>巨轮智能</t>
  </si>
  <si>
    <t>中广天择</t>
  </si>
  <si>
    <t>连云港</t>
  </si>
  <si>
    <t>交通基本设施</t>
  </si>
  <si>
    <t>桂东电力</t>
  </si>
  <si>
    <t>宏创控股</t>
  </si>
  <si>
    <t>奥特佳</t>
  </si>
  <si>
    <t>高乐股份</t>
  </si>
  <si>
    <t>振芯科技</t>
  </si>
  <si>
    <t>太原重工</t>
  </si>
  <si>
    <t>中航三鑫</t>
  </si>
  <si>
    <t>冀东装备</t>
  </si>
  <si>
    <t>东软集团</t>
  </si>
  <si>
    <t>利德曼</t>
  </si>
  <si>
    <t>南都电源</t>
  </si>
  <si>
    <t>世纪瑞尔</t>
  </si>
  <si>
    <t>海信视像</t>
  </si>
  <si>
    <t>中成股份</t>
  </si>
  <si>
    <t>四川长虹</t>
  </si>
  <si>
    <t>腾信股份</t>
  </si>
  <si>
    <t>摩恩电气</t>
  </si>
  <si>
    <t>润邦股份</t>
  </si>
  <si>
    <t>锦龙股份</t>
  </si>
  <si>
    <t>江苏索普</t>
  </si>
  <si>
    <t>恒立实业</t>
  </si>
  <si>
    <t>大湖股份</t>
  </si>
  <si>
    <t>美尔雅</t>
  </si>
  <si>
    <t>科森科技</t>
  </si>
  <si>
    <t>中国船舶</t>
  </si>
  <si>
    <t>ST昌九</t>
  </si>
  <si>
    <t>龙头股份</t>
  </si>
  <si>
    <t>华菱星马</t>
  </si>
  <si>
    <t>厦门港务</t>
  </si>
  <si>
    <t>上海三毛</t>
  </si>
  <si>
    <t>新纶科技</t>
  </si>
  <si>
    <t>深中华B</t>
  </si>
  <si>
    <t>路通视信</t>
  </si>
  <si>
    <t>智光电气</t>
  </si>
  <si>
    <t>碳元科技</t>
  </si>
  <si>
    <t>石化机械</t>
  </si>
  <si>
    <t>海南矿业</t>
  </si>
  <si>
    <t>金冠股份</t>
  </si>
  <si>
    <t>汉王科技</t>
  </si>
  <si>
    <t>天安新材</t>
  </si>
  <si>
    <t>ST慧球</t>
  </si>
  <si>
    <t>其他房地产服务</t>
  </si>
  <si>
    <t>三峡新材</t>
  </si>
  <si>
    <t>深赛格</t>
  </si>
  <si>
    <t>晶澳科技</t>
  </si>
  <si>
    <t>西部牧业</t>
  </si>
  <si>
    <t>ST厦华</t>
  </si>
  <si>
    <t>士兰微</t>
  </si>
  <si>
    <t>星云股份</t>
  </si>
  <si>
    <t>盛屯矿业</t>
  </si>
  <si>
    <t>特尔佳</t>
  </si>
  <si>
    <t>亿晶光电</t>
  </si>
  <si>
    <t>强生控股</t>
  </si>
  <si>
    <t>天鹅股份</t>
  </si>
  <si>
    <t>顺灏股份</t>
  </si>
  <si>
    <t>海南海药</t>
  </si>
  <si>
    <t>长盈精密</t>
  </si>
  <si>
    <t>四环生物</t>
  </si>
  <si>
    <t>ST坊展</t>
  </si>
  <si>
    <t>工业地产开发和管理</t>
  </si>
  <si>
    <t>鸿博股份</t>
  </si>
  <si>
    <t>星网宇达</t>
  </si>
  <si>
    <t>中兴通讯</t>
  </si>
  <si>
    <t>云南锗业</t>
  </si>
  <si>
    <t>中关村</t>
  </si>
  <si>
    <t>通合科技</t>
  </si>
  <si>
    <t>德创环保</t>
  </si>
  <si>
    <t>威尔泰</t>
  </si>
  <si>
    <t>协鑫集成</t>
  </si>
  <si>
    <t>园城黄金</t>
  </si>
  <si>
    <t>富通鑫茂</t>
  </si>
  <si>
    <t>电子城</t>
  </si>
  <si>
    <t>多喜爱</t>
  </si>
  <si>
    <t>晋西车轴</t>
  </si>
  <si>
    <t>沙河股份</t>
  </si>
  <si>
    <t>深南股份</t>
  </si>
  <si>
    <t>亚星客车</t>
  </si>
  <si>
    <t>寒锐钴业</t>
  </si>
  <si>
    <t>银之杰</t>
  </si>
  <si>
    <t>扬子新材</t>
  </si>
  <si>
    <t>华虹计通</t>
  </si>
  <si>
    <t>大东海B</t>
  </si>
  <si>
    <t>昊志机电</t>
  </si>
  <si>
    <t>海利生物</t>
  </si>
  <si>
    <t>华凯创意</t>
  </si>
  <si>
    <t>道氏技术</t>
  </si>
  <si>
    <t>京能置业</t>
  </si>
  <si>
    <t>长川科技</t>
  </si>
  <si>
    <t>誉衡药业</t>
  </si>
  <si>
    <t>深中华A</t>
  </si>
  <si>
    <t>新华传媒</t>
  </si>
  <si>
    <t>英力特</t>
  </si>
  <si>
    <t>御家汇</t>
  </si>
  <si>
    <t>万马科技</t>
  </si>
  <si>
    <t>博闻科技</t>
  </si>
  <si>
    <t>顺威股份</t>
  </si>
  <si>
    <t>开尔新材</t>
  </si>
  <si>
    <t>ST景谷</t>
  </si>
  <si>
    <t>华纺股份</t>
  </si>
  <si>
    <t>同兴达</t>
  </si>
  <si>
    <t>合锻智能</t>
  </si>
  <si>
    <t>金一文化</t>
  </si>
  <si>
    <t>榕基软件</t>
  </si>
  <si>
    <t>高鸿股份</t>
  </si>
  <si>
    <t>大东海A</t>
  </si>
  <si>
    <t>紫光学大</t>
  </si>
  <si>
    <t>天瑞仪器</t>
  </si>
  <si>
    <t>杰赛科技</t>
  </si>
  <si>
    <t>同有科技</t>
  </si>
  <si>
    <t>共达电声</t>
  </si>
  <si>
    <t>三夫户外</t>
  </si>
  <si>
    <t>弘宇股份</t>
  </si>
  <si>
    <t>国投中鲁</t>
  </si>
  <si>
    <t>韩建河山</t>
  </si>
  <si>
    <t>汇源通信</t>
  </si>
  <si>
    <t>韦尔股份</t>
  </si>
  <si>
    <t>长荣股份</t>
  </si>
  <si>
    <t>深天马Ａ</t>
  </si>
  <si>
    <t>得利斯</t>
  </si>
  <si>
    <t>超频三</t>
  </si>
  <si>
    <t>凤凰B股</t>
  </si>
  <si>
    <t>国科微</t>
  </si>
  <si>
    <t>春兴精工</t>
  </si>
  <si>
    <t>合纵科技</t>
  </si>
  <si>
    <t>隆平高科</t>
  </si>
  <si>
    <t>潜能恒信</t>
  </si>
  <si>
    <t>上海凤凰</t>
  </si>
  <si>
    <t>剑桥科技</t>
  </si>
  <si>
    <t>宇晶股份</t>
  </si>
  <si>
    <t>厦门钨业</t>
  </si>
  <si>
    <t>北京君正</t>
  </si>
  <si>
    <t>盛讯达</t>
  </si>
  <si>
    <t>诚迈科技</t>
  </si>
  <si>
    <t>赞宇科技</t>
  </si>
  <si>
    <t>北京城乡</t>
  </si>
  <si>
    <t>积成电子</t>
  </si>
  <si>
    <t>登云股份</t>
  </si>
  <si>
    <t>四川九洲</t>
  </si>
  <si>
    <t>兆日科技</t>
  </si>
  <si>
    <t>优刻得</t>
  </si>
  <si>
    <t>ST沪科</t>
  </si>
  <si>
    <t>光一科技</t>
  </si>
  <si>
    <t>泰晶科技</t>
  </si>
  <si>
    <t>龙津药业</t>
  </si>
  <si>
    <t>众兴菌业</t>
  </si>
  <si>
    <t>华鑫股份</t>
  </si>
  <si>
    <t>中信重工</t>
  </si>
  <si>
    <t>龙溪股份</t>
  </si>
  <si>
    <t>华斯股份</t>
  </si>
  <si>
    <t>香溢融通</t>
  </si>
  <si>
    <t>博济医药</t>
  </si>
  <si>
    <t>九鼎新材</t>
  </si>
  <si>
    <t>大智慧</t>
  </si>
  <si>
    <t>东易日盛</t>
  </si>
  <si>
    <t>南宁百货</t>
  </si>
  <si>
    <t>广生堂</t>
  </si>
  <si>
    <t>中航重机</t>
  </si>
  <si>
    <t>安泰科技</t>
  </si>
  <si>
    <t>汇金股份</t>
  </si>
  <si>
    <t>华阳集团</t>
  </si>
  <si>
    <t>和顺电气</t>
  </si>
  <si>
    <t>鹏博士</t>
  </si>
  <si>
    <t>和胜股份</t>
  </si>
  <si>
    <t>恒天海龙</t>
  </si>
  <si>
    <t>海特高新</t>
  </si>
  <si>
    <t>洛阳玻璃</t>
  </si>
  <si>
    <t>北方华创</t>
  </si>
  <si>
    <t>天成自控</t>
  </si>
  <si>
    <t>思美传媒</t>
  </si>
  <si>
    <t>安德利</t>
  </si>
  <si>
    <t>江丰电子</t>
  </si>
  <si>
    <t>微芯生物</t>
  </si>
  <si>
    <t>赛福天</t>
  </si>
  <si>
    <t>中国软件</t>
  </si>
  <si>
    <t>科恒股份</t>
  </si>
  <si>
    <t>渝开发</t>
  </si>
  <si>
    <t>晶方科技</t>
  </si>
  <si>
    <t>京东方Ａ</t>
  </si>
  <si>
    <t>芯源微</t>
  </si>
  <si>
    <t>欣天科技</t>
  </si>
  <si>
    <t>华资实业</t>
  </si>
  <si>
    <t>苏大维格</t>
  </si>
  <si>
    <t>香山股份</t>
  </si>
  <si>
    <t>振江股份</t>
  </si>
  <si>
    <t>深华发Ａ</t>
  </si>
  <si>
    <t>沧州大化</t>
  </si>
  <si>
    <t>天喻信息</t>
  </si>
  <si>
    <t>奥特迅</t>
  </si>
  <si>
    <t>林海股份</t>
  </si>
  <si>
    <t>润欣科技</t>
  </si>
  <si>
    <t>陇神戎发</t>
  </si>
  <si>
    <t>深科技</t>
  </si>
  <si>
    <t>三利谱</t>
  </si>
  <si>
    <t>中潜股份</t>
  </si>
  <si>
    <t>万里石</t>
  </si>
  <si>
    <t>神思电子</t>
  </si>
  <si>
    <t>中坚科技</t>
  </si>
  <si>
    <t>国风塑业</t>
  </si>
  <si>
    <t>居然之家</t>
  </si>
  <si>
    <t>祥龙电业</t>
  </si>
  <si>
    <t>华星创业</t>
  </si>
  <si>
    <t>中微公司</t>
  </si>
  <si>
    <t>绿庭投资</t>
  </si>
  <si>
    <t>理工光科</t>
  </si>
  <si>
    <t>金运激光</t>
  </si>
  <si>
    <t>皇庭国际</t>
  </si>
  <si>
    <t>南大光电</t>
  </si>
  <si>
    <t>上海新阳</t>
  </si>
  <si>
    <t>网达软件</t>
  </si>
  <si>
    <t>澳洋顺昌</t>
  </si>
  <si>
    <t>圣阳股份</t>
  </si>
  <si>
    <t>金山办公</t>
  </si>
  <si>
    <t>红蜻蜓</t>
  </si>
  <si>
    <t>汇通能源</t>
  </si>
  <si>
    <t>亿通科技</t>
  </si>
  <si>
    <t>华北制药</t>
  </si>
  <si>
    <t>怡达股份</t>
  </si>
  <si>
    <t>方直科技</t>
  </si>
  <si>
    <t>丹邦科技</t>
  </si>
  <si>
    <t>耐威科技</t>
  </si>
  <si>
    <t>泰山石油</t>
  </si>
  <si>
    <t>蓝英装备</t>
  </si>
  <si>
    <t>金晶科技</t>
  </si>
  <si>
    <t>京东方Ｂ</t>
  </si>
  <si>
    <t>哈高科</t>
  </si>
  <si>
    <t>美利云</t>
  </si>
  <si>
    <t>芯能科技</t>
  </si>
  <si>
    <t>合金投资</t>
  </si>
  <si>
    <t>宣亚国际</t>
  </si>
  <si>
    <t>富满电子</t>
  </si>
  <si>
    <t>华软科技</t>
  </si>
  <si>
    <t>太空智造</t>
  </si>
  <si>
    <t>皇庭B</t>
  </si>
  <si>
    <t>国睿科技</t>
  </si>
  <si>
    <t>尚荣医疗</t>
  </si>
  <si>
    <t>长虹华意</t>
  </si>
  <si>
    <t>众合科技</t>
  </si>
  <si>
    <t>佐力药业</t>
  </si>
  <si>
    <t>中国中期</t>
  </si>
  <si>
    <t>登海种业</t>
  </si>
  <si>
    <t>冠昊生物</t>
  </si>
  <si>
    <t>信息发展</t>
  </si>
  <si>
    <t>冀凯股份</t>
  </si>
  <si>
    <t>横河模具</t>
  </si>
  <si>
    <t>张家界</t>
  </si>
  <si>
    <t>数源科技</t>
  </si>
  <si>
    <t>瑞泰科技</t>
  </si>
  <si>
    <t>铭普光磁</t>
  </si>
  <si>
    <t>通葡股份</t>
  </si>
  <si>
    <t>晶华新材</t>
  </si>
  <si>
    <t>欧比特</t>
  </si>
  <si>
    <t>东方通信</t>
  </si>
  <si>
    <t>全柴动力</t>
  </si>
  <si>
    <t>滨海能源</t>
  </si>
  <si>
    <t>创业黑马</t>
  </si>
  <si>
    <t>永泰能源</t>
  </si>
  <si>
    <t>国联水产</t>
  </si>
  <si>
    <t>日播时尚</t>
  </si>
  <si>
    <t>广东骏亚</t>
  </si>
  <si>
    <t>有研新材</t>
  </si>
  <si>
    <t>启迪环境</t>
  </si>
  <si>
    <t>置信电气</t>
  </si>
  <si>
    <t>鲁信创投</t>
  </si>
  <si>
    <t>长亮科技</t>
  </si>
  <si>
    <t>双象股份</t>
  </si>
  <si>
    <t>富瑞特装</t>
  </si>
  <si>
    <t>宝鼎科技</t>
  </si>
  <si>
    <t>博瑞医药</t>
  </si>
  <si>
    <t>中通客车</t>
  </si>
  <si>
    <t>ST云维</t>
  </si>
  <si>
    <t>惠泉啤酒</t>
  </si>
  <si>
    <t>中海达</t>
  </si>
  <si>
    <t>晶瑞股份</t>
  </si>
  <si>
    <t>银星能源</t>
  </si>
  <si>
    <t>万达信息</t>
  </si>
  <si>
    <t>宝利国际</t>
  </si>
  <si>
    <t>汇金科技</t>
  </si>
  <si>
    <t>凯恩股份</t>
  </si>
  <si>
    <t>天准科技</t>
  </si>
  <si>
    <t>科大讯飞</t>
  </si>
  <si>
    <t>弘讯科技</t>
  </si>
  <si>
    <t>ST宏盛</t>
  </si>
  <si>
    <t>中国海防</t>
  </si>
  <si>
    <t>南京聚隆</t>
  </si>
  <si>
    <t>漫步者</t>
  </si>
  <si>
    <t>妙可蓝多</t>
  </si>
  <si>
    <t>东富龙</t>
  </si>
  <si>
    <t>安恒信息</t>
  </si>
  <si>
    <t>迪生力</t>
  </si>
  <si>
    <t>中远海特</t>
  </si>
  <si>
    <t>宁波联合</t>
  </si>
  <si>
    <t>华天科技</t>
  </si>
  <si>
    <t>北方导航</t>
  </si>
  <si>
    <t>金刚玻璃</t>
  </si>
  <si>
    <t>金智科技</t>
  </si>
  <si>
    <t>航天动力</t>
  </si>
  <si>
    <t>大连圣亚</t>
  </si>
  <si>
    <t>泰达股份</t>
  </si>
  <si>
    <t>浩物股份</t>
  </si>
  <si>
    <t>汇丽B</t>
  </si>
  <si>
    <t>开开实业</t>
  </si>
  <si>
    <t>兴齐眼药</t>
  </si>
  <si>
    <t>佛慈制药</t>
  </si>
  <si>
    <t>梅轮电梯</t>
  </si>
  <si>
    <t>沃森生物</t>
  </si>
  <si>
    <t>兆易创新</t>
  </si>
  <si>
    <t>埃斯顿</t>
  </si>
  <si>
    <t>兰生股份</t>
  </si>
  <si>
    <t>高科石化</t>
  </si>
  <si>
    <t>ST亚星</t>
  </si>
  <si>
    <t>阿石创</t>
  </si>
  <si>
    <t>梦网集团</t>
  </si>
  <si>
    <t>群兴玩具</t>
  </si>
  <si>
    <t>黑芝麻</t>
  </si>
  <si>
    <t>复旦复华</t>
  </si>
  <si>
    <t>海南高速</t>
  </si>
  <si>
    <t>中青宝</t>
  </si>
  <si>
    <t>广东甘化</t>
  </si>
  <si>
    <t>赛象科技</t>
  </si>
  <si>
    <t>达志科技</t>
  </si>
  <si>
    <t>安集科技</t>
  </si>
  <si>
    <t>易联众</t>
  </si>
  <si>
    <t>天晟新材</t>
  </si>
  <si>
    <t>舒泰神</t>
  </si>
  <si>
    <t>汉商集团</t>
  </si>
  <si>
    <t>中百集团</t>
  </si>
  <si>
    <t>鲁抗医药</t>
  </si>
  <si>
    <t>浙大网新</t>
  </si>
  <si>
    <t>特宝生物</t>
  </si>
  <si>
    <t>新通联</t>
  </si>
  <si>
    <t>星期六</t>
  </si>
  <si>
    <t>特锐德</t>
  </si>
  <si>
    <t>虹软科技</t>
  </si>
  <si>
    <t>达安基因</t>
  </si>
  <si>
    <t>雅化集团</t>
  </si>
  <si>
    <t>万通智控</t>
  </si>
  <si>
    <t>瑞康医药</t>
  </si>
  <si>
    <t>*ST山水</t>
  </si>
  <si>
    <t>中金黄金</t>
  </si>
  <si>
    <t>大北农</t>
  </si>
  <si>
    <t>日海智能</t>
  </si>
  <si>
    <t>惠程科技</t>
  </si>
  <si>
    <t>世龙实业</t>
  </si>
  <si>
    <t>金字火腿</t>
  </si>
  <si>
    <t>天赐材料</t>
  </si>
  <si>
    <t>大冷股份</t>
  </si>
  <si>
    <t>出版传媒</t>
  </si>
  <si>
    <t>瑞茂通</t>
  </si>
  <si>
    <t>圣邦股份</t>
  </si>
  <si>
    <t>乐鑫科技</t>
  </si>
  <si>
    <t>雄韬股份</t>
  </si>
  <si>
    <t>金瑞矿业</t>
  </si>
  <si>
    <t>东凌国际</t>
  </si>
  <si>
    <t>中孚信息</t>
  </si>
  <si>
    <t>天齐锂业</t>
  </si>
  <si>
    <t>通宇通讯</t>
  </si>
  <si>
    <t>卓胜微</t>
  </si>
  <si>
    <t>海王生物</t>
  </si>
  <si>
    <t>深华发Ｂ</t>
  </si>
  <si>
    <t>闻泰科技</t>
  </si>
  <si>
    <t>哈药股份</t>
  </si>
  <si>
    <t>傲农生物</t>
  </si>
  <si>
    <t>温州宏丰</t>
  </si>
  <si>
    <t>天永智能</t>
  </si>
  <si>
    <t>凯撒旅业</t>
  </si>
  <si>
    <t>今天国际</t>
  </si>
  <si>
    <t>德邦股份</t>
  </si>
  <si>
    <t>富瀚微</t>
  </si>
  <si>
    <t>华峰超纤</t>
  </si>
  <si>
    <t>科蓝软件</t>
  </si>
  <si>
    <t>科创新源</t>
  </si>
  <si>
    <t>卓易信息</t>
  </si>
  <si>
    <t>用友网络</t>
  </si>
  <si>
    <t>荣科科技</t>
  </si>
  <si>
    <t>中科创达</t>
  </si>
  <si>
    <t>福鞍股份</t>
  </si>
  <si>
    <t>亚星锚链</t>
  </si>
  <si>
    <t>万隆光电</t>
  </si>
  <si>
    <t>好利来</t>
  </si>
  <si>
    <t>北新路桥</t>
  </si>
  <si>
    <t>高德红外</t>
  </si>
  <si>
    <t>巨力索具</t>
  </si>
  <si>
    <t>集智股份</t>
  </si>
  <si>
    <t>盈康生命</t>
  </si>
  <si>
    <t>仁东控股</t>
  </si>
  <si>
    <t>广州浪奇</t>
  </si>
  <si>
    <t>光启技术</t>
  </si>
  <si>
    <t>广联达</t>
  </si>
  <si>
    <t>中国卫通</t>
  </si>
  <si>
    <t>惠威科技</t>
  </si>
  <si>
    <t>南岭民爆</t>
  </si>
  <si>
    <t>戴维医疗</t>
  </si>
  <si>
    <t>会畅通讯</t>
  </si>
  <si>
    <t>辰安科技</t>
  </si>
  <si>
    <t>中恒电气</t>
  </si>
  <si>
    <t>福瑞股份</t>
  </si>
  <si>
    <t>宜安科技</t>
  </si>
  <si>
    <t>当虹科技</t>
  </si>
  <si>
    <t>西陇科学</t>
  </si>
  <si>
    <t>百利电气</t>
  </si>
  <si>
    <t>东方生物</t>
  </si>
  <si>
    <t>中体产业</t>
  </si>
  <si>
    <t>至正股份</t>
  </si>
  <si>
    <t>柯利达</t>
  </si>
  <si>
    <t>宋都股份</t>
  </si>
  <si>
    <t>天风证券</t>
  </si>
  <si>
    <t>博迈科</t>
  </si>
  <si>
    <t>海联讯</t>
  </si>
  <si>
    <t>格尔软件</t>
  </si>
  <si>
    <t>博通股份</t>
  </si>
  <si>
    <t>ST狮头</t>
  </si>
  <si>
    <t>农产品</t>
  </si>
  <si>
    <t>康拓红外</t>
  </si>
  <si>
    <t>西菱动力</t>
  </si>
  <si>
    <t>蓝思科技</t>
  </si>
  <si>
    <t>数码科技</t>
  </si>
  <si>
    <t>大理药业</t>
  </si>
  <si>
    <t>至纯科技</t>
  </si>
  <si>
    <t>生意宝</t>
  </si>
  <si>
    <t>青青稞酒</t>
  </si>
  <si>
    <t>雪人股份</t>
  </si>
  <si>
    <t>全志科技</t>
  </si>
  <si>
    <t>东信和平</t>
  </si>
  <si>
    <t>绿庭B股</t>
  </si>
  <si>
    <t>德赛西威</t>
  </si>
  <si>
    <t>通产丽星</t>
  </si>
  <si>
    <t>晶晨股份</t>
  </si>
  <si>
    <t>睿创微纳</t>
  </si>
  <si>
    <t>鞍重股份</t>
  </si>
  <si>
    <t>TCL科技</t>
  </si>
  <si>
    <t>华平股份</t>
  </si>
  <si>
    <t>岷江水电</t>
  </si>
  <si>
    <t>泰尔股份</t>
  </si>
  <si>
    <t>新疆交建</t>
  </si>
  <si>
    <t>朗源股份</t>
  </si>
  <si>
    <t>卫士通</t>
  </si>
  <si>
    <t>九洲电气</t>
  </si>
  <si>
    <t>澜起科技</t>
  </si>
  <si>
    <t>美格智能</t>
  </si>
  <si>
    <t>山鼎设计</t>
  </si>
  <si>
    <t>硕贝德</t>
  </si>
  <si>
    <t>长虹美菱</t>
  </si>
  <si>
    <t>天沃科技</t>
  </si>
  <si>
    <t>先锋电子</t>
  </si>
  <si>
    <t>热景生物</t>
  </si>
  <si>
    <t>航天长峰</t>
  </si>
  <si>
    <t>康跃科技</t>
  </si>
  <si>
    <t>风范股份</t>
  </si>
  <si>
    <t>丰元股份</t>
  </si>
  <si>
    <t>应流股份</t>
  </si>
  <si>
    <t>贝达药业</t>
  </si>
  <si>
    <t>普门科技</t>
  </si>
  <si>
    <t>康泰生物</t>
  </si>
  <si>
    <t>深信服</t>
  </si>
  <si>
    <t>ST南化</t>
  </si>
  <si>
    <t>三全食品</t>
  </si>
  <si>
    <t>海欣股份</t>
  </si>
  <si>
    <t>上海临港</t>
  </si>
  <si>
    <t>新元科技</t>
  </si>
  <si>
    <t>国脉科技</t>
  </si>
  <si>
    <t>长航凤凰</t>
  </si>
  <si>
    <t>上海贝岭</t>
  </si>
  <si>
    <t>海普瑞</t>
  </si>
  <si>
    <t>号百控股</t>
  </si>
  <si>
    <t>光华科技</t>
  </si>
  <si>
    <t>白银有色</t>
  </si>
  <si>
    <t>中储股份</t>
  </si>
  <si>
    <t>牧原股份</t>
  </si>
  <si>
    <t>广电网络</t>
  </si>
  <si>
    <t>华仁药业</t>
  </si>
  <si>
    <t>中科信息</t>
  </si>
  <si>
    <t>新晨科技</t>
  </si>
  <si>
    <t>圣达生物</t>
  </si>
  <si>
    <t>西部超导</t>
  </si>
  <si>
    <t>南卫股份</t>
  </si>
  <si>
    <t>有方科技</t>
  </si>
  <si>
    <t>长城军工</t>
  </si>
  <si>
    <t>国轩高科</t>
  </si>
  <si>
    <t>悦心健康</t>
  </si>
  <si>
    <t>激智科技</t>
  </si>
  <si>
    <t>麦迪科技</t>
  </si>
  <si>
    <t>大恒科技</t>
  </si>
  <si>
    <t>延安必康</t>
  </si>
  <si>
    <t>中科曙光</t>
  </si>
  <si>
    <t>中铝国际</t>
  </si>
  <si>
    <t>清源股份</t>
  </si>
  <si>
    <t>洁特生物</t>
  </si>
  <si>
    <t>爱迪尔</t>
  </si>
  <si>
    <t>常青股份</t>
  </si>
  <si>
    <t>翔鹭钨业</t>
  </si>
  <si>
    <t>朗博科技</t>
  </si>
  <si>
    <t>凯中精密</t>
  </si>
  <si>
    <t>映翰通</t>
  </si>
  <si>
    <t>昇兴股份</t>
  </si>
  <si>
    <t>乐心医疗</t>
  </si>
  <si>
    <t>泛微网络</t>
  </si>
  <si>
    <t>上海莱士</t>
  </si>
  <si>
    <t>金陵体育</t>
  </si>
  <si>
    <t>杉杉股份</t>
  </si>
  <si>
    <t>移远通信</t>
  </si>
  <si>
    <t>美亚柏科</t>
  </si>
  <si>
    <t>德尔未来</t>
  </si>
  <si>
    <t>赛为智能</t>
  </si>
  <si>
    <t>海量数据</t>
  </si>
  <si>
    <t>宁波韵升</t>
  </si>
  <si>
    <t>沃格光电</t>
  </si>
  <si>
    <t>金自天正</t>
  </si>
  <si>
    <t>卫信康</t>
  </si>
  <si>
    <t>东方能源</t>
  </si>
  <si>
    <t>华海药业</t>
  </si>
  <si>
    <t>四方精创</t>
  </si>
  <si>
    <t>金力泰</t>
  </si>
  <si>
    <t>当代明诚</t>
  </si>
  <si>
    <t>五矿稀土</t>
  </si>
  <si>
    <t>ST岩石</t>
  </si>
  <si>
    <t>福建金森</t>
  </si>
  <si>
    <t>亚太药业</t>
  </si>
  <si>
    <t>恒生电子</t>
  </si>
  <si>
    <t>飞天诚信</t>
  </si>
  <si>
    <t>达刚控股</t>
  </si>
  <si>
    <t>东方银星</t>
  </si>
  <si>
    <t>瑞达期货</t>
  </si>
  <si>
    <t>民生控股</t>
  </si>
  <si>
    <t>同为股份</t>
  </si>
  <si>
    <t>东材科技</t>
  </si>
  <si>
    <t>爱司凯</t>
  </si>
  <si>
    <t>景嘉微</t>
  </si>
  <si>
    <t>绿盟科技</t>
  </si>
  <si>
    <t>锦州港</t>
  </si>
  <si>
    <t>东华测试</t>
  </si>
  <si>
    <t>申联生物</t>
  </si>
  <si>
    <t>华铭智能</t>
  </si>
  <si>
    <t>普利特</t>
  </si>
  <si>
    <t>光电股份</t>
  </si>
  <si>
    <t>铂力特</t>
  </si>
  <si>
    <t>陕西金叶</t>
  </si>
  <si>
    <t>省广集团</t>
  </si>
  <si>
    <t>恒信东方</t>
  </si>
  <si>
    <t>华兴源创</t>
  </si>
  <si>
    <t>盛天网络</t>
  </si>
  <si>
    <t>京天利</t>
  </si>
  <si>
    <t>聚辰股份</t>
  </si>
  <si>
    <t>贝肯能源</t>
  </si>
  <si>
    <t>海欣食品</t>
  </si>
  <si>
    <t>新世界</t>
  </si>
  <si>
    <t>上海物贸</t>
  </si>
  <si>
    <t>汉威科技</t>
  </si>
  <si>
    <t>大冷Ｂ</t>
  </si>
  <si>
    <t>美力科技</t>
  </si>
  <si>
    <t>中国卫星</t>
  </si>
  <si>
    <t>比亚迪</t>
  </si>
  <si>
    <t>金鹰股份</t>
  </si>
  <si>
    <t>科大国创</t>
  </si>
  <si>
    <t>凤竹纺织</t>
  </si>
  <si>
    <t>江化微</t>
  </si>
  <si>
    <t>真视通</t>
  </si>
  <si>
    <t>恒宝股份</t>
  </si>
  <si>
    <t>保龄宝</t>
  </si>
  <si>
    <t>ST正源</t>
  </si>
  <si>
    <t>旭升股份</t>
  </si>
  <si>
    <t>亚盛集团</t>
  </si>
  <si>
    <t>美芝股份</t>
  </si>
  <si>
    <t>上海电影</t>
  </si>
  <si>
    <t>第一医药</t>
  </si>
  <si>
    <t>威胜信息</t>
  </si>
  <si>
    <t>世联行</t>
  </si>
  <si>
    <t>上海沪工</t>
  </si>
  <si>
    <t>华大基因</t>
  </si>
  <si>
    <t>广电计量</t>
  </si>
  <si>
    <t>华特气体</t>
  </si>
  <si>
    <t>天奈科技</t>
  </si>
  <si>
    <t>海南瑞泽</t>
  </si>
  <si>
    <t>开开Ｂ股</t>
  </si>
  <si>
    <t>三安光电</t>
  </si>
  <si>
    <t>金力永磁</t>
  </si>
  <si>
    <t>天玑科技</t>
  </si>
  <si>
    <t>拓尔思</t>
  </si>
  <si>
    <t>容百科技</t>
  </si>
  <si>
    <t>天华超净</t>
  </si>
  <si>
    <t>指南针</t>
  </si>
  <si>
    <t>东方通</t>
  </si>
  <si>
    <t>梅雁吉祥</t>
  </si>
  <si>
    <t>棒杰股份</t>
  </si>
  <si>
    <t>佳都科技</t>
  </si>
  <si>
    <t>泰格医药</t>
  </si>
  <si>
    <t>中简科技</t>
  </si>
  <si>
    <t>宝兰德</t>
  </si>
  <si>
    <t>古鳌科技</t>
  </si>
  <si>
    <t>大有能源</t>
  </si>
  <si>
    <t>鲍斯股份</t>
  </si>
  <si>
    <t>海汽集团</t>
  </si>
  <si>
    <t>康龙化成</t>
  </si>
  <si>
    <t>浙江众成</t>
  </si>
  <si>
    <t>阿科力</t>
  </si>
  <si>
    <t>大西洋</t>
  </si>
  <si>
    <t>东北制药</t>
  </si>
  <si>
    <t>世纪天鸿</t>
  </si>
  <si>
    <t>北信源</t>
  </si>
  <si>
    <t>凯发电气</t>
  </si>
  <si>
    <t>高争民爆</t>
  </si>
  <si>
    <t>三七互娱</t>
  </si>
  <si>
    <t>N道通</t>
  </si>
  <si>
    <t>中原证券</t>
  </si>
  <si>
    <t>久之洋</t>
  </si>
  <si>
    <t>大连热电</t>
  </si>
  <si>
    <t>值得买</t>
  </si>
  <si>
    <t>昭衍新药</t>
  </si>
  <si>
    <t>威唐工业</t>
  </si>
  <si>
    <t>安居宝</t>
  </si>
  <si>
    <t>壹网壹创</t>
  </si>
  <si>
    <t>卫宁健康</t>
  </si>
  <si>
    <t>正邦科技</t>
  </si>
  <si>
    <t>永悦科技</t>
  </si>
  <si>
    <t>中际旭创</t>
  </si>
  <si>
    <t>正丹股份</t>
  </si>
  <si>
    <t>吉鑫科技</t>
  </si>
  <si>
    <t>亚通股份</t>
  </si>
  <si>
    <t>心脉医疗</t>
  </si>
  <si>
    <t>七一二</t>
  </si>
  <si>
    <t>三角防务</t>
  </si>
  <si>
    <t>人民网</t>
  </si>
  <si>
    <t>莫高股份</t>
  </si>
  <si>
    <t>奥普光电</t>
  </si>
  <si>
    <t>二六三</t>
  </si>
  <si>
    <t>南京熊猫</t>
  </si>
  <si>
    <t>飞鹿股份</t>
  </si>
  <si>
    <t>数字认证</t>
  </si>
  <si>
    <t>恒久科技</t>
  </si>
  <si>
    <t>西部黄金</t>
  </si>
  <si>
    <t>莱茵生物</t>
  </si>
  <si>
    <t>劲拓股份</t>
  </si>
  <si>
    <t>焦点科技</t>
  </si>
  <si>
    <t>福光股份</t>
  </si>
  <si>
    <t>海思科</t>
  </si>
  <si>
    <t>湖北广电</t>
  </si>
  <si>
    <t>潮宏基</t>
  </si>
  <si>
    <t>扬杰科技</t>
  </si>
  <si>
    <t>南天信息</t>
  </si>
  <si>
    <t>优博讯</t>
  </si>
  <si>
    <t>纵横通信</t>
  </si>
  <si>
    <t>华林证券</t>
  </si>
  <si>
    <t>顺网科技</t>
  </si>
  <si>
    <t>立昂技术</t>
  </si>
  <si>
    <t>普元信息</t>
  </si>
  <si>
    <t>山东黄金</t>
  </si>
  <si>
    <t>华微电子</t>
  </si>
  <si>
    <t>澄星股份</t>
  </si>
  <si>
    <t>宏和科技</t>
  </si>
  <si>
    <t>渤海股份</t>
  </si>
  <si>
    <t>大立科技</t>
  </si>
  <si>
    <t>隆盛科技</t>
  </si>
  <si>
    <t>新华网</t>
  </si>
  <si>
    <t>德尔股份</t>
  </si>
  <si>
    <t>荃银高科</t>
  </si>
  <si>
    <t>元力股份</t>
  </si>
  <si>
    <t>美晨生态</t>
  </si>
  <si>
    <t>南华期货</t>
  </si>
  <si>
    <t>中科软</t>
  </si>
  <si>
    <t>苏州固锝</t>
  </si>
  <si>
    <t>时代出版</t>
  </si>
  <si>
    <t>聚隆科技</t>
  </si>
  <si>
    <t>麦捷科技</t>
  </si>
  <si>
    <t>石基信息</t>
  </si>
  <si>
    <t>左江科技</t>
  </si>
  <si>
    <t>睿能科技</t>
  </si>
  <si>
    <t>沃尔德</t>
  </si>
  <si>
    <t>东方钽业</t>
  </si>
  <si>
    <t>江苏北人</t>
  </si>
  <si>
    <t>泰林生物</t>
  </si>
  <si>
    <t>翔港科技</t>
  </si>
  <si>
    <t>云南铜业</t>
  </si>
  <si>
    <t>新光光电</t>
  </si>
  <si>
    <t>振华重工</t>
  </si>
  <si>
    <t>沃特股份</t>
  </si>
  <si>
    <t>佳隆股份</t>
  </si>
  <si>
    <t>金发拉比</t>
  </si>
  <si>
    <t>光峰科技</t>
  </si>
  <si>
    <t>莱美药业</t>
  </si>
  <si>
    <t>大连电瓷</t>
  </si>
  <si>
    <t>开立医疗</t>
  </si>
  <si>
    <t>中航电子</t>
  </si>
  <si>
    <t>南微医学</t>
  </si>
  <si>
    <t>青山纸业</t>
  </si>
  <si>
    <t>网宿科技</t>
  </si>
  <si>
    <t>北大医药</t>
  </si>
  <si>
    <t>国联股份</t>
  </si>
  <si>
    <t>四川金顶</t>
  </si>
  <si>
    <t>新易盛</t>
  </si>
  <si>
    <t>东宝生物</t>
  </si>
  <si>
    <t>名臣健康</t>
  </si>
  <si>
    <t>奥联电子</t>
  </si>
  <si>
    <t>华电重工</t>
  </si>
  <si>
    <t>和仁科技</t>
  </si>
  <si>
    <t>ST抚钢</t>
  </si>
  <si>
    <t>恒锋工具</t>
  </si>
  <si>
    <t>清溢光电</t>
  </si>
  <si>
    <t>科华恒盛</t>
  </si>
  <si>
    <t>丝路视觉</t>
  </si>
  <si>
    <t>瀚川智能</t>
  </si>
  <si>
    <t>武汉凡谷</t>
  </si>
  <si>
    <t>文灿股份</t>
  </si>
  <si>
    <t>赛诺医疗</t>
  </si>
  <si>
    <t>台基股份</t>
  </si>
  <si>
    <t>康强电子</t>
  </si>
  <si>
    <t>红塔证券</t>
  </si>
  <si>
    <t>海格通信</t>
  </si>
  <si>
    <t>博腾股份</t>
  </si>
  <si>
    <t>爱尔眼科</t>
  </si>
  <si>
    <t>捷荣技术</t>
  </si>
  <si>
    <t>宝色股份</t>
  </si>
  <si>
    <t>亚光科技</t>
  </si>
  <si>
    <t>每日互动</t>
  </si>
  <si>
    <t>晶丰明源</t>
  </si>
  <si>
    <t>世纪鼎利</t>
  </si>
  <si>
    <t>读者传媒</t>
  </si>
  <si>
    <t>辉煌科技</t>
  </si>
  <si>
    <t>柘中股份</t>
  </si>
  <si>
    <t>浙江医药</t>
  </si>
  <si>
    <t>汉得信息</t>
  </si>
  <si>
    <t>南洋股份</t>
  </si>
  <si>
    <t>航发动力</t>
  </si>
  <si>
    <t>贵绳股份</t>
  </si>
  <si>
    <t>燕京啤酒</t>
  </si>
  <si>
    <t>锦港Ｂ股</t>
  </si>
  <si>
    <t>北矿科技</t>
  </si>
  <si>
    <t>安博通</t>
  </si>
  <si>
    <t>艾德生物</t>
  </si>
  <si>
    <t>芒果超媒</t>
  </si>
  <si>
    <t>华测导航</t>
  </si>
  <si>
    <t>南方轴承</t>
  </si>
  <si>
    <t>成都路桥</t>
  </si>
  <si>
    <t>通达股份</t>
  </si>
  <si>
    <t>容大感光</t>
  </si>
  <si>
    <t>集友股份</t>
  </si>
  <si>
    <t>新媒股份</t>
  </si>
  <si>
    <t>欧普康视</t>
  </si>
  <si>
    <t>重庆港九</t>
  </si>
  <si>
    <t>朗新科技</t>
  </si>
  <si>
    <t>双林生物</t>
  </si>
  <si>
    <t>神开股份</t>
  </si>
  <si>
    <t>华测检测</t>
  </si>
  <si>
    <t>粤泰股份</t>
  </si>
  <si>
    <t>美年健康</t>
  </si>
  <si>
    <t>虹美菱B</t>
  </si>
  <si>
    <t>民德电子</t>
  </si>
  <si>
    <t>奥翔药业</t>
  </si>
  <si>
    <t>赣锋锂业</t>
  </si>
  <si>
    <t>宁波热电</t>
  </si>
  <si>
    <t>易尚展示</t>
  </si>
  <si>
    <t>易明医药</t>
  </si>
  <si>
    <t>华工科技</t>
  </si>
  <si>
    <t>药明康德</t>
  </si>
  <si>
    <t>机器人</t>
  </si>
  <si>
    <t>新宁物流</t>
  </si>
  <si>
    <t>易华录</t>
  </si>
  <si>
    <t>友好集团</t>
  </si>
  <si>
    <t>快意电梯</t>
  </si>
  <si>
    <t>意华股份</t>
  </si>
  <si>
    <t>瀚叶股份</t>
  </si>
  <si>
    <t>山石网科</t>
  </si>
  <si>
    <t>可立克</t>
  </si>
  <si>
    <t>粤桂股份</t>
  </si>
  <si>
    <t>川大智胜</t>
  </si>
  <si>
    <t>佰仁医疗</t>
  </si>
  <si>
    <t>沃华医药</t>
  </si>
  <si>
    <t>电连技术</t>
  </si>
  <si>
    <t>联合光电</t>
  </si>
  <si>
    <t>奥瑞金</t>
  </si>
  <si>
    <t>赛特新材</t>
  </si>
  <si>
    <t>赛隆药业</t>
  </si>
  <si>
    <t>宇信科技</t>
  </si>
  <si>
    <t>博思软件</t>
  </si>
  <si>
    <t>丰原药业</t>
  </si>
  <si>
    <t>东华软件</t>
  </si>
  <si>
    <t>安硕信息</t>
  </si>
  <si>
    <t>国电电力</t>
  </si>
  <si>
    <t>宁德时代</t>
  </si>
  <si>
    <t>捷顺科技</t>
  </si>
  <si>
    <t>思创医惠</t>
  </si>
  <si>
    <t>健帆生物</t>
  </si>
  <si>
    <t>亚士创能</t>
  </si>
  <si>
    <t>海尔生物</t>
  </si>
  <si>
    <t>辉隆股份</t>
  </si>
  <si>
    <t>洛阳钼业</t>
  </si>
  <si>
    <t>浪潮信息</t>
  </si>
  <si>
    <t>上海钢联</t>
  </si>
  <si>
    <t>紫光国微</t>
  </si>
  <si>
    <t>中国长城</t>
  </si>
  <si>
    <t>中环股份</t>
  </si>
  <si>
    <t>禾望电气</t>
  </si>
  <si>
    <t>捷捷微电</t>
  </si>
  <si>
    <t>光线传媒</t>
  </si>
  <si>
    <t>西部证券</t>
  </si>
  <si>
    <t>国城矿业</t>
  </si>
  <si>
    <t>乐凯胶片</t>
  </si>
  <si>
    <t>硕世生物</t>
  </si>
  <si>
    <t>金域医学</t>
  </si>
  <si>
    <t>澄天伟业</t>
  </si>
  <si>
    <t>日盈电子</t>
  </si>
  <si>
    <t>和佳股份</t>
  </si>
  <si>
    <t>永鼎股份</t>
  </si>
  <si>
    <t>美迪西</t>
  </si>
  <si>
    <t>天原集团</t>
  </si>
  <si>
    <t>雅克科技</t>
  </si>
  <si>
    <t>同花顺</t>
  </si>
  <si>
    <t>天桥起重</t>
  </si>
  <si>
    <t>凯莱英</t>
  </si>
  <si>
    <t>普莱柯</t>
  </si>
  <si>
    <t>耀皮玻璃</t>
  </si>
  <si>
    <t>精研科技</t>
  </si>
  <si>
    <t>海越能源</t>
  </si>
  <si>
    <t>中新赛克</t>
  </si>
  <si>
    <t>生物股份</t>
  </si>
  <si>
    <t>科迪乳业</t>
  </si>
  <si>
    <t>天银机电</t>
  </si>
  <si>
    <t>苏试试验</t>
  </si>
  <si>
    <t>兴森科技</t>
  </si>
  <si>
    <t>新亚制程</t>
  </si>
  <si>
    <t>龙软科技</t>
  </si>
  <si>
    <t>德方纳米</t>
  </si>
  <si>
    <t>同益股份</t>
  </si>
  <si>
    <t>华正新材</t>
  </si>
  <si>
    <t>领益智造</t>
  </si>
  <si>
    <t>启明星辰</t>
  </si>
  <si>
    <t>吉电股份</t>
  </si>
  <si>
    <t>华创阳安</t>
  </si>
  <si>
    <t>迪普科技</t>
  </si>
  <si>
    <t>数据港</t>
  </si>
  <si>
    <t>航新科技</t>
  </si>
  <si>
    <t>上海亚虹</t>
  </si>
  <si>
    <t>欣锐科技</t>
  </si>
  <si>
    <t>华熙生物</t>
  </si>
  <si>
    <t>柏楚电子</t>
  </si>
  <si>
    <t>海峡股份</t>
  </si>
  <si>
    <t>智动力</t>
  </si>
  <si>
    <t>天奇股份</t>
  </si>
  <si>
    <t>药石科技</t>
  </si>
  <si>
    <t>中广核技</t>
  </si>
  <si>
    <t>中泰股份</t>
  </si>
  <si>
    <t>贵州燃气</t>
  </si>
  <si>
    <t>智慧能源</t>
  </si>
  <si>
    <t>溢多利</t>
  </si>
  <si>
    <t>光力科技</t>
  </si>
  <si>
    <t>三爱富</t>
  </si>
  <si>
    <t>赛腾股份</t>
  </si>
  <si>
    <t>创业慧康</t>
  </si>
  <si>
    <t>昌红科技</t>
  </si>
  <si>
    <t>引力传媒</t>
  </si>
  <si>
    <t>璞泰来</t>
  </si>
  <si>
    <t>爱乐达</t>
  </si>
  <si>
    <t>东方中科</t>
  </si>
  <si>
    <t>通鼎互联</t>
  </si>
  <si>
    <t>英威腾</t>
  </si>
  <si>
    <t>安纳达</t>
  </si>
  <si>
    <t>威创股份</t>
  </si>
  <si>
    <t>方邦股份</t>
  </si>
  <si>
    <t>科达利</t>
  </si>
  <si>
    <t>安图生物</t>
  </si>
  <si>
    <t>顶点软件</t>
  </si>
  <si>
    <t>科创信息</t>
  </si>
  <si>
    <t>吉大通信</t>
  </si>
  <si>
    <t>久远银海</t>
  </si>
  <si>
    <t>三维通信</t>
  </si>
  <si>
    <t>宝信软件</t>
  </si>
  <si>
    <t>拉芳家化</t>
  </si>
  <si>
    <t>铁岭新城</t>
  </si>
  <si>
    <t>奥康国际</t>
  </si>
  <si>
    <t>乐惠国际</t>
  </si>
  <si>
    <t>大族激光</t>
  </si>
  <si>
    <t>百润股份</t>
  </si>
  <si>
    <t>中航飞机</t>
  </si>
  <si>
    <t>天通股份</t>
  </si>
  <si>
    <t>宏昌电子</t>
  </si>
  <si>
    <t>万里扬</t>
  </si>
  <si>
    <t>开山股份</t>
  </si>
  <si>
    <t>萃华珠宝</t>
  </si>
  <si>
    <t>联瑞新材</t>
  </si>
  <si>
    <t>三只松鼠</t>
  </si>
  <si>
    <t>正虹科技</t>
  </si>
  <si>
    <t>杭可科技</t>
  </si>
  <si>
    <t>光库科技</t>
  </si>
  <si>
    <t>广信材料</t>
  </si>
  <si>
    <t>凤凰股份</t>
  </si>
  <si>
    <t>航天宏图</t>
  </si>
  <si>
    <t>申通地铁</t>
  </si>
  <si>
    <t>三变科技</t>
  </si>
  <si>
    <t>高伟达</t>
  </si>
  <si>
    <t>诺德股份</t>
  </si>
  <si>
    <t>双环传动</t>
  </si>
  <si>
    <t>第一创业</t>
  </si>
  <si>
    <t>苏奥传感</t>
  </si>
  <si>
    <t>鸿泉物联</t>
  </si>
  <si>
    <t>光韵达</t>
  </si>
  <si>
    <t>纳思达</t>
  </si>
  <si>
    <t>恩捷股份</t>
  </si>
  <si>
    <t>好当家</t>
  </si>
  <si>
    <t>中昌数据</t>
  </si>
  <si>
    <t>杰普特</t>
  </si>
  <si>
    <t>弘信电子</t>
  </si>
  <si>
    <t>英飞拓</t>
  </si>
  <si>
    <t>松发股份</t>
  </si>
  <si>
    <t>华峰氨纶</t>
  </si>
  <si>
    <t>贵航股份</t>
  </si>
  <si>
    <t>太极股份</t>
  </si>
  <si>
    <t>电声股份</t>
  </si>
  <si>
    <t>安靠智电</t>
  </si>
  <si>
    <t>克来机电</t>
  </si>
  <si>
    <t>渝三峡Ａ</t>
  </si>
  <si>
    <t>特力Ａ</t>
  </si>
  <si>
    <t>锐科激光</t>
  </si>
  <si>
    <t>广和通</t>
  </si>
  <si>
    <t>今飞凯达</t>
  </si>
  <si>
    <t>汇顶科技</t>
  </si>
  <si>
    <t>健友股份</t>
  </si>
  <si>
    <t>侨银环保</t>
  </si>
  <si>
    <t>珠江钢琴</t>
  </si>
  <si>
    <t>盛弘股份</t>
  </si>
  <si>
    <t>万兴科技</t>
  </si>
  <si>
    <t>北特科技</t>
  </si>
  <si>
    <t>市北高新</t>
  </si>
  <si>
    <t>盛和资源</t>
  </si>
  <si>
    <t>必创科技</t>
  </si>
  <si>
    <t>尔康制药</t>
  </si>
  <si>
    <t>恒为科技</t>
  </si>
  <si>
    <t>同和药业</t>
  </si>
  <si>
    <t>致远互联</t>
  </si>
  <si>
    <t>红豆股份</t>
  </si>
  <si>
    <t>华通医药</t>
  </si>
  <si>
    <t>东睦股份</t>
  </si>
  <si>
    <t>海天精工</t>
  </si>
  <si>
    <t>中石科技</t>
  </si>
  <si>
    <t>中光防雷</t>
  </si>
  <si>
    <t>联得装备</t>
  </si>
  <si>
    <t>瀛通通讯</t>
  </si>
  <si>
    <t>三力士</t>
  </si>
  <si>
    <t>实丰文化</t>
  </si>
  <si>
    <t>嘉应制药</t>
  </si>
  <si>
    <t>钢研纳克</t>
  </si>
  <si>
    <t>江龙船艇</t>
  </si>
  <si>
    <t>中欣氟材</t>
  </si>
  <si>
    <t>海能达</t>
  </si>
  <si>
    <t>广大特材</t>
  </si>
  <si>
    <t>星源材质</t>
  </si>
  <si>
    <t>联创电子</t>
  </si>
  <si>
    <t>华力创通</t>
  </si>
  <si>
    <t>兴图新科</t>
  </si>
  <si>
    <t>中宠股份</t>
  </si>
  <si>
    <t>凯龙股份</t>
  </si>
  <si>
    <t>宝新能源</t>
  </si>
  <si>
    <t>坤彩科技</t>
  </si>
  <si>
    <t>南京证券</t>
  </si>
  <si>
    <t>浩云科技</t>
  </si>
  <si>
    <t>博通集成</t>
  </si>
  <si>
    <t>超华科技</t>
  </si>
  <si>
    <t>普利制药</t>
  </si>
  <si>
    <t>万集科技</t>
  </si>
  <si>
    <t>海泰发展</t>
  </si>
  <si>
    <t>优德精密</t>
  </si>
  <si>
    <t>新余国科</t>
  </si>
  <si>
    <t>移为通信</t>
  </si>
  <si>
    <t>奥福环保</t>
  </si>
  <si>
    <t>交控科技</t>
  </si>
  <si>
    <t>金牛化工</t>
  </si>
  <si>
    <t>石化油服</t>
  </si>
  <si>
    <t>超图软件</t>
  </si>
  <si>
    <t>云赛智联</t>
  </si>
  <si>
    <t>上海天洋</t>
  </si>
  <si>
    <t>腾龙股份</t>
  </si>
  <si>
    <t>永辉超市</t>
  </si>
  <si>
    <t>理邦仪器</t>
  </si>
  <si>
    <t>浪莎股份</t>
  </si>
  <si>
    <t>歌尔股份</t>
  </si>
  <si>
    <t>深桑达Ａ</t>
  </si>
  <si>
    <t>小商品城</t>
  </si>
  <si>
    <t>洁美科技</t>
  </si>
  <si>
    <t>大博医疗</t>
  </si>
  <si>
    <t>新雷能</t>
  </si>
  <si>
    <t>山推股份</t>
  </si>
  <si>
    <t>三峡水利</t>
  </si>
  <si>
    <t>江苏有线</t>
  </si>
  <si>
    <t>三木集团</t>
  </si>
  <si>
    <t>华源控股</t>
  </si>
  <si>
    <t>华媒控股</t>
  </si>
  <si>
    <t>上工申贝</t>
  </si>
  <si>
    <t>联环药业</t>
  </si>
  <si>
    <t>华东重机</t>
  </si>
  <si>
    <t>明牌珠宝</t>
  </si>
  <si>
    <t>岳阳林纸</t>
  </si>
  <si>
    <t>东方财富</t>
  </si>
  <si>
    <t>临港B股</t>
  </si>
  <si>
    <t>淳中科技</t>
  </si>
  <si>
    <t>盐津铺子</t>
  </si>
  <si>
    <t>锐明技术</t>
  </si>
  <si>
    <t>嘉寓股份</t>
  </si>
  <si>
    <t>九洲药业</t>
  </si>
  <si>
    <t>中光学</t>
  </si>
  <si>
    <t>金通灵</t>
  </si>
  <si>
    <t>紫光股份</t>
  </si>
  <si>
    <t>天坛生物</t>
  </si>
  <si>
    <t>益丰药房</t>
  </si>
  <si>
    <t>宏大爆破</t>
  </si>
  <si>
    <t>捷佳伟创</t>
  </si>
  <si>
    <t>海伦哲</t>
  </si>
  <si>
    <t>蔚蓝生物</t>
  </si>
  <si>
    <t>中京电子</t>
  </si>
  <si>
    <t>东杰智能</t>
  </si>
  <si>
    <t>齐心集团</t>
  </si>
  <si>
    <t>徕木股份</t>
  </si>
  <si>
    <t>北方稀土</t>
  </si>
  <si>
    <t>诚邦股份</t>
  </si>
  <si>
    <t>神马电力</t>
  </si>
  <si>
    <t>奥飞数据</t>
  </si>
  <si>
    <t>东信Ｂ股</t>
  </si>
  <si>
    <t>先进数通</t>
  </si>
  <si>
    <t>立讯精密</t>
  </si>
  <si>
    <t>明德生物</t>
  </si>
  <si>
    <t>大连重工</t>
  </si>
  <si>
    <t>闽发铝业</t>
  </si>
  <si>
    <t>交建股份</t>
  </si>
  <si>
    <t>正海生物</t>
  </si>
  <si>
    <t>佳禾智能</t>
  </si>
  <si>
    <t>双塔食品</t>
  </si>
  <si>
    <t>珀莱雅</t>
  </si>
  <si>
    <t>振华Ｂ股</t>
  </si>
  <si>
    <t>科博达</t>
  </si>
  <si>
    <t>深南电路</t>
  </si>
  <si>
    <t>高澜股份</t>
  </si>
  <si>
    <t>奥美医疗</t>
  </si>
  <si>
    <t>大烨智能</t>
  </si>
  <si>
    <t>哈工智能</t>
  </si>
  <si>
    <t>木林森</t>
  </si>
  <si>
    <t>迈瑞医疗</t>
  </si>
  <si>
    <t>双杰电气</t>
  </si>
  <si>
    <t>飞荣达</t>
  </si>
  <si>
    <t>八亿时空</t>
  </si>
  <si>
    <t>华瑞股份</t>
  </si>
  <si>
    <t>红日药业</t>
  </si>
  <si>
    <t>光迅科技</t>
  </si>
  <si>
    <t>凯利泰</t>
  </si>
  <si>
    <t>天味食品</t>
  </si>
  <si>
    <t>华金资本</t>
  </si>
  <si>
    <t>拓普集团</t>
  </si>
  <si>
    <t>万孚生物</t>
  </si>
  <si>
    <t>伊戈尔</t>
  </si>
  <si>
    <t>长阳科技</t>
  </si>
  <si>
    <t>绿康生化</t>
  </si>
  <si>
    <t>中国宝安</t>
  </si>
  <si>
    <t>顺络电子</t>
  </si>
  <si>
    <t>世纪华通</t>
  </si>
  <si>
    <t>和远气体</t>
  </si>
  <si>
    <t>丸美股份</t>
  </si>
  <si>
    <t>南威软件</t>
  </si>
  <si>
    <t>盛路通信</t>
  </si>
  <si>
    <t>长信科技</t>
  </si>
  <si>
    <t>东软载波</t>
  </si>
  <si>
    <t>耀皮Ｂ股</t>
  </si>
  <si>
    <t>迈得医疗</t>
  </si>
  <si>
    <t>朗科科技</t>
  </si>
  <si>
    <t>雷科防务</t>
  </si>
  <si>
    <t>明阳电路</t>
  </si>
  <si>
    <t>三江购物</t>
  </si>
  <si>
    <t>掌阅科技</t>
  </si>
  <si>
    <t>鼎捷软件</t>
  </si>
  <si>
    <t>东山精密</t>
  </si>
  <si>
    <t>重庆啤酒</t>
  </si>
  <si>
    <t>镇海股份</t>
  </si>
  <si>
    <t>天奥电子</t>
  </si>
  <si>
    <t>华达科技</t>
  </si>
  <si>
    <t>通达动力</t>
  </si>
  <si>
    <t>艾艾精工</t>
  </si>
  <si>
    <t>天宸股份</t>
  </si>
  <si>
    <t>黄山胶囊</t>
  </si>
  <si>
    <t>东音股份</t>
  </si>
  <si>
    <t>石英股份</t>
  </si>
  <si>
    <t>天地数码</t>
  </si>
  <si>
    <t>贝瑞基因</t>
  </si>
  <si>
    <t>航锦科技</t>
  </si>
  <si>
    <t>铂科新材</t>
  </si>
  <si>
    <t>佩蒂股份</t>
  </si>
  <si>
    <t>众应互联</t>
  </si>
  <si>
    <t>星徽精密</t>
  </si>
  <si>
    <t>斯达半导</t>
  </si>
  <si>
    <t>美吉姆</t>
  </si>
  <si>
    <t>中科三环</t>
  </si>
  <si>
    <t>金花股份</t>
  </si>
  <si>
    <t>运达股份</t>
  </si>
  <si>
    <t>西部材料</t>
  </si>
  <si>
    <t>潍柴重机</t>
  </si>
  <si>
    <t>航发控制</t>
  </si>
  <si>
    <t>强力新材</t>
  </si>
  <si>
    <t>道恩股份</t>
  </si>
  <si>
    <t>光威复材</t>
  </si>
  <si>
    <t>欣旺达</t>
  </si>
  <si>
    <t>荣盛石化</t>
  </si>
  <si>
    <t>威华股份</t>
  </si>
  <si>
    <t>冠农股份</t>
  </si>
  <si>
    <t>宝钛股份</t>
  </si>
  <si>
    <t>安科生物</t>
  </si>
  <si>
    <t>东方材料</t>
  </si>
  <si>
    <t>上海瀚讯</t>
  </si>
  <si>
    <t>传艺科技</t>
  </si>
  <si>
    <t>汇川技术</t>
  </si>
  <si>
    <t>横店影视</t>
  </si>
  <si>
    <t>报喜鸟</t>
  </si>
  <si>
    <t>振静股份</t>
  </si>
  <si>
    <t>海兰信</t>
  </si>
  <si>
    <t>上柴股份</t>
  </si>
  <si>
    <t>陕鼓动力</t>
  </si>
  <si>
    <t>赛意信息</t>
  </si>
  <si>
    <t>安车检测</t>
  </si>
  <si>
    <t>美亚光电</t>
  </si>
  <si>
    <t>泰禾光电</t>
  </si>
  <si>
    <t>S佳通</t>
  </si>
  <si>
    <t>利群股份</t>
  </si>
  <si>
    <t>森霸传感</t>
  </si>
  <si>
    <t>精测电子</t>
  </si>
  <si>
    <t>司太立</t>
  </si>
  <si>
    <t>龙星化工</t>
  </si>
  <si>
    <t>长春一东</t>
  </si>
  <si>
    <t>三维工程</t>
  </si>
  <si>
    <t>钱江摩托</t>
  </si>
  <si>
    <t>沪宁股份</t>
  </si>
  <si>
    <t>沃施股份</t>
  </si>
  <si>
    <t>三德科技</t>
  </si>
  <si>
    <t>新力金融</t>
  </si>
  <si>
    <t>恒基达鑫</t>
  </si>
  <si>
    <t>启明信息</t>
  </si>
  <si>
    <t>晨曦航空</t>
  </si>
  <si>
    <t>宇瞳光学</t>
  </si>
  <si>
    <t>科新机电</t>
  </si>
  <si>
    <t>中视传媒</t>
  </si>
  <si>
    <t>中颖电子</t>
  </si>
  <si>
    <t>京泉华</t>
  </si>
  <si>
    <t>英洛华</t>
  </si>
  <si>
    <t>泰和新材</t>
  </si>
  <si>
    <t>英联股份</t>
  </si>
  <si>
    <t>日辰股份</t>
  </si>
  <si>
    <t>科斯伍德</t>
  </si>
  <si>
    <t>普路通</t>
  </si>
  <si>
    <t>烽火电子</t>
  </si>
  <si>
    <t>迈为股份</t>
  </si>
  <si>
    <t>金太阳</t>
  </si>
  <si>
    <t>方盛制药</t>
  </si>
  <si>
    <t>东方创业</t>
  </si>
  <si>
    <t>恒顺醋业</t>
  </si>
  <si>
    <t>威派格</t>
  </si>
  <si>
    <t>水晶光电</t>
  </si>
  <si>
    <t>九芝堂</t>
  </si>
  <si>
    <t>惠城环保</t>
  </si>
  <si>
    <t>金逸影视</t>
  </si>
  <si>
    <t>科沃斯</t>
  </si>
  <si>
    <t>好想你</t>
  </si>
  <si>
    <t>中公教育</t>
  </si>
  <si>
    <t>万盛股份</t>
  </si>
  <si>
    <t>华铁应急</t>
  </si>
  <si>
    <t>新莱应材</t>
  </si>
  <si>
    <t>神力股份</t>
  </si>
  <si>
    <t>史丹利</t>
  </si>
  <si>
    <t>三棵树</t>
  </si>
  <si>
    <t>量子生物</t>
  </si>
  <si>
    <t>三鑫医疗</t>
  </si>
  <si>
    <t>易天股份</t>
  </si>
  <si>
    <t>朗玛信息</t>
  </si>
  <si>
    <t>航天彩虹</t>
  </si>
  <si>
    <t>嘉美包装</t>
  </si>
  <si>
    <t>锦鸡股份</t>
  </si>
  <si>
    <t>名雕股份</t>
  </si>
  <si>
    <t>英维克</t>
  </si>
  <si>
    <t>华森制药</t>
  </si>
  <si>
    <t>千禾味业</t>
  </si>
  <si>
    <t>再升科技</t>
  </si>
  <si>
    <t>精准信息</t>
  </si>
  <si>
    <t>中国应急</t>
  </si>
  <si>
    <t>矩子科技</t>
  </si>
  <si>
    <t>宁波中百</t>
  </si>
  <si>
    <t>华铁股份</t>
  </si>
  <si>
    <t>开元股份</t>
  </si>
  <si>
    <t>澳柯玛</t>
  </si>
  <si>
    <t>凯普生物</t>
  </si>
  <si>
    <t>电魂网络</t>
  </si>
  <si>
    <t>友讯达</t>
  </si>
  <si>
    <t>天孚通信</t>
  </si>
  <si>
    <t>中信建投</t>
  </si>
  <si>
    <t>拓日新能</t>
  </si>
  <si>
    <t>新开源</t>
  </si>
  <si>
    <t>瑞芯微</t>
  </si>
  <si>
    <t>财信发展</t>
  </si>
  <si>
    <t>和而泰</t>
  </si>
  <si>
    <t>数字政通</t>
  </si>
  <si>
    <t>远光软件</t>
  </si>
  <si>
    <t>万泽股份</t>
  </si>
  <si>
    <t>华培动力</t>
  </si>
  <si>
    <t>亿联网络</t>
  </si>
  <si>
    <t>山东药玻</t>
  </si>
  <si>
    <t>迦南科技</t>
  </si>
  <si>
    <t>怡球资源</t>
  </si>
  <si>
    <t>安记食品</t>
  </si>
  <si>
    <t>锦浪科技</t>
  </si>
  <si>
    <t>震安科技</t>
  </si>
  <si>
    <t>天宜上佳</t>
  </si>
  <si>
    <t>福莱特</t>
  </si>
  <si>
    <t>宝钢包装</t>
  </si>
  <si>
    <t>赢合科技</t>
  </si>
  <si>
    <t>海印股份</t>
  </si>
  <si>
    <t>广聚能源</t>
  </si>
  <si>
    <t>亿纬锂能</t>
  </si>
  <si>
    <t>万东医疗</t>
  </si>
  <si>
    <t>新开普</t>
  </si>
  <si>
    <t>新大正</t>
  </si>
  <si>
    <t>东方集团</t>
  </si>
  <si>
    <t>彩讯股份</t>
  </si>
  <si>
    <t>坚朗五金</t>
  </si>
  <si>
    <t>天迈科技</t>
  </si>
  <si>
    <t>金海环境</t>
  </si>
  <si>
    <t>新疆众和</t>
  </si>
  <si>
    <t>汇纳科技</t>
  </si>
  <si>
    <t>天顺股份</t>
  </si>
  <si>
    <t>中钢天源</t>
  </si>
  <si>
    <t>同大股份</t>
  </si>
  <si>
    <t>永创智能</t>
  </si>
  <si>
    <t>湘潭电化</t>
  </si>
  <si>
    <t>当升科技</t>
  </si>
  <si>
    <t>赢时胜</t>
  </si>
  <si>
    <t>三晖电气</t>
  </si>
  <si>
    <t>宝光股份</t>
  </si>
  <si>
    <t>国瓷材料</t>
  </si>
  <si>
    <t>航天科技</t>
  </si>
  <si>
    <t>金银河</t>
  </si>
  <si>
    <t>白云电器</t>
  </si>
  <si>
    <t>九典制药</t>
  </si>
  <si>
    <t>新朋股份</t>
  </si>
  <si>
    <t>长春经开</t>
  </si>
  <si>
    <t>寿仙谷</t>
  </si>
  <si>
    <t>交运股份</t>
  </si>
  <si>
    <t>金桥信息</t>
  </si>
  <si>
    <t>世嘉科技</t>
  </si>
  <si>
    <t>姚记科技</t>
  </si>
  <si>
    <t>中国电研</t>
  </si>
  <si>
    <t>信隆健康</t>
  </si>
  <si>
    <t>中富通</t>
  </si>
  <si>
    <t>大东方</t>
  </si>
  <si>
    <t>亿嘉和</t>
  </si>
  <si>
    <t>珠江啤酒</t>
  </si>
  <si>
    <t>新宏泰</t>
  </si>
  <si>
    <t>建龙微纳</t>
  </si>
  <si>
    <t>延江股份</t>
  </si>
  <si>
    <t>环球印务</t>
  </si>
  <si>
    <t>ST创兴</t>
  </si>
  <si>
    <t>五方光电</t>
  </si>
  <si>
    <t>德宏股份</t>
  </si>
  <si>
    <t>高新兴</t>
  </si>
  <si>
    <t>浙江仙通</t>
  </si>
  <si>
    <t>晶盛机电</t>
  </si>
  <si>
    <t>鼎信通讯</t>
  </si>
  <si>
    <t>新美星</t>
  </si>
  <si>
    <t>祥生医疗</t>
  </si>
  <si>
    <t>东方时尚</t>
  </si>
  <si>
    <t>东方航空</t>
  </si>
  <si>
    <t>西南证券</t>
  </si>
  <si>
    <t>联诚精密</t>
  </si>
  <si>
    <t>搜于特</t>
  </si>
  <si>
    <t>英唐智控</t>
  </si>
  <si>
    <t>中炬高新</t>
  </si>
  <si>
    <t>恒实科技</t>
  </si>
  <si>
    <t>爱朋医疗</t>
  </si>
  <si>
    <t>淮河能源</t>
  </si>
  <si>
    <t>思维列控</t>
  </si>
  <si>
    <t>海欣Ｂ股</t>
  </si>
  <si>
    <t>光环新网</t>
  </si>
  <si>
    <t>吉林化纤</t>
  </si>
  <si>
    <t>通光线缆</t>
  </si>
  <si>
    <t>先导智能</t>
  </si>
  <si>
    <t>沧州明珠</t>
  </si>
  <si>
    <t>湖南黄金</t>
  </si>
  <si>
    <t>欢瑞世纪</t>
  </si>
  <si>
    <t>凤形股份</t>
  </si>
  <si>
    <t>渤海汽车</t>
  </si>
  <si>
    <t>步步高</t>
  </si>
  <si>
    <t>科锐国际</t>
  </si>
  <si>
    <t>伯特利</t>
  </si>
  <si>
    <t>海能实业</t>
  </si>
  <si>
    <t>嘉元科技</t>
  </si>
  <si>
    <t>万向德农</t>
  </si>
  <si>
    <t>三元股份</t>
  </si>
  <si>
    <t>江南高纤</t>
  </si>
  <si>
    <t>振华科技</t>
  </si>
  <si>
    <t>中信出版</t>
  </si>
  <si>
    <t>华锋股份</t>
  </si>
  <si>
    <t>信维通信</t>
  </si>
  <si>
    <t>汉嘉设计</t>
  </si>
  <si>
    <t>华英农业</t>
  </si>
  <si>
    <t>雪浪环境</t>
  </si>
  <si>
    <t>山大华特</t>
  </si>
  <si>
    <t>福蓉科技</t>
  </si>
  <si>
    <t>上机数控</t>
  </si>
  <si>
    <t>博深股份</t>
  </si>
  <si>
    <t>能科股份</t>
  </si>
  <si>
    <t>昊海生科</t>
  </si>
  <si>
    <t>山航Ｂ</t>
  </si>
  <si>
    <t>振德医疗</t>
  </si>
  <si>
    <t>奇信股份</t>
  </si>
  <si>
    <t>中航高科</t>
  </si>
  <si>
    <t>西藏城投</t>
  </si>
  <si>
    <t>千方科技</t>
  </si>
  <si>
    <t>高新发展</t>
  </si>
  <si>
    <t>嘉必优</t>
  </si>
  <si>
    <t>浙江鼎力</t>
  </si>
  <si>
    <t>京运通</t>
  </si>
  <si>
    <t>万达电影</t>
  </si>
  <si>
    <t>白云机场</t>
  </si>
  <si>
    <t>分众传媒</t>
  </si>
  <si>
    <t>华宇软件</t>
  </si>
  <si>
    <t>方正证券</t>
  </si>
  <si>
    <t>云意电气</t>
  </si>
  <si>
    <t>恒铭达</t>
  </si>
  <si>
    <t>三盛教育</t>
  </si>
  <si>
    <t>罗博特科</t>
  </si>
  <si>
    <t>大参林</t>
  </si>
  <si>
    <t>安井食品</t>
  </si>
  <si>
    <t>科大智能</t>
  </si>
  <si>
    <t>飞凯材料</t>
  </si>
  <si>
    <t>巨人网络</t>
  </si>
  <si>
    <t>恒立液压</t>
  </si>
  <si>
    <t>广田集团</t>
  </si>
  <si>
    <t>吉视传媒</t>
  </si>
  <si>
    <t>蓝色光标</t>
  </si>
  <si>
    <t>三六零</t>
  </si>
  <si>
    <t>深深房A</t>
  </si>
  <si>
    <t>三花智控</t>
  </si>
  <si>
    <t>斯迪克</t>
  </si>
  <si>
    <t>威帝股份</t>
  </si>
  <si>
    <t>贵广网络</t>
  </si>
  <si>
    <t>国检集团</t>
  </si>
  <si>
    <t>中达安</t>
  </si>
  <si>
    <t>菲利华</t>
  </si>
  <si>
    <t>中远海科</t>
  </si>
  <si>
    <t>天壕环境</t>
  </si>
  <si>
    <t>康弘药业</t>
  </si>
  <si>
    <t>三川智慧</t>
  </si>
  <si>
    <t>旭光股份</t>
  </si>
  <si>
    <t>生益科技</t>
  </si>
  <si>
    <t>泰合健康</t>
  </si>
  <si>
    <t>宏辉果蔬</t>
  </si>
  <si>
    <t>万马股份</t>
  </si>
  <si>
    <t>永太科技</t>
  </si>
  <si>
    <t>新乳业</t>
  </si>
  <si>
    <t>贵研铂业</t>
  </si>
  <si>
    <t>因赛集团</t>
  </si>
  <si>
    <t>航天工程</t>
  </si>
  <si>
    <t>国机通用</t>
  </si>
  <si>
    <t>长城证券</t>
  </si>
  <si>
    <t>安道麦A</t>
  </si>
  <si>
    <t>国海证券</t>
  </si>
  <si>
    <t>东方电热</t>
  </si>
  <si>
    <t>长盛轴承</t>
  </si>
  <si>
    <t>跃岭股份</t>
  </si>
  <si>
    <t>泰永长征</t>
  </si>
  <si>
    <t>西昌电力</t>
  </si>
  <si>
    <t>红宝丽</t>
  </si>
  <si>
    <t>宏达电子</t>
  </si>
  <si>
    <t>唐人神</t>
  </si>
  <si>
    <t>元隆雅图</t>
  </si>
  <si>
    <t>乐山电力</t>
  </si>
  <si>
    <t>神宇股份</t>
  </si>
  <si>
    <t>顺丰控股</t>
  </si>
  <si>
    <t>北化股份</t>
  </si>
  <si>
    <t>智飞生物</t>
  </si>
  <si>
    <t>酒鬼酒</t>
  </si>
  <si>
    <t>乐普医疗</t>
  </si>
  <si>
    <t>ST威龙</t>
  </si>
  <si>
    <t>王子新材</t>
  </si>
  <si>
    <t>金财互联</t>
  </si>
  <si>
    <t>航天发展</t>
  </si>
  <si>
    <t>拉卡拉</t>
  </si>
  <si>
    <t>科瑞技术</t>
  </si>
  <si>
    <t>金奥博</t>
  </si>
  <si>
    <t>铜陵有色</t>
  </si>
  <si>
    <t>特发信息</t>
  </si>
  <si>
    <t>中粮糖业</t>
  </si>
  <si>
    <t>钢研高纳</t>
  </si>
  <si>
    <t>福斯特</t>
  </si>
  <si>
    <t>瑞普生物</t>
  </si>
  <si>
    <t>大胜达</t>
  </si>
  <si>
    <t>中直股份</t>
  </si>
  <si>
    <t>航天电子</t>
  </si>
  <si>
    <t>天邑股份</t>
  </si>
  <si>
    <t>新乡化纤</t>
  </si>
  <si>
    <t>锋龙股份</t>
  </si>
  <si>
    <t>金杯汽车</t>
  </si>
  <si>
    <t>海特生物</t>
  </si>
  <si>
    <t>华钰矿业</t>
  </si>
  <si>
    <t>紫天科技</t>
  </si>
  <si>
    <t>中科海讯</t>
  </si>
  <si>
    <t>海默科技</t>
  </si>
  <si>
    <t>千红制药</t>
  </si>
  <si>
    <t>中贝通信</t>
  </si>
  <si>
    <t>艾华集团</t>
  </si>
  <si>
    <t>冰川网络</t>
  </si>
  <si>
    <t>浪潮软件</t>
  </si>
  <si>
    <t>鼎龙股份</t>
  </si>
  <si>
    <t>科力尔</t>
  </si>
  <si>
    <t>卫光生物</t>
  </si>
  <si>
    <t>万里马</t>
  </si>
  <si>
    <t>唐源电气</t>
  </si>
  <si>
    <t>泸天化</t>
  </si>
  <si>
    <t>大连港</t>
  </si>
  <si>
    <t>迪安诊断</t>
  </si>
  <si>
    <t>泉峰汽车</t>
  </si>
  <si>
    <t>通用股份</t>
  </si>
  <si>
    <t>牧高笛</t>
  </si>
  <si>
    <t>ST华鼎</t>
  </si>
  <si>
    <t>三房巷</t>
  </si>
  <si>
    <t>利君股份</t>
  </si>
  <si>
    <t>宏盛股份</t>
  </si>
  <si>
    <t>博士眼镜</t>
  </si>
  <si>
    <t>佳发教育</t>
  </si>
  <si>
    <t>岳阳兴长</t>
  </si>
  <si>
    <t>海波重科</t>
  </si>
  <si>
    <t>宏发股份</t>
  </si>
  <si>
    <t>新联电子</t>
  </si>
  <si>
    <t>达威股份</t>
  </si>
  <si>
    <t>美联新材</t>
  </si>
  <si>
    <t>ST远程</t>
  </si>
  <si>
    <t>金浦钛业</t>
  </si>
  <si>
    <t>胜宏科技</t>
  </si>
  <si>
    <t>农尚环境</t>
  </si>
  <si>
    <t>柯力传感</t>
  </si>
  <si>
    <t>博杰股份</t>
  </si>
  <si>
    <t>台海核电</t>
  </si>
  <si>
    <t>保利联合</t>
  </si>
  <si>
    <t>益盛药业</t>
  </si>
  <si>
    <t>麦克奥迪</t>
  </si>
  <si>
    <t>银轮股份</t>
  </si>
  <si>
    <t>风华高科</t>
  </si>
  <si>
    <t>雅本化学</t>
  </si>
  <si>
    <t>紫金矿业</t>
  </si>
  <si>
    <t>智能自控</t>
  </si>
  <si>
    <t>郴电国际</t>
  </si>
  <si>
    <t>新宙邦</t>
  </si>
  <si>
    <t>视觉中国</t>
  </si>
  <si>
    <t>纳尔股份</t>
  </si>
  <si>
    <t>保隆科技</t>
  </si>
  <si>
    <t>梦洁股份</t>
  </si>
  <si>
    <t>力盛赛车</t>
  </si>
  <si>
    <t>老百姓</t>
  </si>
  <si>
    <t>开能健康</t>
  </si>
  <si>
    <t>南玻Ａ</t>
  </si>
  <si>
    <t>国林科技</t>
  </si>
  <si>
    <t>金辰股份</t>
  </si>
  <si>
    <t>迪贝电气</t>
  </si>
  <si>
    <t>隆基机械</t>
  </si>
  <si>
    <t>尚纬股份</t>
  </si>
  <si>
    <t>科华生物</t>
  </si>
  <si>
    <t>鲁商发展</t>
  </si>
  <si>
    <t>中海油服</t>
  </si>
  <si>
    <t>三星新材</t>
  </si>
  <si>
    <t>富邦股份</t>
  </si>
  <si>
    <t>世运电路</t>
  </si>
  <si>
    <t>顺鑫农业</t>
  </si>
  <si>
    <t>兴业证券</t>
  </si>
  <si>
    <t>华联综超</t>
  </si>
  <si>
    <t>海伦钢琴</t>
  </si>
  <si>
    <t>越秀金控</t>
  </si>
  <si>
    <t>八方股份</t>
  </si>
  <si>
    <t>福晶科技</t>
  </si>
  <si>
    <t>曲江文旅</t>
  </si>
  <si>
    <t>昊华科技</t>
  </si>
  <si>
    <t>帝尔激光</t>
  </si>
  <si>
    <t>益民集团</t>
  </si>
  <si>
    <t>洽洽食品</t>
  </si>
  <si>
    <t>克明面业</t>
  </si>
  <si>
    <t>创元科技</t>
  </si>
  <si>
    <t>福达股份</t>
  </si>
  <si>
    <t>云南能投</t>
  </si>
  <si>
    <t>恒锋信息</t>
  </si>
  <si>
    <t>鸿远电子</t>
  </si>
  <si>
    <t>福达合金</t>
  </si>
  <si>
    <t>中大力德</t>
  </si>
  <si>
    <t>恒通科技</t>
  </si>
  <si>
    <t>广电运通</t>
  </si>
  <si>
    <t>日发精机</t>
  </si>
  <si>
    <t>亚世光电</t>
  </si>
  <si>
    <t>华体科技</t>
  </si>
  <si>
    <t>英科医疗</t>
  </si>
  <si>
    <t>中马传动</t>
  </si>
  <si>
    <t>联化科技</t>
  </si>
  <si>
    <t>希努尔</t>
  </si>
  <si>
    <t>南方汇通</t>
  </si>
  <si>
    <t>汇金通</t>
  </si>
  <si>
    <t>金时科技</t>
  </si>
  <si>
    <t>邦宝益智</t>
  </si>
  <si>
    <t>冠豪高新</t>
  </si>
  <si>
    <t>山西汾酒</t>
  </si>
  <si>
    <t>协鑫能科</t>
  </si>
  <si>
    <t>天马科技</t>
  </si>
  <si>
    <t>北京科锐</t>
  </si>
  <si>
    <t>天龙股份</t>
  </si>
  <si>
    <t>百利科技</t>
  </si>
  <si>
    <t>三环集团</t>
  </si>
  <si>
    <t>四创电子</t>
  </si>
  <si>
    <t>玉禾田</t>
  </si>
  <si>
    <t>博敏电子</t>
  </si>
  <si>
    <t>万讯自控</t>
  </si>
  <si>
    <t>精艺股份</t>
  </si>
  <si>
    <t>物贸Ｂ股</t>
  </si>
  <si>
    <t>云图控股</t>
  </si>
  <si>
    <t>宝泰隆</t>
  </si>
  <si>
    <t>古越龙山</t>
  </si>
  <si>
    <t>中国西电</t>
  </si>
  <si>
    <t>微光股份</t>
  </si>
  <si>
    <t>四通股份</t>
  </si>
  <si>
    <t>视源股份</t>
  </si>
  <si>
    <t>江苏舜天</t>
  </si>
  <si>
    <t>星宇股份</t>
  </si>
  <si>
    <t>中国国旅</t>
  </si>
  <si>
    <t>北方股份</t>
  </si>
  <si>
    <t>上海电气</t>
  </si>
  <si>
    <t>天威视讯</t>
  </si>
  <si>
    <t>米奥兰特</t>
  </si>
  <si>
    <t>隆利科技</t>
  </si>
  <si>
    <t>三孚股份</t>
  </si>
  <si>
    <t>东阳光</t>
  </si>
  <si>
    <t>安奈儿</t>
  </si>
  <si>
    <t>诺邦股份</t>
  </si>
  <si>
    <t>中钨高新</t>
  </si>
  <si>
    <t>京粮控股</t>
  </si>
  <si>
    <t>神剑股份</t>
  </si>
  <si>
    <t>上海家化</t>
  </si>
  <si>
    <t>福成股份</t>
  </si>
  <si>
    <t>浙商证券</t>
  </si>
  <si>
    <t>艾迪精密</t>
  </si>
  <si>
    <t>三达膜</t>
  </si>
  <si>
    <t>星网锐捷</t>
  </si>
  <si>
    <t>中粮科技</t>
  </si>
  <si>
    <t>可替代能源</t>
  </si>
  <si>
    <t>诚志股份</t>
  </si>
  <si>
    <t>安利股份</t>
  </si>
  <si>
    <t>鹏鼎控股</t>
  </si>
  <si>
    <t>新天科技</t>
  </si>
  <si>
    <t>电光科技</t>
  </si>
  <si>
    <t>拓斯达</t>
  </si>
  <si>
    <t>如通股份</t>
  </si>
  <si>
    <t>正川股份</t>
  </si>
  <si>
    <t>青岛啤酒</t>
  </si>
  <si>
    <t>沪电股份</t>
  </si>
  <si>
    <t>海鸥股份</t>
  </si>
  <si>
    <t>朗迪集团</t>
  </si>
  <si>
    <t>巴安水务</t>
  </si>
  <si>
    <t>康惠制药</t>
  </si>
  <si>
    <t>新金路</t>
  </si>
  <si>
    <t>中航光电</t>
  </si>
  <si>
    <t>桃李面包</t>
  </si>
  <si>
    <t>健民集团</t>
  </si>
  <si>
    <t>许继电气</t>
  </si>
  <si>
    <t>张江高科</t>
  </si>
  <si>
    <t>恒邦股份</t>
  </si>
  <si>
    <t>中科电气</t>
  </si>
  <si>
    <t>久量股份</t>
  </si>
  <si>
    <t>中电电机</t>
  </si>
  <si>
    <t>乐歌股份</t>
  </si>
  <si>
    <t>中通国脉</t>
  </si>
  <si>
    <t>湖南盐业</t>
  </si>
  <si>
    <t>太极实业</t>
  </si>
  <si>
    <t>鱼跃医疗</t>
  </si>
  <si>
    <t>金钼股份</t>
  </si>
  <si>
    <t>苏州科达</t>
  </si>
  <si>
    <t>顺利办</t>
  </si>
  <si>
    <t>景旺电子</t>
  </si>
  <si>
    <t>凯美特气</t>
  </si>
  <si>
    <t>上海洗霸</t>
  </si>
  <si>
    <t>瑞斯康达</t>
  </si>
  <si>
    <t>宝莱特</t>
  </si>
  <si>
    <t>达实智能</t>
  </si>
  <si>
    <t>兴瑞科技</t>
  </si>
  <si>
    <t>康恩贝</t>
  </si>
  <si>
    <t>华东电脑</t>
  </si>
  <si>
    <t>科伦药业</t>
  </si>
  <si>
    <t>浙江震元</t>
  </si>
  <si>
    <t>易事特</t>
  </si>
  <si>
    <t>杭锅股份</t>
  </si>
  <si>
    <t>齐峰新材</t>
  </si>
  <si>
    <t>蠡湖股份</t>
  </si>
  <si>
    <t>浙江永强</t>
  </si>
  <si>
    <t>华通热力</t>
  </si>
  <si>
    <t>通化金马</t>
  </si>
  <si>
    <t>多伦科技</t>
  </si>
  <si>
    <t>兆驰股份</t>
  </si>
  <si>
    <t>杭州园林</t>
  </si>
  <si>
    <t>江海股份</t>
  </si>
  <si>
    <t>云内动力</t>
  </si>
  <si>
    <t>云南白药</t>
  </si>
  <si>
    <t>同仁堂</t>
  </si>
  <si>
    <t>鹏鹞环保</t>
  </si>
  <si>
    <t>三六五网</t>
  </si>
  <si>
    <t>嘉澳环保</t>
  </si>
  <si>
    <t>吉艾科技</t>
  </si>
  <si>
    <t>赛托生物</t>
  </si>
  <si>
    <t>华统股份</t>
  </si>
  <si>
    <t>中国动力</t>
  </si>
  <si>
    <t>中航沈飞</t>
  </si>
  <si>
    <t>格林美</t>
  </si>
  <si>
    <t>银河磁体</t>
  </si>
  <si>
    <t>奥士康</t>
  </si>
  <si>
    <t>康隆达</t>
  </si>
  <si>
    <t>奇正藏药</t>
  </si>
  <si>
    <t>鹿港文化</t>
  </si>
  <si>
    <t>中公高科</t>
  </si>
  <si>
    <t>完美世界</t>
  </si>
  <si>
    <t>中国联通</t>
  </si>
  <si>
    <t>电信运营</t>
  </si>
  <si>
    <t>公牛集团</t>
  </si>
  <si>
    <t>和邦生物</t>
  </si>
  <si>
    <t>中来股份</t>
  </si>
  <si>
    <t>永安药业</t>
  </si>
  <si>
    <t>运达科技</t>
  </si>
  <si>
    <t>博实股份</t>
  </si>
  <si>
    <t>富春环保</t>
  </si>
  <si>
    <t>英飞特</t>
  </si>
  <si>
    <t>耐普矿机</t>
  </si>
  <si>
    <t>深圳新星</t>
  </si>
  <si>
    <t>鹏翎股份</t>
  </si>
  <si>
    <t>烽火通信</t>
  </si>
  <si>
    <t>朗进科技</t>
  </si>
  <si>
    <t>开润股份</t>
  </si>
  <si>
    <t>伟隆股份</t>
  </si>
  <si>
    <t>招商港口</t>
  </si>
  <si>
    <t>新经典</t>
  </si>
  <si>
    <t>吉比特</t>
  </si>
  <si>
    <t>太辰光</t>
  </si>
  <si>
    <t>润和软件</t>
  </si>
  <si>
    <t>天康生物</t>
  </si>
  <si>
    <t>皖通科技</t>
  </si>
  <si>
    <t>科远智慧</t>
  </si>
  <si>
    <t>聚飞光电</t>
  </si>
  <si>
    <t>浙江东方</t>
  </si>
  <si>
    <t>环旭电子</t>
  </si>
  <si>
    <t>绿色动力</t>
  </si>
  <si>
    <t>浙数文化</t>
  </si>
  <si>
    <t>雪峰科技</t>
  </si>
  <si>
    <t>思特奇</t>
  </si>
  <si>
    <t>家家悦</t>
  </si>
  <si>
    <t>正元智慧</t>
  </si>
  <si>
    <t>京沪高铁</t>
  </si>
  <si>
    <t>大豪科技</t>
  </si>
  <si>
    <t>康达新材</t>
  </si>
  <si>
    <t>灵康药业</t>
  </si>
  <si>
    <t>博雅生物</t>
  </si>
  <si>
    <t>炬华科技</t>
  </si>
  <si>
    <t>双星新材</t>
  </si>
  <si>
    <t>四方达</t>
  </si>
  <si>
    <t>国立科技</t>
  </si>
  <si>
    <t>中环装备</t>
  </si>
  <si>
    <t>东方明珠</t>
  </si>
  <si>
    <t>广东榕泰</t>
  </si>
  <si>
    <t>煌上煌</t>
  </si>
  <si>
    <t>楚江新材</t>
  </si>
  <si>
    <t>光明乳业</t>
  </si>
  <si>
    <t>昂利康</t>
  </si>
  <si>
    <t>ST爱旭</t>
  </si>
  <si>
    <t>新日股份</t>
  </si>
  <si>
    <t>电科院</t>
  </si>
  <si>
    <t>中顺洁柔</t>
  </si>
  <si>
    <t>捷昌驱动</t>
  </si>
  <si>
    <t>以岭药业</t>
  </si>
  <si>
    <t>盘龙药业</t>
  </si>
  <si>
    <t>万德斯</t>
  </si>
  <si>
    <t>祥鑫科技</t>
  </si>
  <si>
    <t>新智认知</t>
  </si>
  <si>
    <t>三联虹普</t>
  </si>
  <si>
    <t>君禾股份</t>
  </si>
  <si>
    <t>锌业股份</t>
  </si>
  <si>
    <t>天药股份</t>
  </si>
  <si>
    <t>快克股份</t>
  </si>
  <si>
    <t>均胜电子</t>
  </si>
  <si>
    <t>江苏阳光</t>
  </si>
  <si>
    <t>大唐发电</t>
  </si>
  <si>
    <t>华信新材</t>
  </si>
  <si>
    <t>凯伦股份</t>
  </si>
  <si>
    <t>海辰药业</t>
  </si>
  <si>
    <t>永福股份</t>
  </si>
  <si>
    <t>加加食品</t>
  </si>
  <si>
    <t>海川智能</t>
  </si>
  <si>
    <t>上海电力</t>
  </si>
  <si>
    <t>藏格控股</t>
  </si>
  <si>
    <t>亚联发展</t>
  </si>
  <si>
    <t>久吾高科</t>
  </si>
  <si>
    <t>英派斯</t>
  </si>
  <si>
    <t>中核科技</t>
  </si>
  <si>
    <t>德恩精工</t>
  </si>
  <si>
    <t>山西证券</t>
  </si>
  <si>
    <t>利通电子</t>
  </si>
  <si>
    <t>合力泰</t>
  </si>
  <si>
    <t>杰瑞股份</t>
  </si>
  <si>
    <t>新宏泽</t>
  </si>
  <si>
    <t>海大集团</t>
  </si>
  <si>
    <t>密尔克卫</t>
  </si>
  <si>
    <t>新兴装备</t>
  </si>
  <si>
    <t>湖南投资</t>
  </si>
  <si>
    <t>星湖科技</t>
  </si>
  <si>
    <t>城地股份</t>
  </si>
  <si>
    <t>万向钱潮</t>
  </si>
  <si>
    <t>金发科技</t>
  </si>
  <si>
    <t>科士达</t>
  </si>
  <si>
    <t>华扬联众</t>
  </si>
  <si>
    <t>永和智控</t>
  </si>
  <si>
    <t>宝胜股份</t>
  </si>
  <si>
    <t>亿帆医药</t>
  </si>
  <si>
    <t>盈趣科技</t>
  </si>
  <si>
    <t>小熊电器</t>
  </si>
  <si>
    <t>鸿合科技</t>
  </si>
  <si>
    <t>云赛Ｂ股</t>
  </si>
  <si>
    <t>迈克生物</t>
  </si>
  <si>
    <t>成都燃气</t>
  </si>
  <si>
    <t>光弘科技</t>
  </si>
  <si>
    <t>东江环保</t>
  </si>
  <si>
    <t>ST围海</t>
  </si>
  <si>
    <t>顶固集创</t>
  </si>
  <si>
    <t>龙大肉食</t>
  </si>
  <si>
    <t>沃尔核材</t>
  </si>
  <si>
    <t>亚翔集成</t>
  </si>
  <si>
    <t>联创光电</t>
  </si>
  <si>
    <t>东方国信</t>
  </si>
  <si>
    <t>洛凯股份</t>
  </si>
  <si>
    <t>海顺新材</t>
  </si>
  <si>
    <t>神奇制药</t>
  </si>
  <si>
    <t>传音控股</t>
  </si>
  <si>
    <t>蓝帆医疗</t>
  </si>
  <si>
    <t>永兴材料</t>
  </si>
  <si>
    <t>广州港</t>
  </si>
  <si>
    <t>天铁股份</t>
  </si>
  <si>
    <t>贝斯美</t>
  </si>
  <si>
    <t>永新光学</t>
  </si>
  <si>
    <t>德生科技</t>
  </si>
  <si>
    <t>法拉电子</t>
  </si>
  <si>
    <t>江山欧派</t>
  </si>
  <si>
    <t>世名科技</t>
  </si>
  <si>
    <t>天茂集团</t>
  </si>
  <si>
    <t>鹏辉能源</t>
  </si>
  <si>
    <t>庄园牧场</t>
  </si>
  <si>
    <t>美思德</t>
  </si>
  <si>
    <t>东方环宇</t>
  </si>
  <si>
    <t>大禹节水</t>
  </si>
  <si>
    <t>通达电气</t>
  </si>
  <si>
    <t>金陵饭店</t>
  </si>
  <si>
    <t>塞力斯</t>
  </si>
  <si>
    <t>嘉欣丝绸</t>
  </si>
  <si>
    <t>远达环保</t>
  </si>
  <si>
    <t>豫光金铅</t>
  </si>
  <si>
    <t>游族网络</t>
  </si>
  <si>
    <t>春风动力</t>
  </si>
  <si>
    <t>我乐家居</t>
  </si>
  <si>
    <t>三诺生物</t>
  </si>
  <si>
    <t>基蛋生物</t>
  </si>
  <si>
    <t>万业企业</t>
  </si>
  <si>
    <t>中粮资本</t>
  </si>
  <si>
    <t>濮阳惠成</t>
  </si>
  <si>
    <t>瑞特股份</t>
  </si>
  <si>
    <t>隆华科技</t>
  </si>
  <si>
    <t>如意集团</t>
  </si>
  <si>
    <t>九鼎投资</t>
  </si>
  <si>
    <t>宁波水表</t>
  </si>
  <si>
    <t>柏堡龙</t>
  </si>
  <si>
    <t>长飞光纤</t>
  </si>
  <si>
    <t>雄帝科技</t>
  </si>
  <si>
    <t>润禾材料</t>
  </si>
  <si>
    <t>南方航空</t>
  </si>
  <si>
    <t>麦格米特</t>
  </si>
  <si>
    <t>新疆浩源</t>
  </si>
  <si>
    <t>明星电力</t>
  </si>
  <si>
    <t>亚威股份</t>
  </si>
  <si>
    <t>东方证券</t>
  </si>
  <si>
    <t>继峰股份</t>
  </si>
  <si>
    <t>仙鹤股份</t>
  </si>
  <si>
    <t>长江通信</t>
  </si>
  <si>
    <t>宁波精达</t>
  </si>
  <si>
    <t>佳力图</t>
  </si>
  <si>
    <t>丽珠集团</t>
  </si>
  <si>
    <t>一品红</t>
  </si>
  <si>
    <t>财通证券</t>
  </si>
  <si>
    <t>康斯特</t>
  </si>
  <si>
    <t>普洛药业</t>
  </si>
  <si>
    <t>宏川智慧</t>
  </si>
  <si>
    <t>润都股份</t>
  </si>
  <si>
    <t>太龙照明</t>
  </si>
  <si>
    <t>花王股份</t>
  </si>
  <si>
    <t>欧普照明</t>
  </si>
  <si>
    <t>绝味食品</t>
  </si>
  <si>
    <t>德艺文创</t>
  </si>
  <si>
    <t>润建股份</t>
  </si>
  <si>
    <t>东诚药业</t>
  </si>
  <si>
    <t>正平股份</t>
  </si>
  <si>
    <t>双鹭药业</t>
  </si>
  <si>
    <t>茂化实华</t>
  </si>
  <si>
    <t>红星发展</t>
  </si>
  <si>
    <t>力源信息</t>
  </si>
  <si>
    <t>旷达科技</t>
  </si>
  <si>
    <t>松炀资源</t>
  </si>
  <si>
    <t>鸣志电器</t>
  </si>
  <si>
    <t>珠海港</t>
  </si>
  <si>
    <t>金安国纪</t>
  </si>
  <si>
    <t>集泰股份</t>
  </si>
  <si>
    <t>漳州发展</t>
  </si>
  <si>
    <t>维力医疗</t>
  </si>
  <si>
    <t>航天信息</t>
  </si>
  <si>
    <t>裕兴股份</t>
  </si>
  <si>
    <t>中国天楹</t>
  </si>
  <si>
    <t>爱婴室</t>
  </si>
  <si>
    <t>日上集团</t>
  </si>
  <si>
    <t>信捷电气</t>
  </si>
  <si>
    <t>宋城演艺</t>
  </si>
  <si>
    <t>杰克股份</t>
  </si>
  <si>
    <t>常山药业</t>
  </si>
  <si>
    <t>共进股份</t>
  </si>
  <si>
    <t>新泉股份</t>
  </si>
  <si>
    <t>畅联股份</t>
  </si>
  <si>
    <t>朗科智能</t>
  </si>
  <si>
    <t>音飞储存</t>
  </si>
  <si>
    <t>涪陵榨菜</t>
  </si>
  <si>
    <t>安迪苏</t>
  </si>
  <si>
    <t>新诺威</t>
  </si>
  <si>
    <t>中航电测</t>
  </si>
  <si>
    <t>崇达技术</t>
  </si>
  <si>
    <t>三祥新材</t>
  </si>
  <si>
    <t>大庆华科</t>
  </si>
  <si>
    <t>航天电器</t>
  </si>
  <si>
    <t>亿利洁能</t>
  </si>
  <si>
    <t>宝馨科技</t>
  </si>
  <si>
    <t>华数传媒</t>
  </si>
  <si>
    <t>凯撒文化</t>
  </si>
  <si>
    <t>珍宝岛</t>
  </si>
  <si>
    <t>天夏智慧</t>
  </si>
  <si>
    <t>中山金马</t>
  </si>
  <si>
    <t>艾可蓝</t>
  </si>
  <si>
    <t>百川股份</t>
  </si>
  <si>
    <t>利安隆</t>
  </si>
  <si>
    <t>新疆天业</t>
  </si>
  <si>
    <t>燕塘乳业</t>
  </si>
  <si>
    <t>复星医药</t>
  </si>
  <si>
    <t>泰嘉股份</t>
  </si>
  <si>
    <t>茶花股份</t>
  </si>
  <si>
    <t>保税科技</t>
  </si>
  <si>
    <t>桂林旅游</t>
  </si>
  <si>
    <t>哈三联</t>
  </si>
  <si>
    <t>力星股份</t>
  </si>
  <si>
    <t>佛塑科技</t>
  </si>
  <si>
    <t>海星股份</t>
  </si>
  <si>
    <t>银信科技</t>
  </si>
  <si>
    <t>广日股份</t>
  </si>
  <si>
    <t>康力电梯</t>
  </si>
  <si>
    <t>南都物业</t>
  </si>
  <si>
    <t>沙钢股份</t>
  </si>
  <si>
    <t>智莱科技</t>
  </si>
  <si>
    <t>中航机电</t>
  </si>
  <si>
    <t>透景生命</t>
  </si>
  <si>
    <t>京华激光</t>
  </si>
  <si>
    <t>水井坊</t>
  </si>
  <si>
    <t>华阳国际</t>
  </si>
  <si>
    <t>四通新材</t>
  </si>
  <si>
    <t>新北洋</t>
  </si>
  <si>
    <t>火炬电子</t>
  </si>
  <si>
    <t>长江证券</t>
  </si>
  <si>
    <t>百达精工</t>
  </si>
  <si>
    <t>天汽模</t>
  </si>
  <si>
    <t>奇精机械</t>
  </si>
  <si>
    <t>恒大高新</t>
  </si>
  <si>
    <t>顾家家居</t>
  </si>
  <si>
    <t>中材节能</t>
  </si>
  <si>
    <t>文化长城</t>
  </si>
  <si>
    <t>中电环保</t>
  </si>
  <si>
    <t>景兴纸业</t>
  </si>
  <si>
    <t>雪迪龙</t>
  </si>
  <si>
    <t>伟明环保</t>
  </si>
  <si>
    <t>金河生物</t>
  </si>
  <si>
    <t>内蒙一机</t>
  </si>
  <si>
    <t>川恒股份</t>
  </si>
  <si>
    <t>歌华有线</t>
  </si>
  <si>
    <t>永安行</t>
  </si>
  <si>
    <t>中装建设</t>
  </si>
  <si>
    <t>三丰智能</t>
  </si>
  <si>
    <t>筑博设计</t>
  </si>
  <si>
    <t>尚品宅配</t>
  </si>
  <si>
    <t>长白山</t>
  </si>
  <si>
    <t>中矿资源</t>
  </si>
  <si>
    <t>新大陆</t>
  </si>
  <si>
    <t>丰山集团</t>
  </si>
  <si>
    <t>山河药辅</t>
  </si>
  <si>
    <t>荣丰控股</t>
  </si>
  <si>
    <t>银座股份</t>
  </si>
  <si>
    <t>良信电器</t>
  </si>
  <si>
    <t>科林电气</t>
  </si>
  <si>
    <t>雪榕生物</t>
  </si>
  <si>
    <t>万丰奥威</t>
  </si>
  <si>
    <t>隆基股份</t>
  </si>
  <si>
    <t>国芳集团</t>
  </si>
  <si>
    <t>N英杰</t>
  </si>
  <si>
    <t>哈空调</t>
  </si>
  <si>
    <t>大众公用</t>
  </si>
  <si>
    <t>横店东磁</t>
  </si>
  <si>
    <t>索通发展</t>
  </si>
  <si>
    <t>中嘉博创</t>
  </si>
  <si>
    <t>飞龙股份</t>
  </si>
  <si>
    <t>建研院</t>
  </si>
  <si>
    <t>银泰黄金</t>
  </si>
  <si>
    <t>北陆药业</t>
  </si>
  <si>
    <t>科安达</t>
  </si>
  <si>
    <t>重庆燃气</t>
  </si>
  <si>
    <t>香飘飘</t>
  </si>
  <si>
    <t>硅宝科技</t>
  </si>
  <si>
    <t>力合科技</t>
  </si>
  <si>
    <t>万顺新材</t>
  </si>
  <si>
    <t>新天药业</t>
  </si>
  <si>
    <t>中牧股份</t>
  </si>
  <si>
    <t>永吉股份</t>
  </si>
  <si>
    <t>康德莱</t>
  </si>
  <si>
    <t>中建环能</t>
  </si>
  <si>
    <t>中电兴发</t>
  </si>
  <si>
    <t>万林物流</t>
  </si>
  <si>
    <t>德联集团</t>
  </si>
  <si>
    <t>中源家居</t>
  </si>
  <si>
    <t>爱柯迪</t>
  </si>
  <si>
    <t>浙江富润</t>
  </si>
  <si>
    <t>北巴传媒</t>
  </si>
  <si>
    <t>山东威达</t>
  </si>
  <si>
    <t>五粮液</t>
  </si>
  <si>
    <t>明阳智能</t>
  </si>
  <si>
    <t>兴发集团</t>
  </si>
  <si>
    <t>回天新材</t>
  </si>
  <si>
    <t>通威股份</t>
  </si>
  <si>
    <t>东南网架</t>
  </si>
  <si>
    <t>杭电股份</t>
  </si>
  <si>
    <t>中兵红箭</t>
  </si>
  <si>
    <t>宁波高发</t>
  </si>
  <si>
    <t>泰胜风能</t>
  </si>
  <si>
    <t>金陵药业</t>
  </si>
  <si>
    <t>锦江酒店</t>
  </si>
  <si>
    <t>景津环保</t>
  </si>
  <si>
    <t>佳讯飞鸿</t>
  </si>
  <si>
    <t>汤臣倍健</t>
  </si>
  <si>
    <t>传化智联</t>
  </si>
  <si>
    <t>神驰机电</t>
  </si>
  <si>
    <t>菲林格尔</t>
  </si>
  <si>
    <t>日丰股份</t>
  </si>
  <si>
    <t>国泰集团</t>
  </si>
  <si>
    <t>欧派家居</t>
  </si>
  <si>
    <t>西藏药业</t>
  </si>
  <si>
    <t>外高桥</t>
  </si>
  <si>
    <t>天域生态</t>
  </si>
  <si>
    <t>万润股份</t>
  </si>
  <si>
    <t>通化东宝</t>
  </si>
  <si>
    <t>洪汇新材</t>
  </si>
  <si>
    <t>德美化工</t>
  </si>
  <si>
    <t>中化岩土</t>
  </si>
  <si>
    <t>上海凯宝</t>
  </si>
  <si>
    <t>招商轮船</t>
  </si>
  <si>
    <t>拓邦股份</t>
  </si>
  <si>
    <t>三维股份</t>
  </si>
  <si>
    <t>渤海租赁</t>
  </si>
  <si>
    <t>天泽信息</t>
  </si>
  <si>
    <t>深天地Ａ</t>
  </si>
  <si>
    <t>诚意药业</t>
  </si>
  <si>
    <t>安琪酵母</t>
  </si>
  <si>
    <t>华致酒行</t>
  </si>
  <si>
    <t>盛通股份</t>
  </si>
  <si>
    <t>新集能源</t>
  </si>
  <si>
    <t>春秋电子</t>
  </si>
  <si>
    <t>神州数码</t>
  </si>
  <si>
    <t>蓝晓科技</t>
  </si>
  <si>
    <t>友邦吊顶</t>
  </si>
  <si>
    <t>道明光学</t>
  </si>
  <si>
    <t>星帅尔</t>
  </si>
  <si>
    <t>莱绅通灵</t>
  </si>
  <si>
    <t>精锻科技</t>
  </si>
  <si>
    <t>广州酒家</t>
  </si>
  <si>
    <t>上海机场</t>
  </si>
  <si>
    <t>日科化学</t>
  </si>
  <si>
    <t>新界泵业</t>
  </si>
  <si>
    <t>三雄极光</t>
  </si>
  <si>
    <t>贵州百灵</t>
  </si>
  <si>
    <t>会稽山</t>
  </si>
  <si>
    <t>辽宁成大</t>
  </si>
  <si>
    <t>西麦食品</t>
  </si>
  <si>
    <t>岱美股份</t>
  </si>
  <si>
    <t>深圳机场</t>
  </si>
  <si>
    <t>红墙股份</t>
  </si>
  <si>
    <t>韵达股份</t>
  </si>
  <si>
    <t>东方电子</t>
  </si>
  <si>
    <t>温氏股份</t>
  </si>
  <si>
    <t>中设股份</t>
  </si>
  <si>
    <t>中环环保</t>
  </si>
  <si>
    <t>泰和科技</t>
  </si>
  <si>
    <t>爱施德</t>
  </si>
  <si>
    <t>上工Ｂ股</t>
  </si>
  <si>
    <t>宜昌交运</t>
  </si>
  <si>
    <t>迪森股份</t>
  </si>
  <si>
    <t>华辰装备</t>
  </si>
  <si>
    <t>汉森制药</t>
  </si>
  <si>
    <t>陕国投Ａ</t>
  </si>
  <si>
    <t>中交地产</t>
  </si>
  <si>
    <t>桂发祥</t>
  </si>
  <si>
    <t>兰太实业</t>
  </si>
  <si>
    <t>思源电气</t>
  </si>
  <si>
    <t>百大集团</t>
  </si>
  <si>
    <t>川金诺</t>
  </si>
  <si>
    <t>平治信息</t>
  </si>
  <si>
    <t>太阳电缆</t>
  </si>
  <si>
    <t>起步股份</t>
  </si>
  <si>
    <t>龙蟠科技</t>
  </si>
  <si>
    <t>城投控股</t>
  </si>
  <si>
    <t>松霖科技</t>
  </si>
  <si>
    <t>中闽能源</t>
  </si>
  <si>
    <t>海洋王</t>
  </si>
  <si>
    <t>五洲新春</t>
  </si>
  <si>
    <t>陕西黑猫</t>
  </si>
  <si>
    <t>健康元</t>
  </si>
  <si>
    <t>嘉泽新能</t>
  </si>
  <si>
    <t>吉祥航空</t>
  </si>
  <si>
    <t>好太太</t>
  </si>
  <si>
    <t>创业环保</t>
  </si>
  <si>
    <t>吉宏股份</t>
  </si>
  <si>
    <t>鸿达兴业</t>
  </si>
  <si>
    <t>恒逸石化</t>
  </si>
  <si>
    <t>仙琚制药</t>
  </si>
  <si>
    <t>阳光电源</t>
  </si>
  <si>
    <t>恒华科技</t>
  </si>
  <si>
    <t>南兴股份</t>
  </si>
  <si>
    <t>新和成</t>
  </si>
  <si>
    <t>华菱精工</t>
  </si>
  <si>
    <t>七彩化学</t>
  </si>
  <si>
    <t>新城市</t>
  </si>
  <si>
    <t>康辰药业</t>
  </si>
  <si>
    <t>中国电影</t>
  </si>
  <si>
    <t>英特集团</t>
  </si>
  <si>
    <t>众源新材</t>
  </si>
  <si>
    <t>创维数字</t>
  </si>
  <si>
    <t>国元证券</t>
  </si>
  <si>
    <t>元利科技</t>
  </si>
  <si>
    <t>新光药业</t>
  </si>
  <si>
    <t>神奇B股</t>
  </si>
  <si>
    <t>百合花</t>
  </si>
  <si>
    <t>佛山照明</t>
  </si>
  <si>
    <t>东方电气</t>
  </si>
  <si>
    <t>裕同科技</t>
  </si>
  <si>
    <t>东港股份</t>
  </si>
  <si>
    <t>九强生物</t>
  </si>
  <si>
    <t>华自科技</t>
  </si>
  <si>
    <t>台华新材</t>
  </si>
  <si>
    <t>彤程新材</t>
  </si>
  <si>
    <t>雷迪克</t>
  </si>
  <si>
    <t>四川美丰</t>
  </si>
  <si>
    <t>光莆股份</t>
  </si>
  <si>
    <t>东方嘉盛</t>
  </si>
  <si>
    <t>安达维尔</t>
  </si>
  <si>
    <t>锡业股份</t>
  </si>
  <si>
    <t>新华锦</t>
  </si>
  <si>
    <t>长缆科技</t>
  </si>
  <si>
    <t>上柴Ｂ股</t>
  </si>
  <si>
    <t>华昌化工</t>
  </si>
  <si>
    <t>长青集团</t>
  </si>
  <si>
    <t>哈投股份</t>
  </si>
  <si>
    <t>老白干酒</t>
  </si>
  <si>
    <t>卓越新能</t>
  </si>
  <si>
    <t>云海金属</t>
  </si>
  <si>
    <t>盛达资源</t>
  </si>
  <si>
    <t>亚太科技</t>
  </si>
  <si>
    <t>国光股份</t>
  </si>
  <si>
    <t>金石资源</t>
  </si>
  <si>
    <t>超声电子</t>
  </si>
  <si>
    <t>江苏新能</t>
  </si>
  <si>
    <t>东风科技</t>
  </si>
  <si>
    <t>创源文化</t>
  </si>
  <si>
    <t>宝通科技</t>
  </si>
  <si>
    <t>久日新材</t>
  </si>
  <si>
    <t>东华科技</t>
  </si>
  <si>
    <t>长城汽车</t>
  </si>
  <si>
    <t>东方日升</t>
  </si>
  <si>
    <t>晨鸣纸业</t>
  </si>
  <si>
    <t>皖维高新</t>
  </si>
  <si>
    <t>神州高铁</t>
  </si>
  <si>
    <t>扬农化工</t>
  </si>
  <si>
    <t>南京港</t>
  </si>
  <si>
    <t>中密控股</t>
  </si>
  <si>
    <t>佳士科技</t>
  </si>
  <si>
    <t>国星光电</t>
  </si>
  <si>
    <t>德展健康</t>
  </si>
  <si>
    <t>倍加洁</t>
  </si>
  <si>
    <t>易德龙</t>
  </si>
  <si>
    <t>五洋停车</t>
  </si>
  <si>
    <t>安科瑞</t>
  </si>
  <si>
    <t>汉钟精机</t>
  </si>
  <si>
    <t>诺普信</t>
  </si>
  <si>
    <t>江苏神通</t>
  </si>
  <si>
    <t>威星智能</t>
  </si>
  <si>
    <t>晨光生物</t>
  </si>
  <si>
    <t>日月股份</t>
  </si>
  <si>
    <t>奥普家居</t>
  </si>
  <si>
    <t>宝信Ｂ</t>
  </si>
  <si>
    <t>大众交通</t>
  </si>
  <si>
    <t>力生制药</t>
  </si>
  <si>
    <t>包钢股份</t>
  </si>
  <si>
    <t>中农立华</t>
  </si>
  <si>
    <t>松芝股份</t>
  </si>
  <si>
    <t>莱宝高科</t>
  </si>
  <si>
    <t>国茂股份</t>
  </si>
  <si>
    <t>南极电商</t>
  </si>
  <si>
    <t>东兴证券</t>
  </si>
  <si>
    <t>卧龙电驱</t>
  </si>
  <si>
    <t>泸州老窖</t>
  </si>
  <si>
    <t>金达威</t>
  </si>
  <si>
    <t>海峡环保</t>
  </si>
  <si>
    <t>山东赫达</t>
  </si>
  <si>
    <t>山煤国际</t>
  </si>
  <si>
    <t>贵州轮胎</t>
  </si>
  <si>
    <t>瑞丰高材</t>
  </si>
  <si>
    <t>华立股份</t>
  </si>
  <si>
    <t>合诚股份</t>
  </si>
  <si>
    <t>众生药业</t>
  </si>
  <si>
    <t>弘亚数控</t>
  </si>
  <si>
    <t>川环科技</t>
  </si>
  <si>
    <t>永冠新材</t>
  </si>
  <si>
    <t>赛升药业</t>
  </si>
  <si>
    <t>龙马环卫</t>
  </si>
  <si>
    <t>三圣股份</t>
  </si>
  <si>
    <t>万邦德</t>
  </si>
  <si>
    <t>常熟汽饰</t>
  </si>
  <si>
    <t>四方股份</t>
  </si>
  <si>
    <t>首创股份</t>
  </si>
  <si>
    <t>金科文化</t>
  </si>
  <si>
    <t>海德股份</t>
  </si>
  <si>
    <t>乐凯新材</t>
  </si>
  <si>
    <t>双良节能</t>
  </si>
  <si>
    <t>智度股份</t>
  </si>
  <si>
    <t>美诺华</t>
  </si>
  <si>
    <t>美锦能源</t>
  </si>
  <si>
    <t>现代制药</t>
  </si>
  <si>
    <t>铁流股份</t>
  </si>
  <si>
    <t>永艺股份</t>
  </si>
  <si>
    <t>红旗连锁</t>
  </si>
  <si>
    <t>盐田港</t>
  </si>
  <si>
    <t>新国都</t>
  </si>
  <si>
    <t>瑞凌股份</t>
  </si>
  <si>
    <t>中鼎股份</t>
  </si>
  <si>
    <t>新坐标</t>
  </si>
  <si>
    <t>春光科技</t>
  </si>
  <si>
    <t>华泰证券</t>
  </si>
  <si>
    <t>通裕重工</t>
  </si>
  <si>
    <t>凯众股份</t>
  </si>
  <si>
    <t>海油发展</t>
  </si>
  <si>
    <t>展鹏科技</t>
  </si>
  <si>
    <t>建设机械</t>
  </si>
  <si>
    <t>科顺股份</t>
  </si>
  <si>
    <t>博彦科技</t>
  </si>
  <si>
    <t>联泰环保</t>
  </si>
  <si>
    <t>舍得酒业</t>
  </si>
  <si>
    <t>原尚股份</t>
  </si>
  <si>
    <t>贝斯特</t>
  </si>
  <si>
    <t>广深铁路</t>
  </si>
  <si>
    <t>恒丰纸业</t>
  </si>
  <si>
    <t>天源迪科</t>
  </si>
  <si>
    <t>大金重工</t>
  </si>
  <si>
    <t>中金环境</t>
  </si>
  <si>
    <t>江西铜业</t>
  </si>
  <si>
    <t>东风汽车</t>
  </si>
  <si>
    <t>诺力股份</t>
  </si>
  <si>
    <t>雅运股份</t>
  </si>
  <si>
    <t>中信海直</t>
  </si>
  <si>
    <t>碧水源</t>
  </si>
  <si>
    <t>金城医药</t>
  </si>
  <si>
    <t>安诺其</t>
  </si>
  <si>
    <t>华邦健康</t>
  </si>
  <si>
    <t>康普顿</t>
  </si>
  <si>
    <t>陕天然气</t>
  </si>
  <si>
    <t>国电南瑞</t>
  </si>
  <si>
    <t>美康生物</t>
  </si>
  <si>
    <t>华安证券</t>
  </si>
  <si>
    <t>广济药业</t>
  </si>
  <si>
    <t>上海梅林</t>
  </si>
  <si>
    <t>东吴证券</t>
  </si>
  <si>
    <t>金牌厨柜</t>
  </si>
  <si>
    <t>诚益通</t>
  </si>
  <si>
    <t>翠微股份</t>
  </si>
  <si>
    <t>广誉远</t>
  </si>
  <si>
    <t>苏垦农发</t>
  </si>
  <si>
    <t>长鹰信质</t>
  </si>
  <si>
    <t>金风科技</t>
  </si>
  <si>
    <t>国祯环保</t>
  </si>
  <si>
    <t>亚厦股份</t>
  </si>
  <si>
    <t>祥和实业</t>
  </si>
  <si>
    <t>安正时尚</t>
  </si>
  <si>
    <t>中远海能</t>
  </si>
  <si>
    <t>法兰泰克</t>
  </si>
  <si>
    <t>西部创业</t>
  </si>
  <si>
    <t>宁波海运</t>
  </si>
  <si>
    <t>岭南控股</t>
  </si>
  <si>
    <t>首旅酒店</t>
  </si>
  <si>
    <t>宝鹰股份</t>
  </si>
  <si>
    <t>深粮控股</t>
  </si>
  <si>
    <t>湖南发展</t>
  </si>
  <si>
    <t>天目湖</t>
  </si>
  <si>
    <t>新希望</t>
  </si>
  <si>
    <t>华西证券</t>
  </si>
  <si>
    <t>文峰股份</t>
  </si>
  <si>
    <t>爱仕达</t>
  </si>
  <si>
    <t>风神股份</t>
  </si>
  <si>
    <t>汇中股份</t>
  </si>
  <si>
    <t>大华股份</t>
  </si>
  <si>
    <t>湖南海利</t>
  </si>
  <si>
    <t>电工合金</t>
  </si>
  <si>
    <t>天润乳业</t>
  </si>
  <si>
    <t>奥拓电子</t>
  </si>
  <si>
    <t>扬帆新材</t>
  </si>
  <si>
    <t>金石亚药</t>
  </si>
  <si>
    <t>亨通光电</t>
  </si>
  <si>
    <t>京汉股份</t>
  </si>
  <si>
    <t>双一科技</t>
  </si>
  <si>
    <t>一心堂</t>
  </si>
  <si>
    <t>华润三九</t>
  </si>
  <si>
    <t>威尔药业</t>
  </si>
  <si>
    <t>永东股份</t>
  </si>
  <si>
    <t>中亚股份</t>
  </si>
  <si>
    <t>南京公用</t>
  </si>
  <si>
    <t>昆药集团</t>
  </si>
  <si>
    <t>粤电力Ａ</t>
  </si>
  <si>
    <t>中油工程</t>
  </si>
  <si>
    <t>桂林三金</t>
  </si>
  <si>
    <t>九牧王</t>
  </si>
  <si>
    <t>朗姿股份</t>
  </si>
  <si>
    <t>新宝股份</t>
  </si>
  <si>
    <t>春秋航空</t>
  </si>
  <si>
    <t>海鸥住工</t>
  </si>
  <si>
    <t>九华旅游</t>
  </si>
  <si>
    <t>东北证券</t>
  </si>
  <si>
    <t>启迪设计</t>
  </si>
  <si>
    <t>博威合金</t>
  </si>
  <si>
    <t>飞科电器</t>
  </si>
  <si>
    <t>数知科技</t>
  </si>
  <si>
    <t>富祥股份</t>
  </si>
  <si>
    <t>南山铝业</t>
  </si>
  <si>
    <t>秦港股份</t>
  </si>
  <si>
    <t>华懋科技</t>
  </si>
  <si>
    <t>飞亚达</t>
  </si>
  <si>
    <t>威海广泰</t>
  </si>
  <si>
    <t>驰宏锌锗</t>
  </si>
  <si>
    <t>海兴电力</t>
  </si>
  <si>
    <t>中信证券</t>
  </si>
  <si>
    <t>苏州龙杰</t>
  </si>
  <si>
    <t>百傲化学</t>
  </si>
  <si>
    <t>海立股份</t>
  </si>
  <si>
    <t>华谊集团</t>
  </si>
  <si>
    <t>晨化股份</t>
  </si>
  <si>
    <t>富煌钢构</t>
  </si>
  <si>
    <t>通源石油</t>
  </si>
  <si>
    <t>汇得科技</t>
  </si>
  <si>
    <t>中创物流</t>
  </si>
  <si>
    <t>青龙管业</t>
  </si>
  <si>
    <t>工业富联</t>
  </si>
  <si>
    <t>杭州解百</t>
  </si>
  <si>
    <t>大丰实业</t>
  </si>
  <si>
    <t>市北B股</t>
  </si>
  <si>
    <t>光大证券</t>
  </si>
  <si>
    <t>纽威股份</t>
  </si>
  <si>
    <t>迪瑞医疗</t>
  </si>
  <si>
    <t>合肥百货</t>
  </si>
  <si>
    <t>金轮股份</t>
  </si>
  <si>
    <t>佛燃股份</t>
  </si>
  <si>
    <t>金麒麟</t>
  </si>
  <si>
    <t>美尚生态</t>
  </si>
  <si>
    <t>胜利股份</t>
  </si>
  <si>
    <t>国金证券</t>
  </si>
  <si>
    <t>鼎胜新材</t>
  </si>
  <si>
    <t>晋亿实业</t>
  </si>
  <si>
    <t>东阿阿胶</t>
  </si>
  <si>
    <t>长城科技</t>
  </si>
  <si>
    <t>福耀玻璃</t>
  </si>
  <si>
    <t>华宏科技</t>
  </si>
  <si>
    <t>金徽酒</t>
  </si>
  <si>
    <t>合盛硅业</t>
  </si>
  <si>
    <t>白云山</t>
  </si>
  <si>
    <t>蓝盾股份</t>
  </si>
  <si>
    <t>滨化股份</t>
  </si>
  <si>
    <t>特一药业</t>
  </si>
  <si>
    <t>红相股份</t>
  </si>
  <si>
    <t>苏州高新</t>
  </si>
  <si>
    <t>广汽集团</t>
  </si>
  <si>
    <t>南方传媒</t>
  </si>
  <si>
    <t>高能环境</t>
  </si>
  <si>
    <t>广州发展</t>
  </si>
  <si>
    <t>汉缆股份</t>
  </si>
  <si>
    <t>新农股份</t>
  </si>
  <si>
    <t>红太阳</t>
  </si>
  <si>
    <t>马应龙</t>
  </si>
  <si>
    <t>上海九百</t>
  </si>
  <si>
    <t>冰轮环境</t>
  </si>
  <si>
    <t>中国银河</t>
  </si>
  <si>
    <t>中远海控</t>
  </si>
  <si>
    <t>新化股份</t>
  </si>
  <si>
    <t>浙江东日</t>
  </si>
  <si>
    <t>上海环境</t>
  </si>
  <si>
    <t>豪迈科技</t>
  </si>
  <si>
    <t>宁波建工</t>
  </si>
  <si>
    <t>经纬辉开</t>
  </si>
  <si>
    <t>蒙娜丽莎</t>
  </si>
  <si>
    <t>南山控股</t>
  </si>
  <si>
    <t>深圳华强</t>
  </si>
  <si>
    <t>跨境通</t>
  </si>
  <si>
    <t>东方电缆</t>
  </si>
  <si>
    <t>杰恩设计</t>
  </si>
  <si>
    <t>梦百合</t>
  </si>
  <si>
    <t>中原内配</t>
  </si>
  <si>
    <t>深深房B</t>
  </si>
  <si>
    <t>安道麦B</t>
  </si>
  <si>
    <t>洲明科技</t>
  </si>
  <si>
    <t>维业股份</t>
  </si>
  <si>
    <t>中国通号</t>
  </si>
  <si>
    <t>金溢科技</t>
  </si>
  <si>
    <t>九州通</t>
  </si>
  <si>
    <t>节能风电</t>
  </si>
  <si>
    <t>杭萧钢构</t>
  </si>
  <si>
    <t>山东章鼓</t>
  </si>
  <si>
    <t>大龙地产</t>
  </si>
  <si>
    <t>建艺集团</t>
  </si>
  <si>
    <t>石大胜华</t>
  </si>
  <si>
    <t>宏达高科</t>
  </si>
  <si>
    <t>海亮股份</t>
  </si>
  <si>
    <t>皇马科技</t>
  </si>
  <si>
    <t>武汉控股</t>
  </si>
  <si>
    <t>兔宝宝</t>
  </si>
  <si>
    <t>汉宇集团</t>
  </si>
  <si>
    <t>斯莱克</t>
  </si>
  <si>
    <t>永利股份</t>
  </si>
  <si>
    <t>兆丰股份</t>
  </si>
  <si>
    <t>维尔利</t>
  </si>
  <si>
    <t>众业达</t>
  </si>
  <si>
    <t>新华制药</t>
  </si>
  <si>
    <t>圆通速递</t>
  </si>
  <si>
    <t>皖新传媒</t>
  </si>
  <si>
    <t>平高电气</t>
  </si>
  <si>
    <t>天创时尚</t>
  </si>
  <si>
    <t>润达医疗</t>
  </si>
  <si>
    <t>天士力</t>
  </si>
  <si>
    <t>清新环境</t>
  </si>
  <si>
    <t>美盈森</t>
  </si>
  <si>
    <t>伊之密</t>
  </si>
  <si>
    <t>中再资环</t>
  </si>
  <si>
    <t>科华控股</t>
  </si>
  <si>
    <t>海容冷链</t>
  </si>
  <si>
    <t>联明股份</t>
  </si>
  <si>
    <t>国泰君安</t>
  </si>
  <si>
    <t>太平鸟</t>
  </si>
  <si>
    <t>江苏雷利</t>
  </si>
  <si>
    <t>三友化工</t>
  </si>
  <si>
    <t>长久物流</t>
  </si>
  <si>
    <t>湘油泵</t>
  </si>
  <si>
    <t>立霸股份</t>
  </si>
  <si>
    <t>今创集团</t>
  </si>
  <si>
    <t>天津港</t>
  </si>
  <si>
    <t>盈峰环境</t>
  </si>
  <si>
    <t>上海石化</t>
  </si>
  <si>
    <t>海达股份</t>
  </si>
  <si>
    <t>锦江投资</t>
  </si>
  <si>
    <t>兴化股份</t>
  </si>
  <si>
    <t>中集集团</t>
  </si>
  <si>
    <t>豪能股份</t>
  </si>
  <si>
    <t>中国科传</t>
  </si>
  <si>
    <t>申万宏源</t>
  </si>
  <si>
    <t>杭氧股份</t>
  </si>
  <si>
    <t>索菲亚</t>
  </si>
  <si>
    <t>丽岛新材</t>
  </si>
  <si>
    <t>重庆建工</t>
  </si>
  <si>
    <t>中国石油</t>
  </si>
  <si>
    <t>仙乐健康</t>
  </si>
  <si>
    <t>河钢资源</t>
  </si>
  <si>
    <t>大众Ｂ股</t>
  </si>
  <si>
    <t>开创国际</t>
  </si>
  <si>
    <t>得邦照明</t>
  </si>
  <si>
    <t>京新药业</t>
  </si>
  <si>
    <t>信立泰</t>
  </si>
  <si>
    <t>广发证券</t>
  </si>
  <si>
    <t>甘咨询</t>
  </si>
  <si>
    <t>晨丰科技</t>
  </si>
  <si>
    <t>中国人寿</t>
  </si>
  <si>
    <t>亚泰国际</t>
  </si>
  <si>
    <t>有友食品</t>
  </si>
  <si>
    <t>中原环保</t>
  </si>
  <si>
    <t>苏盐井神</t>
  </si>
  <si>
    <t>招商南油</t>
  </si>
  <si>
    <t>川仪股份</t>
  </si>
  <si>
    <t>依顿电子</t>
  </si>
  <si>
    <t>中持股份</t>
  </si>
  <si>
    <t>中新集团</t>
  </si>
  <si>
    <t>荣泰健康</t>
  </si>
  <si>
    <t>羚锐制药</t>
  </si>
  <si>
    <t>美克家居</t>
  </si>
  <si>
    <t>合肥城建</t>
  </si>
  <si>
    <t>百联股份</t>
  </si>
  <si>
    <t>申通快递</t>
  </si>
  <si>
    <t>中国汽研</t>
  </si>
  <si>
    <t>泰瑞机器</t>
  </si>
  <si>
    <t>丰林集团</t>
  </si>
  <si>
    <t>精工钢构</t>
  </si>
  <si>
    <t>北大荒</t>
  </si>
  <si>
    <t>北京文化</t>
  </si>
  <si>
    <t>齐翔腾达</t>
  </si>
  <si>
    <t>南华仪器</t>
  </si>
  <si>
    <t>玲珑轮胎</t>
  </si>
  <si>
    <t>星辉娱乐</t>
  </si>
  <si>
    <t>金禾实业</t>
  </si>
  <si>
    <t>西部建设</t>
  </si>
  <si>
    <t>高盟新材</t>
  </si>
  <si>
    <t>新疆火炬</t>
  </si>
  <si>
    <t>长江健康</t>
  </si>
  <si>
    <t>金杯电工</t>
  </si>
  <si>
    <t>新华百货</t>
  </si>
  <si>
    <t>合力科技</t>
  </si>
  <si>
    <t>金岭矿业</t>
  </si>
  <si>
    <t>正裕工业</t>
  </si>
  <si>
    <t>海航科技</t>
  </si>
  <si>
    <t>富临运业</t>
  </si>
  <si>
    <t>帝欧家居</t>
  </si>
  <si>
    <t>莱克电气</t>
  </si>
  <si>
    <t>爱普股份</t>
  </si>
  <si>
    <t>七匹狼</t>
  </si>
  <si>
    <t>绿城水务</t>
  </si>
  <si>
    <t>联美控股</t>
  </si>
  <si>
    <t>深圳燃气</t>
  </si>
  <si>
    <t>华明装备</t>
  </si>
  <si>
    <t>嘉诚国际</t>
  </si>
  <si>
    <t>小天鹅Ａ</t>
  </si>
  <si>
    <t>亚普股份</t>
  </si>
  <si>
    <t>华贸物流</t>
  </si>
  <si>
    <t>招商证券</t>
  </si>
  <si>
    <t>中国海诚</t>
  </si>
  <si>
    <t>泰豪科技</t>
  </si>
  <si>
    <t>道森股份</t>
  </si>
  <si>
    <t>恒林股份</t>
  </si>
  <si>
    <t>艾比森</t>
  </si>
  <si>
    <t>上海医药</t>
  </si>
  <si>
    <t>利尔化学</t>
  </si>
  <si>
    <t>江南化工</t>
  </si>
  <si>
    <t>合兴包装</t>
  </si>
  <si>
    <t>重庆水务</t>
  </si>
  <si>
    <t>天宇股份</t>
  </si>
  <si>
    <t>中兴商业</t>
  </si>
  <si>
    <t>川能动力</t>
  </si>
  <si>
    <t>创力集团</t>
  </si>
  <si>
    <t>中国医药</t>
  </si>
  <si>
    <t>东方铁塔</t>
  </si>
  <si>
    <t>张裕Ａ</t>
  </si>
  <si>
    <t>海宁皮城</t>
  </si>
  <si>
    <t>中旗股份</t>
  </si>
  <si>
    <t>中信特钢</t>
  </si>
  <si>
    <t>招港B</t>
  </si>
  <si>
    <t>浙江美大</t>
  </si>
  <si>
    <t>城市传媒</t>
  </si>
  <si>
    <t>四方科技</t>
  </si>
  <si>
    <t>中国出版</t>
  </si>
  <si>
    <t>兴业科技</t>
  </si>
  <si>
    <t>中金岭南</t>
  </si>
  <si>
    <t>广弘控股</t>
  </si>
  <si>
    <t>中恒集团</t>
  </si>
  <si>
    <t>中新药业</t>
  </si>
  <si>
    <t>麒盛科技</t>
  </si>
  <si>
    <t>中材科技</t>
  </si>
  <si>
    <t>腾达建设</t>
  </si>
  <si>
    <t>江山股份</t>
  </si>
  <si>
    <t>恒力石化</t>
  </si>
  <si>
    <t>南玻Ｂ</t>
  </si>
  <si>
    <t>吉林高速</t>
  </si>
  <si>
    <t>中国巨石</t>
  </si>
  <si>
    <t>国投资本</t>
  </si>
  <si>
    <t>北新建材</t>
  </si>
  <si>
    <t>国信证券</t>
  </si>
  <si>
    <t>海通证券</t>
  </si>
  <si>
    <t>中南传媒</t>
  </si>
  <si>
    <t>黄山旅游</t>
  </si>
  <si>
    <t>二三四五</t>
  </si>
  <si>
    <t>京粮B</t>
  </si>
  <si>
    <t>永新股份</t>
  </si>
  <si>
    <t>阳谷华泰</t>
  </si>
  <si>
    <t>山东矿机</t>
  </si>
  <si>
    <t>康缘药业</t>
  </si>
  <si>
    <t>劲嘉股份</t>
  </si>
  <si>
    <t>兰州民百</t>
  </si>
  <si>
    <t>绿茵生态</t>
  </si>
  <si>
    <t>哈尔斯</t>
  </si>
  <si>
    <t>人民同泰</t>
  </si>
  <si>
    <t>万华化学</t>
  </si>
  <si>
    <t>银江股份</t>
  </si>
  <si>
    <t>杭汽轮Ｂ</t>
  </si>
  <si>
    <t>新天然气</t>
  </si>
  <si>
    <t>金雷股份</t>
  </si>
  <si>
    <t>山东钢铁</t>
  </si>
  <si>
    <t>比音勒芬</t>
  </si>
  <si>
    <t>东宏股份</t>
  </si>
  <si>
    <t>华荣股份</t>
  </si>
  <si>
    <t>渤海轮渡</t>
  </si>
  <si>
    <t>同德化工</t>
  </si>
  <si>
    <t>理工环科</t>
  </si>
  <si>
    <t>长江电力</t>
  </si>
  <si>
    <t>国恩股份</t>
  </si>
  <si>
    <t>天能重工</t>
  </si>
  <si>
    <t>葵花药业</t>
  </si>
  <si>
    <t>东华能源</t>
  </si>
  <si>
    <t>苏博特</t>
  </si>
  <si>
    <t>长海股份</t>
  </si>
  <si>
    <t>瀚蓝环境</t>
  </si>
  <si>
    <t>龙元建设</t>
  </si>
  <si>
    <t>奥佳华</t>
  </si>
  <si>
    <t>中国中车</t>
  </si>
  <si>
    <t>广信股份</t>
  </si>
  <si>
    <t>南京医药</t>
  </si>
  <si>
    <t>龙洲股份</t>
  </si>
  <si>
    <t>健盛集团</t>
  </si>
  <si>
    <t>三角轮胎</t>
  </si>
  <si>
    <t>东贝Ｂ股</t>
  </si>
  <si>
    <t>大千生态</t>
  </si>
  <si>
    <t>重庆路桥</t>
  </si>
  <si>
    <t>特力Ｂ</t>
  </si>
  <si>
    <t>兴业股份</t>
  </si>
  <si>
    <t>银龙股份</t>
  </si>
  <si>
    <t>永高股份</t>
  </si>
  <si>
    <t>骆驼股份</t>
  </si>
  <si>
    <t>丽江旅游</t>
  </si>
  <si>
    <t>孚日股份</t>
  </si>
  <si>
    <t>汇洁股份</t>
  </si>
  <si>
    <t>东方盛虹</t>
  </si>
  <si>
    <t>中国国航</t>
  </si>
  <si>
    <t>志邦家居</t>
  </si>
  <si>
    <t>金圆股份</t>
  </si>
  <si>
    <t>金洲管道</t>
  </si>
  <si>
    <t>亚宝药业</t>
  </si>
  <si>
    <t>大业股份</t>
  </si>
  <si>
    <t>金诚信</t>
  </si>
  <si>
    <t>森特股份</t>
  </si>
  <si>
    <t>中国外运</t>
  </si>
  <si>
    <t>大名城</t>
  </si>
  <si>
    <t>华光股份</t>
  </si>
  <si>
    <t>吉林敖东</t>
  </si>
  <si>
    <t>华能国际</t>
  </si>
  <si>
    <t>卓郎智能</t>
  </si>
  <si>
    <t>华建集团</t>
  </si>
  <si>
    <t>三美股份</t>
  </si>
  <si>
    <t>口子窖</t>
  </si>
  <si>
    <t>古井贡Ｂ</t>
  </si>
  <si>
    <t>利亚德</t>
  </si>
  <si>
    <t>赣粤高速</t>
  </si>
  <si>
    <t>皖天然气</t>
  </si>
  <si>
    <t>伟星股份</t>
  </si>
  <si>
    <t>天顺风能</t>
  </si>
  <si>
    <t>三星医疗</t>
  </si>
  <si>
    <t>仁和药业</t>
  </si>
  <si>
    <t>风语筑</t>
  </si>
  <si>
    <t>中国国贸</t>
  </si>
  <si>
    <t>杭叉集团</t>
  </si>
  <si>
    <t>中国武夷</t>
  </si>
  <si>
    <t>鸿路钢构</t>
  </si>
  <si>
    <t>正泰电器</t>
  </si>
  <si>
    <t>迎驾贡酒</t>
  </si>
  <si>
    <t>新澳股份</t>
  </si>
  <si>
    <t>凌钢股份</t>
  </si>
  <si>
    <t>国药一致</t>
  </si>
  <si>
    <t>皮阿诺</t>
  </si>
  <si>
    <t>特变电工</t>
  </si>
  <si>
    <t>桂冠电力</t>
  </si>
  <si>
    <t>中远海发</t>
  </si>
  <si>
    <t>中国广核</t>
  </si>
  <si>
    <t>岭南股份</t>
  </si>
  <si>
    <t>本钢板材</t>
  </si>
  <si>
    <t>中国人保</t>
  </si>
  <si>
    <t>元成股份</t>
  </si>
  <si>
    <t>宇通客车</t>
  </si>
  <si>
    <t>紫江企业</t>
  </si>
  <si>
    <t>宁波华翔</t>
  </si>
  <si>
    <t>司尔特</t>
  </si>
  <si>
    <t>地素时尚</t>
  </si>
  <si>
    <t>双箭股份</t>
  </si>
  <si>
    <t>易见股份</t>
  </si>
  <si>
    <t>海利得</t>
  </si>
  <si>
    <t>甬金股份</t>
  </si>
  <si>
    <t>天房发展</t>
  </si>
  <si>
    <t>广安爱众</t>
  </si>
  <si>
    <t>华夏航空</t>
  </si>
  <si>
    <t>巨星科技</t>
  </si>
  <si>
    <t>银都股份</t>
  </si>
  <si>
    <t>金卡智能</t>
  </si>
  <si>
    <t>久立特材</t>
  </si>
  <si>
    <t>聚光科技</t>
  </si>
  <si>
    <t>湖北能源</t>
  </si>
  <si>
    <t>中衡设计</t>
  </si>
  <si>
    <t>江南水务</t>
  </si>
  <si>
    <t>艾格拉斯</t>
  </si>
  <si>
    <t>中青旅</t>
  </si>
  <si>
    <t>大元泵业</t>
  </si>
  <si>
    <t>中泰化学</t>
  </si>
  <si>
    <t>华宝股份</t>
  </si>
  <si>
    <t>辰欣药业</t>
  </si>
  <si>
    <t>香江控股</t>
  </si>
  <si>
    <t>龙建股份</t>
  </si>
  <si>
    <t>冀中能源</t>
  </si>
  <si>
    <t>东珠生态</t>
  </si>
  <si>
    <t>宁波港</t>
  </si>
  <si>
    <t>晨鸣Ｂ</t>
  </si>
  <si>
    <t>青鸟消防</t>
  </si>
  <si>
    <t>新凤鸣</t>
  </si>
  <si>
    <t>森马服饰</t>
  </si>
  <si>
    <t>花园生物</t>
  </si>
  <si>
    <t>徐家汇</t>
  </si>
  <si>
    <t>豪尔赛</t>
  </si>
  <si>
    <t>先河环保</t>
  </si>
  <si>
    <t>凤凰传媒</t>
  </si>
  <si>
    <t>中国重汽</t>
  </si>
  <si>
    <t>长青股份</t>
  </si>
  <si>
    <t>赣能股份</t>
  </si>
  <si>
    <t>宝丰能源</t>
  </si>
  <si>
    <t>国机汽车</t>
  </si>
  <si>
    <t>国药股份</t>
  </si>
  <si>
    <t>中国核建</t>
  </si>
  <si>
    <t>惠达卫浴</t>
  </si>
  <si>
    <t>恒润股份</t>
  </si>
  <si>
    <t>振华股份</t>
  </si>
  <si>
    <t>浦东金桥</t>
  </si>
  <si>
    <t>醋化股份</t>
  </si>
  <si>
    <t>重庆钢铁</t>
  </si>
  <si>
    <t>宗申动力</t>
  </si>
  <si>
    <t>中国核电</t>
  </si>
  <si>
    <t>巨化股份</t>
  </si>
  <si>
    <t>中核钛白</t>
  </si>
  <si>
    <t>好莱客</t>
  </si>
  <si>
    <t>濮耐股份</t>
  </si>
  <si>
    <t>康达尔</t>
  </si>
  <si>
    <t>马钢股份</t>
  </si>
  <si>
    <t>安徽合力</t>
  </si>
  <si>
    <t>嘉友国际</t>
  </si>
  <si>
    <t>罗莱生活</t>
  </si>
  <si>
    <t>广东鸿图</t>
  </si>
  <si>
    <t>华润双鹤</t>
  </si>
  <si>
    <t>小天鹅Ｂ</t>
  </si>
  <si>
    <t>瑞尔特</t>
  </si>
  <si>
    <t>鲁北化工</t>
  </si>
  <si>
    <t>瑞贝卡</t>
  </si>
  <si>
    <t>周大生</t>
  </si>
  <si>
    <t>百隆东方</t>
  </si>
  <si>
    <t>中联重科</t>
  </si>
  <si>
    <t>元祖股份</t>
  </si>
  <si>
    <t>上海机电</t>
  </si>
  <si>
    <t>海翔药业</t>
  </si>
  <si>
    <t>广百股份</t>
  </si>
  <si>
    <t>旺能环境</t>
  </si>
  <si>
    <t>北部湾港</t>
  </si>
  <si>
    <t>华域汽车</t>
  </si>
  <si>
    <t>千金药业</t>
  </si>
  <si>
    <t>金龙羽</t>
  </si>
  <si>
    <t>粤水电</t>
  </si>
  <si>
    <t>卫星石化</t>
  </si>
  <si>
    <t>ST冠福</t>
  </si>
  <si>
    <t>龙蟒佰利</t>
  </si>
  <si>
    <t>乔治白</t>
  </si>
  <si>
    <t>龙净环保</t>
  </si>
  <si>
    <t>奥克股份</t>
  </si>
  <si>
    <t>江中药业</t>
  </si>
  <si>
    <t>中山公用</t>
  </si>
  <si>
    <t>锦泓集团</t>
  </si>
  <si>
    <t>天虹股份</t>
  </si>
  <si>
    <t>楚天高速</t>
  </si>
  <si>
    <t>新华文轩</t>
  </si>
  <si>
    <t>新安股份</t>
  </si>
  <si>
    <t>峨眉山Ａ</t>
  </si>
  <si>
    <t>四川双马</t>
  </si>
  <si>
    <t>格力地产</t>
  </si>
  <si>
    <t>江苏国泰</t>
  </si>
  <si>
    <t>美凯龙</t>
  </si>
  <si>
    <t>铁龙物流</t>
  </si>
  <si>
    <t>东湖高新</t>
  </si>
  <si>
    <t>伊力特</t>
  </si>
  <si>
    <t>轻纺城</t>
  </si>
  <si>
    <t>通润装备</t>
  </si>
  <si>
    <t>一汽富维</t>
  </si>
  <si>
    <t>水星家纺</t>
  </si>
  <si>
    <t>精达股份</t>
  </si>
  <si>
    <t>凌霄泵业</t>
  </si>
  <si>
    <t>浦东建设</t>
  </si>
  <si>
    <t>京能电力</t>
  </si>
  <si>
    <t>中天科技</t>
  </si>
  <si>
    <t>华帝股份</t>
  </si>
  <si>
    <t>日照港</t>
  </si>
  <si>
    <t>博世科</t>
  </si>
  <si>
    <t>三一重工</t>
  </si>
  <si>
    <t>洪城水业</t>
  </si>
  <si>
    <t>中南建设</t>
  </si>
  <si>
    <t>苏美达</t>
  </si>
  <si>
    <t>物产中大</t>
  </si>
  <si>
    <t>名家汇</t>
  </si>
  <si>
    <t>中天金融</t>
  </si>
  <si>
    <t>通程控股</t>
  </si>
  <si>
    <t>黔源电力</t>
  </si>
  <si>
    <t>外高Ｂ股</t>
  </si>
  <si>
    <t>中国化学</t>
  </si>
  <si>
    <t>中航资本</t>
  </si>
  <si>
    <t>杭钢股份</t>
  </si>
  <si>
    <t>申能股份</t>
  </si>
  <si>
    <t>韶能股份</t>
  </si>
  <si>
    <t>海立Ｂ股</t>
  </si>
  <si>
    <t>海利尔</t>
  </si>
  <si>
    <t>中铁工业</t>
  </si>
  <si>
    <t>凯乐科技</t>
  </si>
  <si>
    <t>新洋丰</t>
  </si>
  <si>
    <t>垒知集团</t>
  </si>
  <si>
    <t>青松股份</t>
  </si>
  <si>
    <t>中钢国际</t>
  </si>
  <si>
    <t>步长制药</t>
  </si>
  <si>
    <t>山河智能</t>
  </si>
  <si>
    <t>八一钢铁</t>
  </si>
  <si>
    <t>雄塑科技</t>
  </si>
  <si>
    <t>上实发展</t>
  </si>
  <si>
    <t>粤电力Ｂ</t>
  </si>
  <si>
    <t>深圳能源</t>
  </si>
  <si>
    <t>飞亚达Ｂ</t>
  </si>
  <si>
    <t>福建水泥</t>
  </si>
  <si>
    <t>兴蓉环境</t>
  </si>
  <si>
    <t>柳药股份</t>
  </si>
  <si>
    <t>粤照明Ｂ</t>
  </si>
  <si>
    <t>建投能源</t>
  </si>
  <si>
    <t>华谊B股</t>
  </si>
  <si>
    <t>梅花生物</t>
  </si>
  <si>
    <t>华鲁恒升</t>
  </si>
  <si>
    <t>中文传媒</t>
  </si>
  <si>
    <t>陆家嘴</t>
  </si>
  <si>
    <t>昊华能源</t>
  </si>
  <si>
    <t>宁沪高速</t>
  </si>
  <si>
    <t>潍柴动力</t>
  </si>
  <si>
    <t>华西股份</t>
  </si>
  <si>
    <t>上海能源</t>
  </si>
  <si>
    <t>旗滨集团</t>
  </si>
  <si>
    <t>奥赛康</t>
  </si>
  <si>
    <t>桐昆股份</t>
  </si>
  <si>
    <t>川投能源</t>
  </si>
  <si>
    <t>中国石化</t>
  </si>
  <si>
    <t>歌力思</t>
  </si>
  <si>
    <t>常熟银行</t>
  </si>
  <si>
    <t>银行</t>
  </si>
  <si>
    <t>中国太保</t>
  </si>
  <si>
    <t>中油资本</t>
  </si>
  <si>
    <t>万和电气</t>
  </si>
  <si>
    <t>锦江Ｂ股</t>
  </si>
  <si>
    <t>利民股份</t>
  </si>
  <si>
    <t>通宝能源</t>
  </si>
  <si>
    <t>百联Ｂ股</t>
  </si>
  <si>
    <t>海航基础</t>
  </si>
  <si>
    <t>西藏天路</t>
  </si>
  <si>
    <t>立华股份</t>
  </si>
  <si>
    <t>江河集团</t>
  </si>
  <si>
    <t>锦投Ｂ股</t>
  </si>
  <si>
    <t>内蒙华电</t>
  </si>
  <si>
    <t>重药控股</t>
  </si>
  <si>
    <t>蓝焰控股</t>
  </si>
  <si>
    <t>黄山Ｂ股</t>
  </si>
  <si>
    <t>富安娜</t>
  </si>
  <si>
    <t>华电国际</t>
  </si>
  <si>
    <t>苏交科</t>
  </si>
  <si>
    <t>大悦城</t>
  </si>
  <si>
    <t>浙能电力</t>
  </si>
  <si>
    <t>明泰铝业</t>
  </si>
  <si>
    <t>广汇汽车</t>
  </si>
  <si>
    <t>设计总院</t>
  </si>
  <si>
    <t>苏州银行</t>
  </si>
  <si>
    <t>新华保险</t>
  </si>
  <si>
    <t>海科B</t>
  </si>
  <si>
    <t>穗恒运Ａ</t>
  </si>
  <si>
    <t>嘉事堂</t>
  </si>
  <si>
    <t>山东海化</t>
  </si>
  <si>
    <t>嘉化能源</t>
  </si>
  <si>
    <t>皖能电力</t>
  </si>
  <si>
    <t>瑞和股份</t>
  </si>
  <si>
    <t>广汇能源</t>
  </si>
  <si>
    <t>徐工机械</t>
  </si>
  <si>
    <t>紫金银行</t>
  </si>
  <si>
    <t>太阳纸业</t>
  </si>
  <si>
    <t>禾丰牧业</t>
  </si>
  <si>
    <t>粤高速Ａ</t>
  </si>
  <si>
    <t>京投发展</t>
  </si>
  <si>
    <t>清水源</t>
  </si>
  <si>
    <t>阳光照明</t>
  </si>
  <si>
    <t>远东传动</t>
  </si>
  <si>
    <t>同济堂</t>
  </si>
  <si>
    <t>深粮B</t>
  </si>
  <si>
    <t>靖远煤电</t>
  </si>
  <si>
    <t>华能水电</t>
  </si>
  <si>
    <t>上港集团</t>
  </si>
  <si>
    <t>同济科技</t>
  </si>
  <si>
    <t>养元饮品</t>
  </si>
  <si>
    <t>河钢股份</t>
  </si>
  <si>
    <t>鹭燕医药</t>
  </si>
  <si>
    <t>顺发恒业</t>
  </si>
  <si>
    <t>设研院</t>
  </si>
  <si>
    <t>中煤能源</t>
  </si>
  <si>
    <t>厦门空港</t>
  </si>
  <si>
    <t>天地科技</t>
  </si>
  <si>
    <t>荣晟环保</t>
  </si>
  <si>
    <t>鲁亿通</t>
  </si>
  <si>
    <t>重庆百货</t>
  </si>
  <si>
    <t>首钢股份</t>
  </si>
  <si>
    <t>涪陵电力</t>
  </si>
  <si>
    <t>爱建集团</t>
  </si>
  <si>
    <t>富森美</t>
  </si>
  <si>
    <t>赛轮轮胎</t>
  </si>
  <si>
    <t>武进不锈</t>
  </si>
  <si>
    <t>苏利股份</t>
  </si>
  <si>
    <t>新潮能源</t>
  </si>
  <si>
    <t>中设集团</t>
  </si>
  <si>
    <t>招商公路</t>
  </si>
  <si>
    <t>延长化建</t>
  </si>
  <si>
    <t>青松建化</t>
  </si>
  <si>
    <t>林洋能源</t>
  </si>
  <si>
    <t>鲁阳节能</t>
  </si>
  <si>
    <t>王府井</t>
  </si>
  <si>
    <t>鞍钢股份</t>
  </si>
  <si>
    <t>长江传媒</t>
  </si>
  <si>
    <t>国投电力</t>
  </si>
  <si>
    <t>国创高新</t>
  </si>
  <si>
    <t>天健集团</t>
  </si>
  <si>
    <t>荣安地产</t>
  </si>
  <si>
    <t>五矿资本</t>
  </si>
  <si>
    <t>云煤能源</t>
  </si>
  <si>
    <t>太阳能</t>
  </si>
  <si>
    <t>我爱我家</t>
  </si>
  <si>
    <t>首商股份</t>
  </si>
  <si>
    <t>山东出版</t>
  </si>
  <si>
    <t>浙商中拓</t>
  </si>
  <si>
    <t>天润曲轴</t>
  </si>
  <si>
    <t>君正集团</t>
  </si>
  <si>
    <t>宏达矿业</t>
  </si>
  <si>
    <t>招商蛇口</t>
  </si>
  <si>
    <t>西安银行</t>
  </si>
  <si>
    <t>青农商行</t>
  </si>
  <si>
    <t>经纬纺机</t>
  </si>
  <si>
    <t>东风股份</t>
  </si>
  <si>
    <t>欧亚集团</t>
  </si>
  <si>
    <t>营口港</t>
  </si>
  <si>
    <t>福能股份</t>
  </si>
  <si>
    <t>广宇集团</t>
  </si>
  <si>
    <t>新奥股份</t>
  </si>
  <si>
    <t>柳工</t>
  </si>
  <si>
    <t>郑煤机</t>
  </si>
  <si>
    <t>豫园股份</t>
  </si>
  <si>
    <t>青岛港</t>
  </si>
  <si>
    <t>先达股份</t>
  </si>
  <si>
    <t>金隅集团</t>
  </si>
  <si>
    <t>闽灿坤Ｂ</t>
  </si>
  <si>
    <t>西王食品</t>
  </si>
  <si>
    <t>江苏国信</t>
  </si>
  <si>
    <t>张家港行</t>
  </si>
  <si>
    <t>江苏租赁</t>
  </si>
  <si>
    <t>四川成渝</t>
  </si>
  <si>
    <t>文科园林</t>
  </si>
  <si>
    <t>厦门国贸</t>
  </si>
  <si>
    <t>南纺股份</t>
  </si>
  <si>
    <t>宁波富达</t>
  </si>
  <si>
    <t>方大炭素</t>
  </si>
  <si>
    <t>龙江交通</t>
  </si>
  <si>
    <t>吉华集团</t>
  </si>
  <si>
    <t>威孚高科</t>
  </si>
  <si>
    <t>中工国际</t>
  </si>
  <si>
    <t>四川路桥</t>
  </si>
  <si>
    <t>中原传媒</t>
  </si>
  <si>
    <t>浙江交科</t>
  </si>
  <si>
    <t>塔牌集团</t>
  </si>
  <si>
    <t>华泰股份</t>
  </si>
  <si>
    <t>浙江龙盛</t>
  </si>
  <si>
    <t>平安银行</t>
  </si>
  <si>
    <t>厦门象屿</t>
  </si>
  <si>
    <t>富奥股份</t>
  </si>
  <si>
    <t>氯碱化工</t>
  </si>
  <si>
    <t>鲁泰Ａ</t>
  </si>
  <si>
    <t>闰土股份</t>
  </si>
  <si>
    <t>金螳螂</t>
  </si>
  <si>
    <t>广汇物流</t>
  </si>
  <si>
    <t>上海建工</t>
  </si>
  <si>
    <t>北京利尔</t>
  </si>
  <si>
    <t>新野纺织</t>
  </si>
  <si>
    <t>招商银行</t>
  </si>
  <si>
    <t>福建高速</t>
  </si>
  <si>
    <t>文山电力</t>
  </si>
  <si>
    <t>航民股份</t>
  </si>
  <si>
    <t>华锦股份</t>
  </si>
  <si>
    <t>海澜之家</t>
  </si>
  <si>
    <t>上汽集团</t>
  </si>
  <si>
    <t>张裕Ｂ</t>
  </si>
  <si>
    <t>全筑股份</t>
  </si>
  <si>
    <t>甘肃电投</t>
  </si>
  <si>
    <t>深高速</t>
  </si>
  <si>
    <t>新城控股</t>
  </si>
  <si>
    <t>大亚圣象</t>
  </si>
  <si>
    <t>大同煤业</t>
  </si>
  <si>
    <t>佳电股份</t>
  </si>
  <si>
    <t>北方国际</t>
  </si>
  <si>
    <t>东旭光电</t>
  </si>
  <si>
    <t>酒钢宏兴</t>
  </si>
  <si>
    <t>江阴银行</t>
  </si>
  <si>
    <t>东百集团</t>
  </si>
  <si>
    <t>美好置业</t>
  </si>
  <si>
    <t>滨江集团</t>
  </si>
  <si>
    <t>百川能源</t>
  </si>
  <si>
    <t>机电Ｂ股</t>
  </si>
  <si>
    <t>新华联</t>
  </si>
  <si>
    <t>联发股份</t>
  </si>
  <si>
    <t>老凤祥Ｂ</t>
  </si>
  <si>
    <t>苏农银行</t>
  </si>
  <si>
    <t>康欣新材</t>
  </si>
  <si>
    <t>中国电建</t>
  </si>
  <si>
    <t>广东明珠</t>
  </si>
  <si>
    <t>勘设股份</t>
  </si>
  <si>
    <t>盘江股份</t>
  </si>
  <si>
    <t>隆鑫通用</t>
  </si>
  <si>
    <t>安阳钢铁</t>
  </si>
  <si>
    <t>天地源</t>
  </si>
  <si>
    <t>新湖中宝</t>
  </si>
  <si>
    <t>万科Ａ</t>
  </si>
  <si>
    <t>南京新百</t>
  </si>
  <si>
    <t>益生股份</t>
  </si>
  <si>
    <t>鄂尔多斯</t>
  </si>
  <si>
    <t>长源电力</t>
  </si>
  <si>
    <t>冀东水泥</t>
  </si>
  <si>
    <t>一致Ｂ</t>
  </si>
  <si>
    <t>青岛银行</t>
  </si>
  <si>
    <t>五洲交通</t>
  </si>
  <si>
    <t>栖霞建设</t>
  </si>
  <si>
    <t>华联控股</t>
  </si>
  <si>
    <t>山东高速</t>
  </si>
  <si>
    <t>祁连山</t>
  </si>
  <si>
    <t>深物业A</t>
  </si>
  <si>
    <t>保利地产</t>
  </si>
  <si>
    <t>海螺水泥</t>
  </si>
  <si>
    <t>隧道股份</t>
  </si>
  <si>
    <t>远兴能源</t>
  </si>
  <si>
    <t>常宝股份</t>
  </si>
  <si>
    <t>城建发展</t>
  </si>
  <si>
    <t>中国中冶</t>
  </si>
  <si>
    <t>平煤股份</t>
  </si>
  <si>
    <t>鲁西化工</t>
  </si>
  <si>
    <t>尖峰集团</t>
  </si>
  <si>
    <t>神马股份</t>
  </si>
  <si>
    <t>南京高科</t>
  </si>
  <si>
    <t>粤高速Ｂ</t>
  </si>
  <si>
    <t>攀钢钒钛</t>
  </si>
  <si>
    <t>华远地产</t>
  </si>
  <si>
    <t>新兴铸管</t>
  </si>
  <si>
    <t>雅戈尔</t>
  </si>
  <si>
    <t>友阿股份</t>
  </si>
  <si>
    <t>仙坛股份</t>
  </si>
  <si>
    <t>宝钢股份</t>
  </si>
  <si>
    <t>西山煤电</t>
  </si>
  <si>
    <t>皖通高速</t>
  </si>
  <si>
    <t>宏润建设</t>
  </si>
  <si>
    <t>邮储银行</t>
  </si>
  <si>
    <t>金能科技</t>
  </si>
  <si>
    <t>金地集团</t>
  </si>
  <si>
    <t>冠城大通</t>
  </si>
  <si>
    <t>本钢板Ｂ</t>
  </si>
  <si>
    <t>圣农发展</t>
  </si>
  <si>
    <t>东莞控股</t>
  </si>
  <si>
    <t>迪马股份</t>
  </si>
  <si>
    <t>中原高速</t>
  </si>
  <si>
    <t>光大嘉宝</t>
  </si>
  <si>
    <t>阳光城</t>
  </si>
  <si>
    <t>苏宁环球</t>
  </si>
  <si>
    <t>中华企业</t>
  </si>
  <si>
    <t>山鹰纸业</t>
  </si>
  <si>
    <t>光明地产</t>
  </si>
  <si>
    <t>山西焦化</t>
  </si>
  <si>
    <t>无锡银行</t>
  </si>
  <si>
    <t>深振业Ａ</t>
  </si>
  <si>
    <t>建新股份</t>
  </si>
  <si>
    <t>唐山港</t>
  </si>
  <si>
    <t>郑州银行</t>
  </si>
  <si>
    <t>宁夏建材</t>
  </si>
  <si>
    <t>金桥Ｂ股</t>
  </si>
  <si>
    <t>山东路桥</t>
  </si>
  <si>
    <t>中鲁Ｂ</t>
  </si>
  <si>
    <t>城发环境</t>
  </si>
  <si>
    <t>大商股份</t>
  </si>
  <si>
    <t>潞安环能</t>
  </si>
  <si>
    <t>大秦铁路</t>
  </si>
  <si>
    <t>鄂武商Ａ</t>
  </si>
  <si>
    <t>粤宏远Ａ</t>
  </si>
  <si>
    <t>太钢不锈</t>
  </si>
  <si>
    <t>中材国际</t>
  </si>
  <si>
    <t>世茂股份</t>
  </si>
  <si>
    <t>鲁泰Ｂ</t>
  </si>
  <si>
    <t>陕西煤业</t>
  </si>
  <si>
    <t>华新水泥</t>
  </si>
  <si>
    <t>中国交建</t>
  </si>
  <si>
    <t>上峰水泥</t>
  </si>
  <si>
    <t>方大特钢</t>
  </si>
  <si>
    <t>中国神华</t>
  </si>
  <si>
    <t>北辰实业</t>
  </si>
  <si>
    <t>兰花科创</t>
  </si>
  <si>
    <t>卧龙地产</t>
  </si>
  <si>
    <t>中国中铁</t>
  </si>
  <si>
    <t>安徽建工</t>
  </si>
  <si>
    <t>新能泰山</t>
  </si>
  <si>
    <t>浙商银行</t>
  </si>
  <si>
    <t>杭州银行</t>
  </si>
  <si>
    <t>陆家Ｂ股</t>
  </si>
  <si>
    <t>万年青</t>
  </si>
  <si>
    <t>渝农商行</t>
  </si>
  <si>
    <t>现代投资</t>
  </si>
  <si>
    <t>中国铁建</t>
  </si>
  <si>
    <t>苏威孚Ｂ</t>
  </si>
  <si>
    <t>天山股份</t>
  </si>
  <si>
    <t>大名城B</t>
  </si>
  <si>
    <t>鄂资Ｂ股</t>
  </si>
  <si>
    <t>金科股份</t>
  </si>
  <si>
    <t>富奥B</t>
  </si>
  <si>
    <t>世荣兆业</t>
  </si>
  <si>
    <t>露天煤业</t>
  </si>
  <si>
    <t>葛洲坝</t>
  </si>
  <si>
    <t>福星股份</t>
  </si>
  <si>
    <t>工商银行</t>
  </si>
  <si>
    <t>建设银行</t>
  </si>
  <si>
    <t>上海银行</t>
  </si>
  <si>
    <t>ST安泰</t>
  </si>
  <si>
    <t>信达地产</t>
  </si>
  <si>
    <t>华发股份</t>
  </si>
  <si>
    <t>伊泰Ｂ股</t>
  </si>
  <si>
    <t>黑牡丹</t>
  </si>
  <si>
    <t>泰禾集团</t>
  </si>
  <si>
    <t>绿地控股</t>
  </si>
  <si>
    <t>金融街</t>
  </si>
  <si>
    <t>中国建筑</t>
  </si>
  <si>
    <t>兴业银行</t>
  </si>
  <si>
    <t>恒源煤电</t>
  </si>
  <si>
    <t>长沙银行</t>
  </si>
  <si>
    <t>开滦股份</t>
  </si>
  <si>
    <t>农业银行</t>
  </si>
  <si>
    <t>成都银行</t>
  </si>
  <si>
    <t>中国银行</t>
  </si>
  <si>
    <t>中信银行</t>
  </si>
  <si>
    <t>华侨城Ａ</t>
  </si>
  <si>
    <t>蓝光发展</t>
  </si>
  <si>
    <t>阳泉煤业</t>
  </si>
  <si>
    <t>茂业商业</t>
  </si>
  <si>
    <t>韶钢松山</t>
  </si>
  <si>
    <t>光大银行</t>
  </si>
  <si>
    <t>建发股份</t>
  </si>
  <si>
    <t>民和股份</t>
  </si>
  <si>
    <t>华菱钢铁</t>
  </si>
  <si>
    <t>南京银行</t>
  </si>
  <si>
    <t>山西路桥</t>
  </si>
  <si>
    <t>东旭B</t>
  </si>
  <si>
    <t>浦发银行</t>
  </si>
  <si>
    <t>ST辅仁</t>
  </si>
  <si>
    <t>淮北矿业</t>
  </si>
  <si>
    <t>江苏银行</t>
  </si>
  <si>
    <t>交通银行</t>
  </si>
  <si>
    <t>南钢股份</t>
  </si>
  <si>
    <t>北京银行</t>
  </si>
  <si>
    <t>华夏银行</t>
  </si>
  <si>
    <t>兖州煤业</t>
  </si>
  <si>
    <t>贵阳银行</t>
  </si>
  <si>
    <t>民生银行</t>
  </si>
  <si>
    <t>首开股份</t>
  </si>
  <si>
    <t>三钢闽光</t>
  </si>
  <si>
    <t>广宇发展</t>
  </si>
  <si>
    <t>柳钢股份</t>
  </si>
  <si>
    <t>氯碱Ｂ股</t>
  </si>
  <si>
    <t>荣盛发展</t>
  </si>
  <si>
    <t>深物业B</t>
  </si>
  <si>
    <t>华新Ｂ股</t>
  </si>
  <si>
    <t>新钢股份</t>
  </si>
  <si>
    <t>长生退</t>
  </si>
  <si>
    <t>宁波东力</t>
  </si>
  <si>
    <t>西藏旅游</t>
  </si>
  <si>
    <t>数据来源于：理杏仁网站(lixinger.com)</t>
  </si>
  <si>
    <t>同花顺行业</t>
  </si>
  <si>
    <t>是否周期行业</t>
  </si>
  <si>
    <t>采掘-采掘服务-其他采掘服务</t>
  </si>
  <si>
    <t>是</t>
  </si>
  <si>
    <t>采掘-采掘服务-油气钻采服务</t>
  </si>
  <si>
    <t>黑色金属-钢铁-普钢</t>
  </si>
  <si>
    <t>黑色金属-钢铁-特钢</t>
  </si>
  <si>
    <t>化工-化工合成材料-氨纶</t>
  </si>
  <si>
    <t>化工-化工合成材料-涤纶</t>
  </si>
  <si>
    <t>化工-化工合成材料-改性塑料</t>
  </si>
  <si>
    <t>化工-化工合成材料-合成革</t>
  </si>
  <si>
    <t>化工-化工合成材料-轮胎</t>
  </si>
  <si>
    <t>化工-化工合成材料-其他塑料制品</t>
  </si>
  <si>
    <t>化工-化工合成材料-其他纤维</t>
  </si>
  <si>
    <t>化工-化工合成材料-其他橡胶制品</t>
  </si>
  <si>
    <t>化工-化工合成材料-炭黑</t>
  </si>
  <si>
    <t>化工-化工合成材料-维纶</t>
  </si>
  <si>
    <t>化工-化工合成材料-粘胶</t>
  </si>
  <si>
    <t>化工-化工新材料-玻纤</t>
  </si>
  <si>
    <t>化工-化工新材料-聚氨酯</t>
  </si>
  <si>
    <t>采掘-石油矿业开采-其他采掘Ⅲ</t>
  </si>
  <si>
    <t>采掘-石油矿业开采-石油开采Ⅲ</t>
  </si>
  <si>
    <t>有色金属-有色冶炼加工-黄金</t>
  </si>
  <si>
    <t>有色金属-有色冶炼加工-铝</t>
  </si>
  <si>
    <t>有色金属-有色冶炼加工-铜</t>
  </si>
  <si>
    <t>有色金属-有色冶炼加工-小金属</t>
  </si>
  <si>
    <t>化工-化学制品-氮肥</t>
  </si>
  <si>
    <t>化工-化学制品-纺织化学用品</t>
  </si>
  <si>
    <t>化工-化学制品-氟化工及制冷剂</t>
  </si>
  <si>
    <t>化工-化学制品-复合肥</t>
  </si>
  <si>
    <t>化工-化学制品-钾肥</t>
  </si>
  <si>
    <t>化工-化学制品-磷肥</t>
  </si>
  <si>
    <t>化工-化学制品-磷化工及磷酸盐</t>
  </si>
  <si>
    <t>化工-化学制品-民爆用品</t>
  </si>
  <si>
    <t>化工-化学制品-农药</t>
  </si>
  <si>
    <t>化工-化学制品-其他化学制品</t>
  </si>
  <si>
    <t>化工-化学制品-日用化学产品</t>
  </si>
  <si>
    <t>化工-化学制品-涂料油漆油墨制造</t>
  </si>
  <si>
    <t>交通运输-港口航运-港口Ⅲ</t>
  </si>
  <si>
    <t>交通运输-港口航运-航运Ⅲ</t>
  </si>
  <si>
    <t>交通运输-机场航运-航空运输Ⅲ</t>
  </si>
  <si>
    <t>交通运输-机场航运-机场Ⅲ</t>
  </si>
  <si>
    <t>交运设备-交运设备服务-汽车服务</t>
  </si>
  <si>
    <t>国防军工-国防军工-船舶制造</t>
  </si>
  <si>
    <t>国防军工-国防军工-地面兵装</t>
  </si>
  <si>
    <t>国防军工-国防军工-航空装备</t>
  </si>
  <si>
    <t>国防军工-国防军工-航天装备</t>
  </si>
  <si>
    <t>交运设备-汽车整车-乘用车</t>
  </si>
  <si>
    <t>交运设备-汽车整车-商用载货车</t>
  </si>
  <si>
    <t>交运设备-汽车整车-商用载客车</t>
  </si>
  <si>
    <t>交运设备-汽车零部件-汽车零部件Ⅲ</t>
  </si>
  <si>
    <t>建筑材料-建筑材料-玻璃制造</t>
  </si>
  <si>
    <t>建筑材料-建筑材料-耐火材料</t>
  </si>
  <si>
    <t>建筑材料-建筑材料-水泥制造</t>
  </si>
  <si>
    <t>建筑材料-建筑装饰-房屋建设</t>
  </si>
  <si>
    <t>建筑材料-建筑装饰-基础建设</t>
  </si>
  <si>
    <t>建筑材料-建筑装饰-专业工程</t>
  </si>
  <si>
    <t>建筑材料-建筑装饰-装饰园林</t>
  </si>
  <si>
    <t>房地产-园区开发-园区开发Ⅲ</t>
  </si>
  <si>
    <t>金融服务-证券-证券Ⅲ</t>
  </si>
  <si>
    <t>金融服务-保险及其他-多元金融</t>
  </si>
  <si>
    <t>股价</t>
  </si>
  <si>
    <t>平均分配</t>
  </si>
  <si>
    <t>一手的价格</t>
  </si>
  <si>
    <t>可以买几手</t>
  </si>
  <si>
    <t>调整后可买几手</t>
  </si>
  <si>
    <t>调整后投资的总金额</t>
  </si>
  <si>
    <t>所占百分比</t>
  </si>
  <si>
    <t>合计</t>
  </si>
  <si>
    <t>准备投资的钱</t>
  </si>
  <si>
    <t>投资的钱</t>
  </si>
  <si>
    <t>剩余的钱</t>
  </si>
  <si>
    <t>黄色阴影部分有公式不能动不能动不能动~！！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</si>
</sst>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177" formatCode="0_ "/>
    <numFmt numFmtId="41" formatCode="_ * #,##0_ ;_ * \-#,##0_ ;_ * &quot;-&quot;_ ;_ @_ "/>
    <numFmt numFmtId="44" formatCode="_ &quot;￥&quot;* #,##0.00_ ;_ &quot;￥&quot;* \-#,##0.00_ ;_ &quot;￥&quot;* &quot;-&quot;??_ ;_ @_ "/>
  </numFmts>
  <fonts count="54">
    <font>
      <sz val="12"/>
      <name val="宋体"/>
      <charset val="134"/>
    </font>
    <font>
      <b/>
      <sz val="9"/>
      <name val="微软雅黑"/>
      <charset val="134"/>
    </font>
    <font>
      <sz val="11"/>
      <color indexed="8"/>
      <name val="Calibri"/>
      <charset val="0"/>
    </font>
    <font>
      <sz val="11"/>
      <color rgb="FF000000"/>
      <name val="宋体"/>
      <charset val="0"/>
    </font>
    <font>
      <sz val="10"/>
      <name val="微软雅黑"/>
      <charset val="134"/>
    </font>
    <font>
      <sz val="22.5"/>
      <color rgb="FF0F990F"/>
      <name val="Arial"/>
      <charset val="134"/>
    </font>
    <font>
      <sz val="22.5"/>
      <color rgb="FFF54545"/>
      <name val="Arial"/>
      <charset val="134"/>
    </font>
    <font>
      <b/>
      <sz val="10"/>
      <name val="微软雅黑"/>
      <charset val="134"/>
    </font>
    <font>
      <b/>
      <sz val="14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sz val="9"/>
      <color indexed="63"/>
      <name val="微软雅黑"/>
      <charset val="134"/>
    </font>
    <font>
      <sz val="12"/>
      <color rgb="FF212529"/>
      <name val="Helvetica"/>
      <charset val="134"/>
    </font>
    <font>
      <i/>
      <sz val="12"/>
      <color rgb="FF009999"/>
      <name val="Helvetica"/>
      <charset val="134"/>
    </font>
    <font>
      <sz val="9.75"/>
      <color rgb="FF333333"/>
      <name val="Helvetica"/>
      <charset val="134"/>
    </font>
    <font>
      <i/>
      <sz val="9.75"/>
      <color rgb="FF009999"/>
      <name val="Helvetica"/>
      <charset val="134"/>
    </font>
    <font>
      <sz val="9"/>
      <color rgb="FF152122"/>
      <name val="Arial"/>
      <charset val="134"/>
    </font>
    <font>
      <sz val="9"/>
      <color rgb="FF152122"/>
      <name val="微软雅黑"/>
      <charset val="0"/>
    </font>
    <font>
      <sz val="9"/>
      <color rgb="FF333333"/>
      <name val="微软雅黑"/>
      <charset val="0"/>
    </font>
    <font>
      <i/>
      <sz val="9"/>
      <color rgb="FF009999"/>
      <name val="微软雅黑"/>
      <charset val="0"/>
    </font>
    <font>
      <sz val="9"/>
      <color indexed="63"/>
      <name val="微软雅黑"/>
      <charset val="0"/>
    </font>
    <font>
      <sz val="12"/>
      <color rgb="FFFFFFFF"/>
      <name val="Helvetica"/>
      <charset val="134"/>
    </font>
    <font>
      <i/>
      <sz val="9"/>
      <color indexed="21"/>
      <name val="微软雅黑"/>
      <charset val="0"/>
    </font>
    <font>
      <sz val="12"/>
      <name val="微软雅黑"/>
      <charset val="134"/>
    </font>
    <font>
      <sz val="16"/>
      <name val="微软雅黑"/>
      <charset val="134"/>
    </font>
    <font>
      <b/>
      <sz val="14"/>
      <name val="微软雅黑"/>
      <charset val="134"/>
    </font>
    <font>
      <b/>
      <sz val="16"/>
      <color rgb="FFFF0000"/>
      <name val="微软雅黑"/>
      <charset val="134"/>
    </font>
    <font>
      <sz val="11"/>
      <color rgb="FF000000"/>
      <name val="微软雅黑"/>
      <charset val="134"/>
    </font>
    <font>
      <sz val="9"/>
      <color rgb="FF152122"/>
      <name val="Arial"/>
      <charset val="0"/>
    </font>
    <font>
      <sz val="9"/>
      <color rgb="FF152122"/>
      <name val="微软雅黑"/>
      <charset val="134"/>
    </font>
    <font>
      <sz val="11"/>
      <name val="微软雅黑"/>
      <charset val="134"/>
    </font>
    <font>
      <b/>
      <sz val="12"/>
      <color indexed="10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3FFFF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0F6F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DDDDD"/>
      </bottom>
      <diagonal/>
    </border>
    <border>
      <left/>
      <right style="medium">
        <color rgb="FF009999"/>
      </right>
      <top style="medium">
        <color rgb="FFDEE2E6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009999"/>
      </right>
      <top/>
      <bottom style="medium">
        <color rgb="FFDDDDDD"/>
      </bottom>
      <diagonal/>
    </border>
    <border>
      <left/>
      <right/>
      <top/>
      <bottom style="medium">
        <color rgb="FFDEE2E6"/>
      </bottom>
      <diagonal/>
    </border>
    <border>
      <left/>
      <right style="medium">
        <color rgb="FF009999"/>
      </right>
      <top/>
      <bottom style="medium">
        <color rgb="FFDEE2E6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DDDDD"/>
      </bottom>
      <diagonal/>
    </border>
    <border>
      <left/>
      <right style="medium">
        <color rgb="FFDEE2E6"/>
      </right>
      <top/>
      <bottom style="medium">
        <color rgb="FFDDDDDD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3" fillId="2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5" fillId="31" borderId="21" applyNumberFormat="0" applyFon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4" borderId="18" applyNumberFormat="0" applyAlignment="0" applyProtection="0">
      <alignment vertical="center"/>
    </xf>
    <xf numFmtId="0" fontId="53" fillId="24" borderId="19" applyNumberFormat="0" applyAlignment="0" applyProtection="0">
      <alignment vertical="center"/>
    </xf>
    <xf numFmtId="0" fontId="52" fillId="44" borderId="2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right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9" fillId="0" borderId="1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4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right" vertical="center"/>
    </xf>
    <xf numFmtId="10" fontId="14" fillId="6" borderId="7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right" vertical="center"/>
    </xf>
    <xf numFmtId="10" fontId="14" fillId="7" borderId="9" xfId="0" applyNumberFormat="1" applyFont="1" applyFill="1" applyBorder="1" applyAlignment="1">
      <alignment horizontal="right" vertical="center"/>
    </xf>
    <xf numFmtId="0" fontId="14" fillId="8" borderId="5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right" vertical="center"/>
    </xf>
    <xf numFmtId="10" fontId="14" fillId="8" borderId="9" xfId="0" applyNumberFormat="1" applyFont="1" applyFill="1" applyBorder="1" applyAlignment="1">
      <alignment horizontal="right" vertical="center"/>
    </xf>
    <xf numFmtId="0" fontId="14" fillId="9" borderId="5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right" vertical="center"/>
    </xf>
    <xf numFmtId="10" fontId="14" fillId="9" borderId="9" xfId="0" applyNumberFormat="1" applyFont="1" applyFill="1" applyBorder="1" applyAlignment="1">
      <alignment horizontal="right" vertical="center"/>
    </xf>
    <xf numFmtId="0" fontId="14" fillId="10" borderId="5" xfId="0" applyFont="1" applyFill="1" applyBorder="1" applyAlignment="1">
      <alignment horizontal="center" vertical="center"/>
    </xf>
    <xf numFmtId="4" fontId="15" fillId="10" borderId="8" xfId="0" applyNumberFormat="1" applyFont="1" applyFill="1" applyBorder="1" applyAlignment="1">
      <alignment horizontal="right" vertical="center"/>
    </xf>
    <xf numFmtId="10" fontId="14" fillId="10" borderId="9" xfId="0" applyNumberFormat="1" applyFont="1" applyFill="1" applyBorder="1" applyAlignment="1">
      <alignment horizontal="right" vertical="center"/>
    </xf>
    <xf numFmtId="0" fontId="14" fillId="11" borderId="5" xfId="0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right" vertical="center"/>
    </xf>
    <xf numFmtId="10" fontId="14" fillId="11" borderId="9" xfId="0" applyNumberFormat="1" applyFont="1" applyFill="1" applyBorder="1" applyAlignment="1">
      <alignment horizontal="right" vertical="center"/>
    </xf>
    <xf numFmtId="0" fontId="14" fillId="12" borderId="5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right" vertical="center"/>
    </xf>
    <xf numFmtId="10" fontId="14" fillId="12" borderId="11" xfId="0" applyNumberFormat="1" applyFont="1" applyFill="1" applyBorder="1" applyAlignment="1">
      <alignment horizontal="right" vertical="center"/>
    </xf>
    <xf numFmtId="4" fontId="15" fillId="6" borderId="6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right" vertical="center"/>
    </xf>
    <xf numFmtId="10" fontId="16" fillId="0" borderId="1" xfId="0" applyNumberFormat="1" applyFont="1" applyFill="1" applyBorder="1" applyAlignment="1">
      <alignment horizontal="right" vertical="center"/>
    </xf>
    <xf numFmtId="0" fontId="15" fillId="9" borderId="10" xfId="0" applyFont="1" applyFill="1" applyBorder="1" applyAlignment="1">
      <alignment horizontal="right" vertical="center"/>
    </xf>
    <xf numFmtId="10" fontId="14" fillId="9" borderId="11" xfId="0" applyNumberFormat="1" applyFont="1" applyFill="1" applyBorder="1" applyAlignment="1">
      <alignment horizontal="right" vertical="center"/>
    </xf>
    <xf numFmtId="0" fontId="18" fillId="0" borderId="1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right" vertical="center"/>
    </xf>
    <xf numFmtId="10" fontId="20" fillId="0" borderId="1" xfId="0" applyNumberFormat="1" applyFont="1" applyFill="1" applyBorder="1" applyAlignment="1">
      <alignment horizontal="right" vertical="center"/>
    </xf>
    <xf numFmtId="0" fontId="20" fillId="13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right" vertical="center"/>
    </xf>
    <xf numFmtId="10" fontId="20" fillId="13" borderId="1" xfId="0" applyNumberFormat="1" applyFont="1" applyFill="1" applyBorder="1" applyAlignment="1">
      <alignment horizontal="right" vertical="center"/>
    </xf>
    <xf numFmtId="0" fontId="13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10" fontId="14" fillId="6" borderId="13" xfId="0" applyNumberFormat="1" applyFont="1" applyFill="1" applyBorder="1" applyAlignment="1">
      <alignment horizontal="right" vertical="center"/>
    </xf>
    <xf numFmtId="10" fontId="14" fillId="7" borderId="14" xfId="0" applyNumberFormat="1" applyFont="1" applyFill="1" applyBorder="1" applyAlignment="1">
      <alignment horizontal="right" vertical="center"/>
    </xf>
    <xf numFmtId="10" fontId="14" fillId="8" borderId="14" xfId="0" applyNumberFormat="1" applyFont="1" applyFill="1" applyBorder="1" applyAlignment="1">
      <alignment horizontal="right" vertical="center"/>
    </xf>
    <xf numFmtId="10" fontId="14" fillId="9" borderId="14" xfId="0" applyNumberFormat="1" applyFont="1" applyFill="1" applyBorder="1" applyAlignment="1">
      <alignment horizontal="right" vertical="center"/>
    </xf>
    <xf numFmtId="0" fontId="14" fillId="9" borderId="9" xfId="0" applyFont="1" applyFill="1" applyBorder="1" applyAlignment="1">
      <alignment horizontal="right" vertical="center"/>
    </xf>
    <xf numFmtId="10" fontId="14" fillId="10" borderId="14" xfId="0" applyNumberFormat="1" applyFont="1" applyFill="1" applyBorder="1" applyAlignment="1">
      <alignment horizontal="right" vertical="center"/>
    </xf>
    <xf numFmtId="10" fontId="14" fillId="11" borderId="14" xfId="0" applyNumberFormat="1" applyFont="1" applyFill="1" applyBorder="1" applyAlignment="1">
      <alignment horizontal="right" vertical="center"/>
    </xf>
    <xf numFmtId="10" fontId="14" fillId="12" borderId="15" xfId="0" applyNumberFormat="1" applyFont="1" applyFill="1" applyBorder="1" applyAlignment="1">
      <alignment horizontal="right" vertical="center"/>
    </xf>
    <xf numFmtId="10" fontId="14" fillId="9" borderId="15" xfId="0" applyNumberFormat="1" applyFont="1" applyFill="1" applyBorder="1" applyAlignment="1">
      <alignment horizontal="right" vertical="center"/>
    </xf>
    <xf numFmtId="10" fontId="20" fillId="0" borderId="1" xfId="0" applyNumberFormat="1" applyFont="1" applyFill="1" applyBorder="1">
      <alignment vertical="center"/>
    </xf>
    <xf numFmtId="0" fontId="14" fillId="8" borderId="9" xfId="0" applyFont="1" applyFill="1" applyBorder="1" applyAlignment="1">
      <alignment horizontal="right" vertical="center"/>
    </xf>
    <xf numFmtId="0" fontId="14" fillId="8" borderId="14" xfId="0" applyFont="1" applyFill="1" applyBorder="1" applyAlignment="1">
      <alignment horizontal="right" vertical="center"/>
    </xf>
    <xf numFmtId="10" fontId="23" fillId="9" borderId="14" xfId="0" applyNumberFormat="1" applyFont="1" applyFill="1" applyBorder="1" applyAlignment="1">
      <alignment horizontal="right" vertical="center"/>
    </xf>
    <xf numFmtId="0" fontId="12" fillId="0" borderId="0" xfId="0" applyFont="1" applyBorder="1" applyAlignment="1">
      <alignment horizontal="left" vertical="center" wrapText="1"/>
    </xf>
    <xf numFmtId="0" fontId="14" fillId="6" borderId="7" xfId="0" applyFont="1" applyFill="1" applyBorder="1" applyAlignment="1">
      <alignment horizontal="right" vertical="center"/>
    </xf>
    <xf numFmtId="0" fontId="14" fillId="6" borderId="13" xfId="0" applyFont="1" applyFill="1" applyBorder="1" applyAlignment="1">
      <alignment horizontal="right" vertical="center"/>
    </xf>
    <xf numFmtId="0" fontId="11" fillId="13" borderId="1" xfId="0" applyFont="1" applyFill="1" applyBorder="1" applyAlignment="1">
      <alignment vertical="center" wrapText="1"/>
    </xf>
    <xf numFmtId="0" fontId="11" fillId="0" borderId="0" xfId="0" applyFont="1" applyBorder="1" applyAlignment="1">
      <alignment horizontal="left" vertical="center"/>
    </xf>
    <xf numFmtId="0" fontId="20" fillId="5" borderId="2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right" vertical="center"/>
    </xf>
    <xf numFmtId="0" fontId="14" fillId="9" borderId="14" xfId="0" applyFont="1" applyFill="1" applyBorder="1" applyAlignment="1">
      <alignment horizontal="right" vertical="center"/>
    </xf>
    <xf numFmtId="0" fontId="14" fillId="10" borderId="9" xfId="0" applyFont="1" applyFill="1" applyBorder="1" applyAlignment="1">
      <alignment horizontal="right" vertical="center"/>
    </xf>
    <xf numFmtId="0" fontId="14" fillId="10" borderId="14" xfId="0" applyFont="1" applyFill="1" applyBorder="1" applyAlignment="1">
      <alignment horizontal="right" vertical="center"/>
    </xf>
    <xf numFmtId="0" fontId="14" fillId="11" borderId="9" xfId="0" applyFont="1" applyFill="1" applyBorder="1" applyAlignment="1">
      <alignment horizontal="right" vertical="center"/>
    </xf>
    <xf numFmtId="0" fontId="14" fillId="11" borderId="14" xfId="0" applyFont="1" applyFill="1" applyBorder="1" applyAlignment="1">
      <alignment horizontal="right" vertical="center"/>
    </xf>
    <xf numFmtId="0" fontId="14" fillId="12" borderId="11" xfId="0" applyFont="1" applyFill="1" applyBorder="1" applyAlignment="1">
      <alignment horizontal="right" vertical="center"/>
    </xf>
    <xf numFmtId="0" fontId="14" fillId="12" borderId="15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right" vertical="center"/>
    </xf>
    <xf numFmtId="0" fontId="16" fillId="8" borderId="1" xfId="0" applyFont="1" applyFill="1" applyBorder="1" applyAlignment="1">
      <alignment horizontal="right" vertical="center"/>
    </xf>
    <xf numFmtId="0" fontId="14" fillId="9" borderId="11" xfId="0" applyFont="1" applyFill="1" applyBorder="1" applyAlignment="1">
      <alignment horizontal="right" vertical="center"/>
    </xf>
    <xf numFmtId="0" fontId="14" fillId="9" borderId="15" xfId="0" applyFont="1" applyFill="1" applyBorder="1" applyAlignment="1">
      <alignment horizontal="right" vertical="center"/>
    </xf>
    <xf numFmtId="0" fontId="16" fillId="7" borderId="1" xfId="0" applyFont="1" applyFill="1" applyBorder="1" applyAlignment="1">
      <alignment horizontal="right" vertical="center"/>
    </xf>
    <xf numFmtId="0" fontId="16" fillId="9" borderId="1" xfId="0" applyFont="1" applyFill="1" applyBorder="1" applyAlignment="1">
      <alignment horizontal="right" vertical="center"/>
    </xf>
    <xf numFmtId="0" fontId="24" fillId="0" borderId="1" xfId="0" applyFont="1" applyFill="1" applyBorder="1">
      <alignment vertical="center"/>
    </xf>
    <xf numFmtId="10" fontId="22" fillId="0" borderId="1" xfId="0" applyNumberFormat="1" applyFont="1" applyBorder="1">
      <alignment vertical="center"/>
    </xf>
    <xf numFmtId="0" fontId="20" fillId="0" borderId="1" xfId="0" applyFont="1" applyFill="1" applyBorder="1" applyAlignment="1">
      <alignment horizontal="right" vertical="center"/>
    </xf>
    <xf numFmtId="0" fontId="20" fillId="13" borderId="1" xfId="0" applyFont="1" applyFill="1" applyBorder="1" applyAlignment="1">
      <alignment horizontal="right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10" fontId="25" fillId="0" borderId="0" xfId="0" applyNumberFormat="1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 wrapText="1"/>
    </xf>
    <xf numFmtId="0" fontId="29" fillId="14" borderId="2" xfId="0" applyFont="1" applyFill="1" applyBorder="1" applyAlignment="1">
      <alignment horizontal="center" vertical="top" wrapText="1"/>
    </xf>
    <xf numFmtId="0" fontId="29" fillId="14" borderId="4" xfId="0" applyFont="1" applyFill="1" applyBorder="1" applyAlignment="1">
      <alignment horizontal="center" vertical="top" wrapText="1"/>
    </xf>
    <xf numFmtId="0" fontId="1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30" fillId="3" borderId="1" xfId="0" applyNumberFormat="1" applyFont="1" applyFill="1" applyBorder="1" applyAlignment="1">
      <alignment horizontal="right" vertical="center" wrapText="1"/>
    </xf>
    <xf numFmtId="2" fontId="19" fillId="3" borderId="1" xfId="0" applyNumberFormat="1" applyFont="1" applyFill="1" applyBorder="1" applyAlignment="1">
      <alignment horizontal="right" vertical="center" wrapText="1"/>
    </xf>
    <xf numFmtId="2" fontId="18" fillId="0" borderId="12" xfId="0" applyNumberFormat="1" applyFont="1" applyFill="1" applyBorder="1" applyAlignment="1">
      <alignment horizontal="right" vertical="center" wrapText="1"/>
    </xf>
    <xf numFmtId="0" fontId="30" fillId="0" borderId="12" xfId="0" applyFont="1" applyFill="1" applyBorder="1" applyAlignment="1">
      <alignment horizontal="center" vertical="center" wrapText="1"/>
    </xf>
    <xf numFmtId="2" fontId="30" fillId="0" borderId="12" xfId="0" applyNumberFormat="1" applyFont="1" applyFill="1" applyBorder="1" applyAlignment="1">
      <alignment horizontal="right" vertical="center" wrapText="1"/>
    </xf>
    <xf numFmtId="2" fontId="19" fillId="0" borderId="12" xfId="0" applyNumberFormat="1" applyFont="1" applyFill="1" applyBorder="1" applyAlignment="1">
      <alignment horizontal="right" vertical="center" wrapText="1"/>
    </xf>
    <xf numFmtId="0" fontId="31" fillId="0" borderId="1" xfId="0" applyFont="1" applyFill="1" applyBorder="1" applyAlignment="1">
      <alignment horizontal="center" vertical="center" wrapText="1"/>
    </xf>
    <xf numFmtId="10" fontId="27" fillId="0" borderId="0" xfId="0" applyNumberFormat="1" applyFont="1" applyAlignment="1">
      <alignment horizontal="center" vertical="center"/>
    </xf>
    <xf numFmtId="10" fontId="28" fillId="0" borderId="0" xfId="0" applyNumberFormat="1" applyFont="1" applyAlignment="1">
      <alignment horizontal="left" vertical="center"/>
    </xf>
    <xf numFmtId="0" fontId="28" fillId="0" borderId="0" xfId="0" applyFont="1">
      <alignment vertical="center"/>
    </xf>
    <xf numFmtId="0" fontId="32" fillId="14" borderId="1" xfId="0" applyFont="1" applyFill="1" applyBorder="1" applyAlignment="1">
      <alignment horizontal="center" vertical="center" wrapText="1"/>
    </xf>
    <xf numFmtId="0" fontId="32" fillId="14" borderId="1" xfId="0" applyFont="1" applyFill="1" applyBorder="1" applyAlignment="1">
      <alignment horizontal="center" vertical="center"/>
    </xf>
    <xf numFmtId="10" fontId="29" fillId="14" borderId="1" xfId="0" applyNumberFormat="1" applyFont="1" applyFill="1" applyBorder="1" applyAlignment="1">
      <alignment horizontal="center" vertical="center" wrapText="1"/>
    </xf>
    <xf numFmtId="10" fontId="29" fillId="14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 wrapText="1"/>
    </xf>
    <xf numFmtId="177" fontId="3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0" fontId="31" fillId="3" borderId="1" xfId="8" applyNumberFormat="1" applyFont="1" applyFill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3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0" fontId="31" fillId="0" borderId="1" xfId="8" applyNumberFormat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/>
    </xf>
    <xf numFmtId="10" fontId="32" fillId="0" borderId="1" xfId="0" applyNumberFormat="1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3F3"/>
      <color rgb="00F6F6F6"/>
      <color rgb="00F3FFFF"/>
      <color rgb="00FCF305"/>
      <color rgb="00009999"/>
      <color rgb="00333333"/>
      <color rgb="00152122"/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"/>
  <sheetViews>
    <sheetView workbookViewId="0">
      <selection activeCell="B10" sqref="B10"/>
    </sheetView>
  </sheetViews>
  <sheetFormatPr defaultColWidth="9" defaultRowHeight="17.25" outlineLevelRow="7"/>
  <cols>
    <col min="1" max="1" width="12.375" style="121" customWidth="1"/>
    <col min="2" max="3" width="18.875" style="121" customWidth="1"/>
    <col min="4" max="4" width="25.375" style="119" customWidth="1"/>
    <col min="5" max="16384" width="9" style="119"/>
  </cols>
  <sheetData>
    <row r="1" ht="51" customHeight="1" spans="1:4">
      <c r="A1" s="123" t="s">
        <v>0</v>
      </c>
      <c r="B1" s="123"/>
      <c r="C1" s="123"/>
      <c r="D1" s="123"/>
    </row>
    <row r="2" ht="27.95" customHeight="1" spans="1:34">
      <c r="A2" s="157" t="s">
        <v>1</v>
      </c>
      <c r="B2" s="157"/>
      <c r="C2" s="157"/>
      <c r="D2" s="157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</row>
    <row r="3" ht="32.1" customHeight="1" spans="1:4">
      <c r="A3" s="123" t="s">
        <v>2</v>
      </c>
      <c r="B3" s="123"/>
      <c r="C3" s="123"/>
      <c r="D3" s="123"/>
    </row>
    <row r="4" ht="74.1" customHeight="1" spans="1:4">
      <c r="A4" s="159" t="s">
        <v>3</v>
      </c>
      <c r="B4" s="160" t="s">
        <v>4</v>
      </c>
      <c r="C4" s="160"/>
      <c r="D4" s="160"/>
    </row>
    <row r="5" ht="27" customHeight="1" spans="1:4">
      <c r="A5" s="161" t="s">
        <v>5</v>
      </c>
      <c r="B5" s="161" t="s">
        <v>6</v>
      </c>
      <c r="C5" s="161" t="s">
        <v>7</v>
      </c>
      <c r="D5" s="161" t="s">
        <v>8</v>
      </c>
    </row>
    <row r="6" ht="27.95" customHeight="1" spans="1:4">
      <c r="A6" s="161" t="s">
        <v>9</v>
      </c>
      <c r="B6" s="162"/>
      <c r="C6" s="162"/>
      <c r="D6" s="163" t="str">
        <f>IF(B6&lt;50%,IF(C6&lt;20%,"符合条件","不符合条件"),"不符合条件")</f>
        <v>符合条件</v>
      </c>
    </row>
    <row r="7" ht="27.95" customHeight="1" spans="1:4">
      <c r="A7" s="161" t="s">
        <v>10</v>
      </c>
      <c r="B7" s="162"/>
      <c r="C7" s="162"/>
      <c r="D7" s="163" t="str">
        <f>IF(B7&lt;50%,IF(C7&lt;20%,"符合条件","不符合条件"),"不符合条件")</f>
        <v>符合条件</v>
      </c>
    </row>
    <row r="8" ht="33" customHeight="1" spans="1:4">
      <c r="A8" s="161" t="s">
        <v>11</v>
      </c>
      <c r="B8" s="164" t="str">
        <f>IF(D6="符合条件","可以入场",IF(D7="符合条件","可以入场","不能入场"))</f>
        <v>可以入场</v>
      </c>
      <c r="C8" s="165"/>
      <c r="D8" s="166"/>
    </row>
  </sheetData>
  <mergeCells count="4">
    <mergeCell ref="A1:D1"/>
    <mergeCell ref="A3:D3"/>
    <mergeCell ref="B4:D4"/>
    <mergeCell ref="B8:D8"/>
  </mergeCells>
  <pageMargins left="0.75" right="0.75" top="1" bottom="1" header="0.51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15"/>
  <sheetViews>
    <sheetView workbookViewId="0">
      <pane ySplit="4" topLeftCell="A7" activePane="bottomLeft" state="frozen"/>
      <selection/>
      <selection pane="bottomLeft" activeCell="A33" sqref="A33:A39"/>
    </sheetView>
  </sheetViews>
  <sheetFormatPr defaultColWidth="9" defaultRowHeight="17.25"/>
  <cols>
    <col min="1" max="2" width="9" style="119"/>
    <col min="3" max="3" width="27.625" style="119" customWidth="1"/>
    <col min="4" max="9" width="8.625" style="121" customWidth="1"/>
    <col min="10" max="12" width="9" style="121"/>
    <col min="13" max="14" width="8.875" style="122" customWidth="1"/>
    <col min="15" max="15" width="9" style="119"/>
    <col min="16" max="16" width="14" style="119" customWidth="1"/>
    <col min="17" max="16384" width="9" style="119"/>
  </cols>
  <sheetData>
    <row r="1" s="119" customFormat="1" ht="36" customHeight="1" spans="1:14">
      <c r="A1" s="123" t="s">
        <v>12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38"/>
      <c r="N1" s="138"/>
    </row>
    <row r="2" s="120" customFormat="1" ht="30" customHeight="1" spans="1:15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39"/>
      <c r="N2" s="139"/>
      <c r="O2" s="140"/>
    </row>
    <row r="3" s="119" customFormat="1" ht="48" customHeight="1" spans="1:14">
      <c r="A3" s="125" t="s">
        <v>13</v>
      </c>
      <c r="B3" s="125"/>
      <c r="C3" s="126" t="s">
        <v>14</v>
      </c>
      <c r="D3" s="127" t="s">
        <v>15</v>
      </c>
      <c r="E3" s="128"/>
      <c r="F3" s="128"/>
      <c r="G3" s="128"/>
      <c r="H3" s="128"/>
      <c r="I3" s="128"/>
      <c r="J3" s="141" t="s">
        <v>16</v>
      </c>
      <c r="K3" s="142"/>
      <c r="L3" s="142"/>
      <c r="M3" s="143" t="s">
        <v>17</v>
      </c>
      <c r="N3" s="144"/>
    </row>
    <row r="4" s="119" customFormat="1" ht="47.1" customHeight="1" spans="1:23">
      <c r="A4" s="129" t="s">
        <v>18</v>
      </c>
      <c r="B4" s="129" t="s">
        <v>19</v>
      </c>
      <c r="C4" s="129" t="s">
        <v>20</v>
      </c>
      <c r="D4" s="129" t="s">
        <v>21</v>
      </c>
      <c r="E4" s="129" t="s">
        <v>21</v>
      </c>
      <c r="F4" s="129" t="s">
        <v>22</v>
      </c>
      <c r="G4" s="129" t="s">
        <v>22</v>
      </c>
      <c r="H4" s="130" t="s">
        <v>23</v>
      </c>
      <c r="I4" s="130" t="s">
        <v>24</v>
      </c>
      <c r="J4" s="130" t="s">
        <v>25</v>
      </c>
      <c r="K4" s="130" t="s">
        <v>26</v>
      </c>
      <c r="L4" s="130" t="s">
        <v>27</v>
      </c>
      <c r="M4" s="145" t="str">
        <f>指定日期分位点!E1</f>
        <v>PE-TTM(扣非)  (最近时间)</v>
      </c>
      <c r="N4" s="145" t="str">
        <f>指定日期分位点!F1</f>
        <v>PB(不含商誉)  (最近时间)</v>
      </c>
      <c r="Q4" s="152"/>
      <c r="R4" s="153"/>
      <c r="S4" s="153"/>
      <c r="T4" s="153"/>
      <c r="U4" s="153"/>
      <c r="V4" s="153"/>
      <c r="W4" s="153"/>
    </row>
    <row r="5" s="25" customFormat="1" ht="17.1" hidden="1" customHeight="1" spans="1:14">
      <c r="A5" s="3" t="s">
        <v>28</v>
      </c>
      <c r="B5" s="3" t="s">
        <v>29</v>
      </c>
      <c r="C5" s="3" t="s">
        <v>30</v>
      </c>
      <c r="D5" s="3">
        <v>-14.3988</v>
      </c>
      <c r="E5" s="3">
        <v>-17.0368</v>
      </c>
      <c r="F5" s="3">
        <v>-32.3397</v>
      </c>
      <c r="G5" s="3">
        <v>-19.1246</v>
      </c>
      <c r="H5" s="131" t="str">
        <f>IF(ISERROR(VLOOKUP(C5,'周期表（不要动）'!A:B,2,FALSE)),"",VLOOKUP(C5,'周期表（不要动）'!A:B,2,FALSE))</f>
        <v>是</v>
      </c>
      <c r="I5" s="146">
        <f>IF(D5&gt;0,IF(E5&gt;0,IF(F5&gt;0,IF(G5&gt;0,0,1),1),1),1)</f>
        <v>1</v>
      </c>
      <c r="J5" s="147" t="e">
        <f>VLOOKUP(B5,小熊定理判定!A:D,2,FALSE)</f>
        <v>#N/A</v>
      </c>
      <c r="K5" s="147" t="e">
        <f>VLOOKUP(B5,小熊定理判定!A:D,3,FALSE)</f>
        <v>#N/A</v>
      </c>
      <c r="L5" s="147" t="e">
        <f>VLOOKUP(B5,小熊定理判定!A:D,4,FALSE)</f>
        <v>#N/A</v>
      </c>
      <c r="M5" s="148">
        <f ca="1">IF(ISNUMBER(OFFSET(指定日期分位点!$A$1,MATCH($B5,指定日期分位点!$C$2:$C$5000,0),MATCH(M$4,指定日期分位点!$B$1:$M$1,0))),OFFSET(指定日期分位点!$A$1,MATCH($B5,指定日期分位点!$C$2:$C$4000,0),MATCH(M$4,指定日期分位点!$B$1:$M$1,0)),"")/100</f>
        <v>0.1553</v>
      </c>
      <c r="N5" s="148">
        <f ca="1">IF(ISNUMBER(OFFSET(指定日期分位点!$A$1,MATCH($B5,指定日期分位点!$C$2:$C$5000,0),MATCH(N$4,指定日期分位点!$B$1:$M$1,0))),OFFSET(指定日期分位点!$A$1,MATCH($B5,指定日期分位点!$C$2:$C$4000,0),MATCH(N$4,指定日期分位点!$B$1:$M$1,0)),"")/100</f>
        <v>0.037</v>
      </c>
    </row>
    <row r="6" s="119" customFormat="1" ht="17.1" hidden="1" customHeight="1" spans="1:17">
      <c r="A6" s="3" t="s">
        <v>31</v>
      </c>
      <c r="B6" s="3" t="s">
        <v>32</v>
      </c>
      <c r="C6" s="3" t="s">
        <v>33</v>
      </c>
      <c r="D6" s="3">
        <v>-6.2423</v>
      </c>
      <c r="E6" s="3">
        <v>7.561</v>
      </c>
      <c r="F6" s="3">
        <v>17.6185</v>
      </c>
      <c r="G6" s="3">
        <v>-31.7453</v>
      </c>
      <c r="H6" s="131" t="str">
        <f ca="1">IF(ISERROR(VLOOKUP(C6,'周期表（不要动）'!A:B,2,FALSE)),"",VLOOKUP(C6,'周期表（不要动）'!A:B,2,FALSE))</f>
        <v/>
      </c>
      <c r="I6" s="146">
        <f>IF(D6&gt;0,IF(E6&gt;0,IF(F6&gt;0,IF(G6&gt;0,0,1),1),1),1)</f>
        <v>1</v>
      </c>
      <c r="J6" s="147" t="e">
        <f ca="1">VLOOKUP(B6,小熊定理判定!A:D,2,FALSE)</f>
        <v>#N/A</v>
      </c>
      <c r="K6" s="147" t="e">
        <f ca="1">VLOOKUP(B6,小熊定理判定!A:D,3,FALSE)</f>
        <v>#N/A</v>
      </c>
      <c r="L6" s="147" t="e">
        <f ca="1">VLOOKUP(B6,小熊定理判定!A:D,4,FALSE)</f>
        <v>#N/A</v>
      </c>
      <c r="M6" s="148">
        <f ca="1">IF(ISNUMBER(OFFSET(指定日期分位点!$A$1,MATCH($B6,指定日期分位点!$C$2:$C$5000,0),MATCH(M$4,指定日期分位点!$B$1:$M$1,0))),OFFSET(指定日期分位点!$A$1,MATCH($B6,指定日期分位点!$C$2:$C$4000,0),MATCH(M$4,指定日期分位点!$B$1:$M$1,0)),"")/100</f>
        <v>0.1144</v>
      </c>
      <c r="N6" s="148">
        <f ca="1">IF(ISNUMBER(OFFSET(指定日期分位点!$A$1,MATCH($B6,指定日期分位点!$C$2:$C$5000,0),MATCH(N$4,指定日期分位点!$B$1:$M$1,0))),OFFSET(指定日期分位点!$A$1,MATCH($B6,指定日期分位点!$C$2:$C$4000,0),MATCH(N$4,指定日期分位点!$B$1:$M$1,0)),"")/100</f>
        <v>0.017</v>
      </c>
      <c r="O6" s="25"/>
      <c r="P6" s="25"/>
      <c r="Q6" s="25"/>
    </row>
    <row r="7" s="119" customFormat="1" ht="17.1" customHeight="1" spans="1:17">
      <c r="A7" s="3" t="s">
        <v>34</v>
      </c>
      <c r="B7" s="3" t="s">
        <v>35</v>
      </c>
      <c r="C7" s="3" t="s">
        <v>36</v>
      </c>
      <c r="D7" s="3">
        <v>20.3721</v>
      </c>
      <c r="E7" s="3">
        <v>14.2843</v>
      </c>
      <c r="F7" s="3">
        <v>20.0371</v>
      </c>
      <c r="G7" s="3">
        <v>19.8507</v>
      </c>
      <c r="H7" s="132" t="str">
        <f>IF(ISERROR(VLOOKUP(C7,'周期表（不要动）'!A:B,2,FALSE)),"",VLOOKUP(C7,'周期表（不要动）'!A:B,2,FALSE))</f>
        <v/>
      </c>
      <c r="I7" s="146">
        <f>IF(D7&gt;0,IF(E7&gt;0,IF(F7&gt;0,IF(G7&gt;0,0,1),1),1),1)</f>
        <v>0</v>
      </c>
      <c r="J7" s="147" t="str">
        <f>VLOOKUP(B7,小熊定理判定!A:D,2,FALSE)</f>
        <v>0</v>
      </c>
      <c r="K7" s="147" t="str">
        <f>VLOOKUP(B7,小熊定理判定!A:D,3,FALSE)</f>
        <v>0</v>
      </c>
      <c r="L7" s="147" t="str">
        <f>VLOOKUP(B7,小熊定理判定!A:D,4,FALSE)</f>
        <v>0</v>
      </c>
      <c r="M7" s="148">
        <f ca="1">IF(ISNUMBER(OFFSET(指定日期分位点!$A$1,MATCH($B7,指定日期分位点!$C$2:$C$5000,0),MATCH(M$4,指定日期分位点!$B$1:$M$1,0))),OFFSET(指定日期分位点!$A$1,MATCH($B7,指定日期分位点!$C$2:$C$4000,0),MATCH(M$4,指定日期分位点!$B$1:$M$1,0)),"")/100</f>
        <v>0.1125</v>
      </c>
      <c r="N7" s="148">
        <f ca="1">IF(ISNUMBER(OFFSET(指定日期分位点!$A$1,MATCH($B7,指定日期分位点!$C$2:$C$5000,0),MATCH(N$4,指定日期分位点!$B$1:$M$1,0))),OFFSET(指定日期分位点!$A$1,MATCH($B7,指定日期分位点!$C$2:$C$4000,0),MATCH(N$4,指定日期分位点!$B$1:$M$1,0)),"")/100</f>
        <v>0.0177</v>
      </c>
      <c r="O7" s="149"/>
      <c r="P7" s="25"/>
      <c r="Q7" s="25"/>
    </row>
    <row r="8" s="119" customFormat="1" ht="17.1" customHeight="1" spans="1:17">
      <c r="A8" s="3" t="s">
        <v>37</v>
      </c>
      <c r="B8" s="3" t="s">
        <v>38</v>
      </c>
      <c r="C8" s="3" t="s">
        <v>39</v>
      </c>
      <c r="D8" s="3">
        <v>19.0628</v>
      </c>
      <c r="E8" s="3">
        <v>10.1738</v>
      </c>
      <c r="F8" s="3">
        <v>22.3336</v>
      </c>
      <c r="G8" s="3">
        <v>27.4078</v>
      </c>
      <c r="H8" s="131" t="str">
        <f>IF(ISERROR(VLOOKUP(C8,'周期表（不要动）'!A:B,2,FALSE)),"",VLOOKUP(C8,'周期表（不要动）'!A:B,2,FALSE))</f>
        <v/>
      </c>
      <c r="I8" s="146">
        <f>IF(D8&gt;0,IF(E8&gt;0,IF(F8&gt;0,IF(G8&gt;0,0,1),1),1),1)</f>
        <v>0</v>
      </c>
      <c r="J8" s="147" t="str">
        <f>VLOOKUP(B8,小熊定理判定!A:D,2,FALSE)</f>
        <v>0</v>
      </c>
      <c r="K8" s="147" t="str">
        <f>VLOOKUP(B8,小熊定理判定!A:D,3,FALSE)</f>
        <v>0</v>
      </c>
      <c r="L8" s="147" t="str">
        <f>VLOOKUP(B8,小熊定理判定!A:D,4,FALSE)</f>
        <v>0</v>
      </c>
      <c r="M8" s="148">
        <f ca="1">IF(ISNUMBER(OFFSET(指定日期分位点!$A$1,MATCH($B8,指定日期分位点!$C$2:$C$5000,0),MATCH(M$4,指定日期分位点!$B$1:$M$1,0))),OFFSET(指定日期分位点!$A$1,MATCH($B8,指定日期分位点!$C$2:$C$4000,0),MATCH(M$4,指定日期分位点!$B$1:$M$1,0)),"")/100</f>
        <v>0.1417</v>
      </c>
      <c r="N8" s="148">
        <f ca="1">IF(ISNUMBER(OFFSET(指定日期分位点!$A$1,MATCH($B8,指定日期分位点!$C$2:$C$5000,0),MATCH(N$4,指定日期分位点!$B$1:$M$1,0))),OFFSET(指定日期分位点!$A$1,MATCH($B8,指定日期分位点!$C$2:$C$4000,0),MATCH(N$4,指定日期分位点!$B$1:$M$1,0)),"")/100</f>
        <v>0.0352</v>
      </c>
      <c r="O8" s="149"/>
      <c r="P8" s="149"/>
      <c r="Q8" s="149"/>
    </row>
    <row r="9" s="119" customFormat="1" ht="17.1" hidden="1" customHeight="1" spans="1:17">
      <c r="A9" s="3" t="s">
        <v>40</v>
      </c>
      <c r="B9" s="3" t="s">
        <v>41</v>
      </c>
      <c r="C9" s="3" t="s">
        <v>42</v>
      </c>
      <c r="D9" s="3">
        <v>16.62</v>
      </c>
      <c r="E9" s="3">
        <v>16.8</v>
      </c>
      <c r="F9" s="3">
        <v>22.48</v>
      </c>
      <c r="G9" s="3">
        <v>23.5988</v>
      </c>
      <c r="H9" s="132" t="str">
        <f ca="1">IF(ISERROR(VLOOKUP(C9,'周期表（不要动）'!A:B,2,FALSE)),"",VLOOKUP(C9,'周期表（不要动）'!A:B,2,FALSE))</f>
        <v/>
      </c>
      <c r="I9" s="146">
        <f>IF(D9&gt;0,IF(E9&gt;0,IF(F9&gt;0,IF(G9&gt;0,0,1),1),1),1)</f>
        <v>0</v>
      </c>
      <c r="J9" s="147" t="str">
        <f ca="1">VLOOKUP(B9,小熊定理判定!A:D,2,FALSE)</f>
        <v>0</v>
      </c>
      <c r="K9" s="147" t="str">
        <f ca="1">VLOOKUP(B9,小熊定理判定!A:D,3,FALSE)</f>
        <v>0</v>
      </c>
      <c r="L9" s="147" t="str">
        <f ca="1">VLOOKUP(B9,小熊定理判定!A:D,4,FALSE)</f>
        <v>0</v>
      </c>
      <c r="M9" s="148">
        <f ca="1">IF(ISNUMBER(OFFSET(指定日期分位点!$A$1,MATCH($B9,指定日期分位点!$C$2:$C$5000,0),MATCH(M$4,指定日期分位点!$B$1:$M$1,0))),OFFSET(指定日期分位点!$A$1,MATCH($B9,指定日期分位点!$C$2:$C$4000,0),MATCH(M$4,指定日期分位点!$B$1:$M$1,0)),"")/100</f>
        <v>0.5862</v>
      </c>
      <c r="N9" s="148">
        <f ca="1">IF(ISNUMBER(OFFSET(指定日期分位点!$A$1,MATCH($B9,指定日期分位点!$C$2:$C$5000,0),MATCH(N$4,指定日期分位点!$B$1:$M$1,0))),OFFSET(指定日期分位点!$A$1,MATCH($B9,指定日期分位点!$C$2:$C$4000,0),MATCH(N$4,指定日期分位点!$B$1:$M$1,0)),"")/100</f>
        <v>0.1879</v>
      </c>
      <c r="O9" s="25"/>
      <c r="P9" s="25"/>
      <c r="Q9" s="25"/>
    </row>
    <row r="10" s="119" customFormat="1" ht="17.1" hidden="1" customHeight="1" spans="1:15">
      <c r="A10" s="3" t="s">
        <v>43</v>
      </c>
      <c r="B10" s="3" t="s">
        <v>44</v>
      </c>
      <c r="C10" s="3" t="s">
        <v>45</v>
      </c>
      <c r="D10" s="3">
        <v>42.4822</v>
      </c>
      <c r="E10" s="3">
        <v>40.5182</v>
      </c>
      <c r="F10" s="3">
        <v>23.7104</v>
      </c>
      <c r="G10" s="3">
        <v>32.8774</v>
      </c>
      <c r="H10" s="131" t="str">
        <f>IF(ISERROR(VLOOKUP(C10,'周期表（不要动）'!A:B,2,FALSE)),"",VLOOKUP(C10,'周期表（不要动）'!A:B,2,FALSE))</f>
        <v>是</v>
      </c>
      <c r="I10" s="146">
        <f>IF(D10&gt;0,IF(E10&gt;0,IF(F10&gt;0,IF(G10&gt;0,0,1),1),1),1)</f>
        <v>0</v>
      </c>
      <c r="J10" s="147" t="e">
        <f>VLOOKUP(B10,小熊定理判定!A:D,2,FALSE)</f>
        <v>#N/A</v>
      </c>
      <c r="K10" s="147" t="e">
        <f>VLOOKUP(B10,小熊定理判定!A:D,3,FALSE)</f>
        <v>#N/A</v>
      </c>
      <c r="L10" s="147" t="e">
        <f>VLOOKUP(B10,小熊定理判定!A:D,4,FALSE)</f>
        <v>#N/A</v>
      </c>
      <c r="M10" s="148">
        <f ca="1">IF(ISNUMBER(OFFSET(指定日期分位点!$A$1,MATCH($B10,指定日期分位点!$C$2:$C$5000,0),MATCH(M$4,指定日期分位点!$B$1:$M$1,0))),OFFSET(指定日期分位点!$A$1,MATCH($B10,指定日期分位点!$C$2:$C$4000,0),MATCH(M$4,指定日期分位点!$B$1:$M$1,0)),"")/100</f>
        <v>0.0569</v>
      </c>
      <c r="N10" s="148">
        <f ca="1">IF(ISNUMBER(OFFSET(指定日期分位点!$A$1,MATCH($B10,指定日期分位点!$C$2:$C$5000,0),MATCH(N$4,指定日期分位点!$B$1:$M$1,0))),OFFSET(指定日期分位点!$A$1,MATCH($B10,指定日期分位点!$C$2:$C$4000,0),MATCH(N$4,指定日期分位点!$B$1:$M$1,0)),"")/100</f>
        <v>0.019</v>
      </c>
      <c r="O10" s="25"/>
    </row>
    <row r="11" s="119" customFormat="1" ht="17.1" hidden="1" customHeight="1" spans="1:17">
      <c r="A11" s="3" t="s">
        <v>46</v>
      </c>
      <c r="B11" s="3" t="s">
        <v>47</v>
      </c>
      <c r="C11" s="3" t="s">
        <v>48</v>
      </c>
      <c r="D11" s="3">
        <v>-2.8499</v>
      </c>
      <c r="E11" s="3">
        <v>27.7596</v>
      </c>
      <c r="F11" s="3">
        <v>-0.2449</v>
      </c>
      <c r="G11" s="3">
        <v>37.9578</v>
      </c>
      <c r="H11" s="132" t="str">
        <f>IF(ISERROR(VLOOKUP(C11,'周期表（不要动）'!A:B,2,FALSE)),"",VLOOKUP(C11,'周期表（不要动）'!A:B,2,FALSE))</f>
        <v/>
      </c>
      <c r="I11" s="146">
        <f>IF(D11&gt;0,IF(E11&gt;0,IF(F11&gt;0,IF(G11&gt;0,0,1),1),1),1)</f>
        <v>1</v>
      </c>
      <c r="J11" s="147" t="e">
        <f>VLOOKUP(B11,小熊定理判定!A:D,2,FALSE)</f>
        <v>#N/A</v>
      </c>
      <c r="K11" s="147" t="e">
        <f>VLOOKUP(B11,小熊定理判定!A:D,3,FALSE)</f>
        <v>#N/A</v>
      </c>
      <c r="L11" s="147" t="e">
        <f>VLOOKUP(B11,小熊定理判定!A:D,4,FALSE)</f>
        <v>#N/A</v>
      </c>
      <c r="M11" s="148">
        <f ca="1">IF(ISNUMBER(OFFSET(指定日期分位点!$A$1,MATCH($B11,指定日期分位点!$C$2:$C$5000,0),MATCH(M$4,指定日期分位点!$B$1:$M$1,0))),OFFSET(指定日期分位点!$A$1,MATCH($B11,指定日期分位点!$C$2:$C$4000,0),MATCH(M$4,指定日期分位点!$B$1:$M$1,0)),"")/100</f>
        <v>0.1293</v>
      </c>
      <c r="N11" s="148">
        <f ca="1">IF(ISNUMBER(OFFSET(指定日期分位点!$A$1,MATCH($B11,指定日期分位点!$C$2:$C$5000,0),MATCH(N$4,指定日期分位点!$B$1:$M$1,0))),OFFSET(指定日期分位点!$A$1,MATCH($B11,指定日期分位点!$C$2:$C$4000,0),MATCH(N$4,指定日期分位点!$B$1:$M$1,0)),"")/100</f>
        <v>0.0376</v>
      </c>
      <c r="O11" s="25"/>
      <c r="P11" s="25"/>
      <c r="Q11" s="25"/>
    </row>
    <row r="12" s="119" customFormat="1" ht="17.1" customHeight="1" spans="1:17">
      <c r="A12" s="3" t="s">
        <v>49</v>
      </c>
      <c r="B12" s="3" t="s">
        <v>50</v>
      </c>
      <c r="C12" s="3" t="s">
        <v>51</v>
      </c>
      <c r="D12" s="3">
        <v>4.2637</v>
      </c>
      <c r="E12" s="3">
        <v>33.6084</v>
      </c>
      <c r="F12" s="3">
        <v>4.7308</v>
      </c>
      <c r="G12" s="3">
        <v>16.9742</v>
      </c>
      <c r="H12" s="132" t="str">
        <f>IF(ISERROR(VLOOKUP(C12,'周期表（不要动）'!A:B,2,FALSE)),"",VLOOKUP(C12,'周期表（不要动）'!A:B,2,FALSE))</f>
        <v/>
      </c>
      <c r="I12" s="146">
        <f>IF(D12&gt;0,IF(E12&gt;0,IF(F12&gt;0,IF(G12&gt;0,0,1),1),1),1)</f>
        <v>0</v>
      </c>
      <c r="J12" s="147" t="str">
        <f>VLOOKUP(B12,小熊定理判定!A:D,2,FALSE)</f>
        <v>0</v>
      </c>
      <c r="K12" s="147" t="str">
        <f>VLOOKUP(B12,小熊定理判定!A:D,3,FALSE)</f>
        <v>0</v>
      </c>
      <c r="L12" s="147" t="str">
        <f>VLOOKUP(B12,小熊定理判定!A:D,4,FALSE)</f>
        <v>0</v>
      </c>
      <c r="M12" s="148">
        <f ca="1">IF(ISNUMBER(OFFSET(指定日期分位点!$A$1,MATCH($B12,指定日期分位点!$C$2:$C$5000,0),MATCH(M$4,指定日期分位点!$B$1:$M$1,0))),OFFSET(指定日期分位点!$A$1,MATCH($B12,指定日期分位点!$C$2:$C$4000,0),MATCH(M$4,指定日期分位点!$B$1:$M$1,0)),"")/100</f>
        <v>0.1467</v>
      </c>
      <c r="N12" s="148">
        <f ca="1">IF(ISNUMBER(OFFSET(指定日期分位点!$A$1,MATCH($B12,指定日期分位点!$C$2:$C$5000,0),MATCH(N$4,指定日期分位点!$B$1:$M$1,0))),OFFSET(指定日期分位点!$A$1,MATCH($B12,指定日期分位点!$C$2:$C$4000,0),MATCH(N$4,指定日期分位点!$B$1:$M$1,0)),"")/100</f>
        <v>0.0377</v>
      </c>
      <c r="O12" s="149"/>
      <c r="P12" s="149"/>
      <c r="Q12" s="149"/>
    </row>
    <row r="13" s="119" customFormat="1" ht="17.1" hidden="1" customHeight="1" spans="1:17">
      <c r="A13" s="3" t="s">
        <v>52</v>
      </c>
      <c r="B13" s="3" t="s">
        <v>53</v>
      </c>
      <c r="C13" s="3" t="s">
        <v>54</v>
      </c>
      <c r="D13" s="3">
        <v>5.8841</v>
      </c>
      <c r="E13" s="3">
        <v>0.4779</v>
      </c>
      <c r="F13" s="3">
        <v>3.6022</v>
      </c>
      <c r="G13" s="3">
        <v>-0.1307</v>
      </c>
      <c r="H13" s="132" t="str">
        <f>IF(ISERROR(VLOOKUP(C13,'周期表（不要动）'!A:B,2,FALSE)),"",VLOOKUP(C13,'周期表（不要动）'!A:B,2,FALSE))</f>
        <v/>
      </c>
      <c r="I13" s="146">
        <f>IF(D13&gt;0,IF(E13&gt;0,IF(F13&gt;0,IF(G13&gt;0,0,1),1),1),1)</f>
        <v>1</v>
      </c>
      <c r="J13" s="147" t="e">
        <f>VLOOKUP(B13,小熊定理判定!A:D,2,FALSE)</f>
        <v>#N/A</v>
      </c>
      <c r="K13" s="147" t="e">
        <f>VLOOKUP(B13,小熊定理判定!A:D,3,FALSE)</f>
        <v>#N/A</v>
      </c>
      <c r="L13" s="147" t="e">
        <f>VLOOKUP(B13,小熊定理判定!A:D,4,FALSE)</f>
        <v>#N/A</v>
      </c>
      <c r="M13" s="148">
        <f ca="1">IF(ISNUMBER(OFFSET(指定日期分位点!$A$1,MATCH($B13,指定日期分位点!$C$2:$C$5000,0),MATCH(M$4,指定日期分位点!$B$1:$M$1,0))),OFFSET(指定日期分位点!$A$1,MATCH($B13,指定日期分位点!$C$2:$C$4000,0),MATCH(M$4,指定日期分位点!$B$1:$M$1,0)),"")/100</f>
        <v>0.1544</v>
      </c>
      <c r="N13" s="148">
        <f ca="1">IF(ISNUMBER(OFFSET(指定日期分位点!$A$1,MATCH($B13,指定日期分位点!$C$2:$C$5000,0),MATCH(N$4,指定日期分位点!$B$1:$M$1,0))),OFFSET(指定日期分位点!$A$1,MATCH($B13,指定日期分位点!$C$2:$C$4000,0),MATCH(N$4,指定日期分位点!$B$1:$M$1,0)),"")/100</f>
        <v>0.0348</v>
      </c>
      <c r="O13" s="25"/>
      <c r="P13" s="25"/>
      <c r="Q13" s="25"/>
    </row>
    <row r="14" s="119" customFormat="1" ht="17.1" customHeight="1" spans="1:17">
      <c r="A14" s="3" t="s">
        <v>55</v>
      </c>
      <c r="B14" s="3" t="s">
        <v>56</v>
      </c>
      <c r="C14" s="3" t="s">
        <v>51</v>
      </c>
      <c r="D14" s="3">
        <v>7.3687</v>
      </c>
      <c r="E14" s="3">
        <v>7.8735</v>
      </c>
      <c r="F14" s="3">
        <v>19.082</v>
      </c>
      <c r="G14" s="3">
        <v>17.0513</v>
      </c>
      <c r="H14" s="132" t="str">
        <f>IF(ISERROR(VLOOKUP(C14,'周期表（不要动）'!A:B,2,FALSE)),"",VLOOKUP(C14,'周期表（不要动）'!A:B,2,FALSE))</f>
        <v/>
      </c>
      <c r="I14" s="146">
        <f>IF(D14&gt;0,IF(E14&gt;0,IF(F14&gt;0,IF(G14&gt;0,0,1),1),1),1)</f>
        <v>0</v>
      </c>
      <c r="J14" s="147" t="str">
        <f>VLOOKUP(B14,小熊定理判定!A:D,2,FALSE)</f>
        <v>0</v>
      </c>
      <c r="K14" s="147" t="str">
        <f>VLOOKUP(B14,小熊定理判定!A:D,3,FALSE)</f>
        <v>0</v>
      </c>
      <c r="L14" s="147" t="str">
        <f>VLOOKUP(B14,小熊定理判定!A:D,4,FALSE)</f>
        <v>0</v>
      </c>
      <c r="M14" s="148">
        <f ca="1">IF(ISNUMBER(OFFSET(指定日期分位点!$A$1,MATCH($B14,指定日期分位点!$C$2:$C$5000,0),MATCH(M$4,指定日期分位点!$B$1:$M$1,0))),OFFSET(指定日期分位点!$A$1,MATCH($B14,指定日期分位点!$C$2:$C$4000,0),MATCH(M$4,指定日期分位点!$B$1:$M$1,0)),"")/100</f>
        <v>0.1604</v>
      </c>
      <c r="N14" s="148">
        <f ca="1">IF(ISNUMBER(OFFSET(指定日期分位点!$A$1,MATCH($B14,指定日期分位点!$C$2:$C$5000,0),MATCH(N$4,指定日期分位点!$B$1:$M$1,0))),OFFSET(指定日期分位点!$A$1,MATCH($B14,指定日期分位点!$C$2:$C$4000,0),MATCH(N$4,指定日期分位点!$B$1:$M$1,0)),"")/100</f>
        <v>0.0542</v>
      </c>
      <c r="O14" s="149"/>
      <c r="P14" s="150"/>
      <c r="Q14" s="150"/>
    </row>
    <row r="15" s="119" customFormat="1" ht="17.1" customHeight="1" spans="1:17">
      <c r="A15" s="3" t="s">
        <v>57</v>
      </c>
      <c r="B15" s="3" t="s">
        <v>58</v>
      </c>
      <c r="C15" s="3" t="s">
        <v>33</v>
      </c>
      <c r="D15" s="3">
        <v>7.7183</v>
      </c>
      <c r="E15" s="3">
        <v>12.169</v>
      </c>
      <c r="F15" s="3">
        <v>26.1623</v>
      </c>
      <c r="G15" s="3">
        <v>7.7103</v>
      </c>
      <c r="H15" s="132" t="str">
        <f>IF(ISERROR(VLOOKUP(C15,'周期表（不要动）'!A:B,2,FALSE)),"",VLOOKUP(C15,'周期表（不要动）'!A:B,2,FALSE))</f>
        <v/>
      </c>
      <c r="I15" s="146">
        <f>IF(D15&gt;0,IF(E15&gt;0,IF(F15&gt;0,IF(G15&gt;0,0,1),1),1),1)</f>
        <v>0</v>
      </c>
      <c r="J15" s="147" t="str">
        <f>VLOOKUP(B15,小熊定理判定!A:D,2,FALSE)</f>
        <v>0</v>
      </c>
      <c r="K15" s="147" t="str">
        <f>VLOOKUP(B15,小熊定理判定!A:D,3,FALSE)</f>
        <v>0</v>
      </c>
      <c r="L15" s="147" t="str">
        <f>VLOOKUP(B15,小熊定理判定!A:D,4,FALSE)</f>
        <v>0</v>
      </c>
      <c r="M15" s="148">
        <f ca="1">IF(ISNUMBER(OFFSET(指定日期分位点!$A$1,MATCH($B15,指定日期分位点!$C$2:$C$5000,0),MATCH(M$4,指定日期分位点!$B$1:$M$1,0))),OFFSET(指定日期分位点!$A$1,MATCH($B15,指定日期分位点!$C$2:$C$4000,0),MATCH(M$4,指定日期分位点!$B$1:$M$1,0)),"")/100</f>
        <v>0.1741</v>
      </c>
      <c r="N15" s="148">
        <f ca="1">IF(ISNUMBER(OFFSET(指定日期分位点!$A$1,MATCH($B15,指定日期分位点!$C$2:$C$5000,0),MATCH(N$4,指定日期分位点!$B$1:$M$1,0))),OFFSET(指定日期分位点!$A$1,MATCH($B15,指定日期分位点!$C$2:$C$4000,0),MATCH(N$4,指定日期分位点!$B$1:$M$1,0)),"")/100</f>
        <v>0.059</v>
      </c>
      <c r="O15" s="149"/>
      <c r="P15" s="149"/>
      <c r="Q15" s="149"/>
    </row>
    <row r="16" s="119" customFormat="1" ht="17.1" customHeight="1" spans="1:17">
      <c r="A16" s="3" t="s">
        <v>59</v>
      </c>
      <c r="B16" s="3" t="s">
        <v>60</v>
      </c>
      <c r="C16" s="3" t="s">
        <v>39</v>
      </c>
      <c r="D16" s="3">
        <v>10.6801</v>
      </c>
      <c r="E16" s="3">
        <v>13.687</v>
      </c>
      <c r="F16" s="3">
        <v>23.3419</v>
      </c>
      <c r="G16" s="3">
        <v>32.9859</v>
      </c>
      <c r="H16" s="132" t="str">
        <f>IF(ISERROR(VLOOKUP(C16,'周期表（不要动）'!A:B,2,FALSE)),"",VLOOKUP(C16,'周期表（不要动）'!A:B,2,FALSE))</f>
        <v/>
      </c>
      <c r="I16" s="146">
        <f>IF(D16&gt;0,IF(E16&gt;0,IF(F16&gt;0,IF(G16&gt;0,0,1),1),1),1)</f>
        <v>0</v>
      </c>
      <c r="J16" s="147" t="str">
        <f>VLOOKUP(B16,小熊定理判定!A:D,2,FALSE)</f>
        <v>0</v>
      </c>
      <c r="K16" s="147" t="str">
        <f>VLOOKUP(B16,小熊定理判定!A:D,3,FALSE)</f>
        <v>0</v>
      </c>
      <c r="L16" s="147" t="str">
        <f>VLOOKUP(B16,小熊定理判定!A:D,4,FALSE)</f>
        <v>0</v>
      </c>
      <c r="M16" s="148">
        <f ca="1">IF(ISNUMBER(OFFSET(指定日期分位点!$A$1,MATCH($B16,指定日期分位点!$C$2:$C$5000,0),MATCH(M$4,指定日期分位点!$B$1:$M$1,0))),OFFSET(指定日期分位点!$A$1,MATCH($B16,指定日期分位点!$C$2:$C$4000,0),MATCH(M$4,指定日期分位点!$B$1:$M$1,0)),"")/100</f>
        <v>0.191</v>
      </c>
      <c r="N16" s="148">
        <f ca="1">IF(ISNUMBER(OFFSET(指定日期分位点!$A$1,MATCH($B16,指定日期分位点!$C$2:$C$5000,0),MATCH(N$4,指定日期分位点!$B$1:$M$1,0))),OFFSET(指定日期分位点!$A$1,MATCH($B16,指定日期分位点!$C$2:$C$4000,0),MATCH(N$4,指定日期分位点!$B$1:$M$1,0)),"")/100</f>
        <v>0.0331</v>
      </c>
      <c r="O16" s="149"/>
      <c r="P16" s="149"/>
      <c r="Q16" s="149"/>
    </row>
    <row r="17" s="119" customFormat="1" ht="17.1" customHeight="1" spans="1:17">
      <c r="A17" s="3" t="s">
        <v>61</v>
      </c>
      <c r="B17" s="3" t="s">
        <v>62</v>
      </c>
      <c r="C17" s="3" t="s">
        <v>63</v>
      </c>
      <c r="D17" s="3">
        <v>15.406</v>
      </c>
      <c r="E17" s="3">
        <v>9.9837</v>
      </c>
      <c r="F17" s="3">
        <v>18.0149</v>
      </c>
      <c r="G17" s="3">
        <v>6.0151</v>
      </c>
      <c r="H17" s="131" t="str">
        <f>IF(ISERROR(VLOOKUP(C17,'周期表（不要动）'!A:B,2,FALSE)),"",VLOOKUP(C17,'周期表（不要动）'!A:B,2,FALSE))</f>
        <v/>
      </c>
      <c r="I17" s="146">
        <f>IF(D17&gt;0,IF(E17&gt;0,IF(F17&gt;0,IF(G17&gt;0,0,1),1),1),1)</f>
        <v>0</v>
      </c>
      <c r="J17" s="147" t="str">
        <f>VLOOKUP(B17,小熊定理判定!A:D,2,FALSE)</f>
        <v>0</v>
      </c>
      <c r="K17" s="147" t="str">
        <f>VLOOKUP(B17,小熊定理判定!A:D,3,FALSE)</f>
        <v>0</v>
      </c>
      <c r="L17" s="147" t="str">
        <f>VLOOKUP(B17,小熊定理判定!A:D,4,FALSE)</f>
        <v>0</v>
      </c>
      <c r="M17" s="148">
        <f ca="1">IF(ISNUMBER(OFFSET(指定日期分位点!$A$1,MATCH($B17,指定日期分位点!$C$2:$C$5000,0),MATCH(M$4,指定日期分位点!$B$1:$M$1,0))),OFFSET(指定日期分位点!$A$1,MATCH($B17,指定日期分位点!$C$2:$C$4000,0),MATCH(M$4,指定日期分位点!$B$1:$M$1,0)),"")/100</f>
        <v>0.1925</v>
      </c>
      <c r="N17" s="148">
        <f ca="1">IF(ISNUMBER(OFFSET(指定日期分位点!$A$1,MATCH($B17,指定日期分位点!$C$2:$C$5000,0),MATCH(N$4,指定日期分位点!$B$1:$M$1,0))),OFFSET(指定日期分位点!$A$1,MATCH($B17,指定日期分位点!$C$2:$C$4000,0),MATCH(N$4,指定日期分位点!$B$1:$M$1,0)),"")/100</f>
        <v>0.0356</v>
      </c>
      <c r="O17" s="149"/>
      <c r="P17" s="149"/>
      <c r="Q17" s="149"/>
    </row>
    <row r="18" s="119" customFormat="1" ht="17.1" hidden="1" customHeight="1" spans="1:15">
      <c r="A18" s="3" t="s">
        <v>64</v>
      </c>
      <c r="B18" s="3" t="s">
        <v>65</v>
      </c>
      <c r="C18" s="3" t="s">
        <v>66</v>
      </c>
      <c r="D18" s="3">
        <v>29.6364</v>
      </c>
      <c r="E18" s="3">
        <v>29.869</v>
      </c>
      <c r="F18" s="3">
        <v>30.2332</v>
      </c>
      <c r="G18" s="3">
        <v>25.1366</v>
      </c>
      <c r="H18" s="132" t="str">
        <f>IF(ISERROR(VLOOKUP(C18,'周期表（不要动）'!A:B,2,FALSE)),"",VLOOKUP(C18,'周期表（不要动）'!A:B,2,FALSE))</f>
        <v/>
      </c>
      <c r="I18" s="146">
        <f>IF(D18&gt;0,IF(E18&gt;0,IF(F18&gt;0,IF(G18&gt;0,0,1),1),1),1)</f>
        <v>0</v>
      </c>
      <c r="J18" s="147" t="str">
        <f>VLOOKUP(B18,小熊定理判定!A:D,2,FALSE)</f>
        <v>0</v>
      </c>
      <c r="K18" s="147" t="str">
        <f>VLOOKUP(B18,小熊定理判定!A:D,3,FALSE)</f>
        <v>0</v>
      </c>
      <c r="L18" s="147" t="str">
        <f>VLOOKUP(B18,小熊定理判定!A:D,4,FALSE)</f>
        <v>0</v>
      </c>
      <c r="M18" s="148">
        <f ca="1">IF(ISNUMBER(OFFSET(指定日期分位点!$A$1,MATCH($B18,指定日期分位点!$C$2:$C$5000,0),MATCH(M$4,指定日期分位点!$B$1:$M$1,0))),OFFSET(指定日期分位点!$A$1,MATCH($B18,指定日期分位点!$C$2:$C$4000,0),MATCH(M$4,指定日期分位点!$B$1:$M$1,0)),"")/100</f>
        <v>0.853</v>
      </c>
      <c r="N18" s="148">
        <f ca="1">IF(ISNUMBER(OFFSET(指定日期分位点!$A$1,MATCH($B18,指定日期分位点!$C$2:$C$5000,0),MATCH(N$4,指定日期分位点!$B$1:$M$1,0))),OFFSET(指定日期分位点!$A$1,MATCH($B18,指定日期分位点!$C$2:$C$4000,0),MATCH(N$4,指定日期分位点!$B$1:$M$1,0)),"")/100</f>
        <v>0.1994</v>
      </c>
      <c r="O18" s="25"/>
    </row>
    <row r="19" s="119" customFormat="1" ht="17.1" customHeight="1" spans="1:17">
      <c r="A19" s="3" t="s">
        <v>67</v>
      </c>
      <c r="B19" s="3" t="s">
        <v>68</v>
      </c>
      <c r="C19" s="3" t="s">
        <v>69</v>
      </c>
      <c r="D19" s="3">
        <v>0.6299</v>
      </c>
      <c r="E19" s="3">
        <v>21.2967</v>
      </c>
      <c r="F19" s="3">
        <v>1.5284</v>
      </c>
      <c r="G19" s="3">
        <v>22.4533</v>
      </c>
      <c r="H19" s="132" t="str">
        <f>IF(ISERROR(VLOOKUP(C19,'周期表（不要动）'!A:B,2,FALSE)),"",VLOOKUP(C19,'周期表（不要动）'!A:B,2,FALSE))</f>
        <v/>
      </c>
      <c r="I19" s="146">
        <f>IF(D19&gt;0,IF(E19&gt;0,IF(F19&gt;0,IF(G19&gt;0,0,1),1),1),1)</f>
        <v>0</v>
      </c>
      <c r="J19" s="147" t="str">
        <f>VLOOKUP(B19,小熊定理判定!A:D,2,FALSE)</f>
        <v>0</v>
      </c>
      <c r="K19" s="147" t="str">
        <f>VLOOKUP(B19,小熊定理判定!A:D,3,FALSE)</f>
        <v>0</v>
      </c>
      <c r="L19" s="147" t="str">
        <f>VLOOKUP(B19,小熊定理判定!A:D,4,FALSE)</f>
        <v>0</v>
      </c>
      <c r="M19" s="148">
        <f ca="1">IF(ISNUMBER(OFFSET(指定日期分位点!$A$1,MATCH($B19,指定日期分位点!$C$2:$C$5000,0),MATCH(M$4,指定日期分位点!$B$1:$M$1,0))),OFFSET(指定日期分位点!$A$1,MATCH($B19,指定日期分位点!$C$2:$C$4000,0),MATCH(M$4,指定日期分位点!$B$1:$M$1,0)),"")/100</f>
        <v>0.2099</v>
      </c>
      <c r="N19" s="148">
        <f ca="1">IF(ISNUMBER(OFFSET(指定日期分位点!$A$1,MATCH($B19,指定日期分位点!$C$2:$C$5000,0),MATCH(N$4,指定日期分位点!$B$1:$M$1,0))),OFFSET(指定日期分位点!$A$1,MATCH($B19,指定日期分位点!$C$2:$C$4000,0),MATCH(N$4,指定日期分位点!$B$1:$M$1,0)),"")/100</f>
        <v>0.043</v>
      </c>
      <c r="O19" s="149"/>
      <c r="P19" s="149"/>
      <c r="Q19" s="149"/>
    </row>
    <row r="20" s="119" customFormat="1" ht="17.1" customHeight="1" spans="1:17">
      <c r="A20" s="3" t="s">
        <v>70</v>
      </c>
      <c r="B20" s="3" t="s">
        <v>71</v>
      </c>
      <c r="C20" s="3" t="s">
        <v>72</v>
      </c>
      <c r="D20" s="3">
        <v>7.2511</v>
      </c>
      <c r="E20" s="3">
        <v>38.1489</v>
      </c>
      <c r="F20" s="3">
        <v>23.4851</v>
      </c>
      <c r="G20" s="3">
        <v>33.5516</v>
      </c>
      <c r="H20" s="132" t="str">
        <f>IF(ISERROR(VLOOKUP(C20,'周期表（不要动）'!A:B,2,FALSE)),"",VLOOKUP(C20,'周期表（不要动）'!A:B,2,FALSE))</f>
        <v/>
      </c>
      <c r="I20" s="146">
        <f>IF(D20&gt;0,IF(E20&gt;0,IF(F20&gt;0,IF(G20&gt;0,0,1),1),1),1)</f>
        <v>0</v>
      </c>
      <c r="J20" s="147" t="str">
        <f>VLOOKUP(B20,小熊定理判定!A:D,2,FALSE)</f>
        <v>0</v>
      </c>
      <c r="K20" s="147" t="str">
        <f>VLOOKUP(B20,小熊定理判定!A:D,3,FALSE)</f>
        <v>0</v>
      </c>
      <c r="L20" s="147" t="str">
        <f>VLOOKUP(B20,小熊定理判定!A:D,4,FALSE)</f>
        <v>0</v>
      </c>
      <c r="M20" s="148">
        <f ca="1">IF(ISNUMBER(OFFSET(指定日期分位点!$A$1,MATCH($B20,指定日期分位点!$C$2:$C$5000,0),MATCH(M$4,指定日期分位点!$B$1:$M$1,0))),OFFSET(指定日期分位点!$A$1,MATCH($B20,指定日期分位点!$C$2:$C$4000,0),MATCH(M$4,指定日期分位点!$B$1:$M$1,0)),"")/100</f>
        <v>0.2138</v>
      </c>
      <c r="N20" s="148">
        <f ca="1">IF(ISNUMBER(OFFSET(指定日期分位点!$A$1,MATCH($B20,指定日期分位点!$C$2:$C$5000,0),MATCH(N$4,指定日期分位点!$B$1:$M$1,0))),OFFSET(指定日期分位点!$A$1,MATCH($B20,指定日期分位点!$C$2:$C$4000,0),MATCH(N$4,指定日期分位点!$B$1:$M$1,0)),"")/100</f>
        <v>0.0459</v>
      </c>
      <c r="O20" s="149"/>
      <c r="P20" s="149"/>
      <c r="Q20" s="149"/>
    </row>
    <row r="21" s="119" customFormat="1" ht="17.1" hidden="1" customHeight="1" spans="1:17">
      <c r="A21" s="3" t="s">
        <v>73</v>
      </c>
      <c r="B21" s="3" t="s">
        <v>74</v>
      </c>
      <c r="C21" s="3" t="s">
        <v>75</v>
      </c>
      <c r="D21" s="3">
        <v>14.993</v>
      </c>
      <c r="E21" s="3">
        <v>-3.3234</v>
      </c>
      <c r="F21" s="3">
        <v>7.8615</v>
      </c>
      <c r="G21" s="3">
        <v>13.78</v>
      </c>
      <c r="H21" s="132" t="str">
        <f>IF(ISERROR(VLOOKUP(C21,'周期表（不要动）'!A:B,2,FALSE)),"",VLOOKUP(C21,'周期表（不要动）'!A:B,2,FALSE))</f>
        <v/>
      </c>
      <c r="I21" s="146">
        <f>IF(D21&gt;0,IF(E21&gt;0,IF(F21&gt;0,IF(G21&gt;0,0,1),1),1),1)</f>
        <v>1</v>
      </c>
      <c r="J21" s="147" t="e">
        <f>VLOOKUP(B21,小熊定理判定!A:D,2,FALSE)</f>
        <v>#N/A</v>
      </c>
      <c r="K21" s="147" t="e">
        <f>VLOOKUP(B21,小熊定理判定!A:D,3,FALSE)</f>
        <v>#N/A</v>
      </c>
      <c r="L21" s="147" t="e">
        <f>VLOOKUP(B21,小熊定理判定!A:D,4,FALSE)</f>
        <v>#N/A</v>
      </c>
      <c r="M21" s="148">
        <f ca="1">IF(ISNUMBER(OFFSET(指定日期分位点!$A$1,MATCH($B21,指定日期分位点!$C$2:$C$5000,0),MATCH(M$4,指定日期分位点!$B$1:$M$1,0))),OFFSET(指定日期分位点!$A$1,MATCH($B21,指定日期分位点!$C$2:$C$4000,0),MATCH(M$4,指定日期分位点!$B$1:$M$1,0)),"")/100</f>
        <v>0.2176</v>
      </c>
      <c r="N21" s="148">
        <f ca="1">IF(ISNUMBER(OFFSET(指定日期分位点!$A$1,MATCH($B21,指定日期分位点!$C$2:$C$5000,0),MATCH(N$4,指定日期分位点!$B$1:$M$1,0))),OFFSET(指定日期分位点!$A$1,MATCH($B21,指定日期分位点!$C$2:$C$4000,0),MATCH(N$4,指定日期分位点!$B$1:$M$1,0)),"")/100</f>
        <v>0.0708</v>
      </c>
      <c r="O21" s="25"/>
      <c r="P21" s="25"/>
      <c r="Q21" s="25"/>
    </row>
    <row r="22" s="119" customFormat="1" ht="17.1" customHeight="1" spans="1:17">
      <c r="A22" s="3" t="s">
        <v>76</v>
      </c>
      <c r="B22" s="3" t="s">
        <v>77</v>
      </c>
      <c r="C22" s="3" t="s">
        <v>78</v>
      </c>
      <c r="D22" s="3">
        <v>4.2851</v>
      </c>
      <c r="E22" s="3">
        <v>5.8068</v>
      </c>
      <c r="F22" s="3">
        <v>7.3143</v>
      </c>
      <c r="G22" s="3">
        <v>0.8463</v>
      </c>
      <c r="H22" s="132" t="str">
        <f>IF(ISERROR(VLOOKUP(C22,'周期表（不要动）'!A:B,2,FALSE)),"",VLOOKUP(C22,'周期表（不要动）'!A:B,2,FALSE))</f>
        <v/>
      </c>
      <c r="I22" s="146">
        <f>IF(D22&gt;0,IF(E22&gt;0,IF(F22&gt;0,IF(G22&gt;0,0,1),1),1),1)</f>
        <v>0</v>
      </c>
      <c r="J22" s="147" t="str">
        <f>VLOOKUP(B22,小熊定理判定!A:D,2,FALSE)</f>
        <v>0</v>
      </c>
      <c r="K22" s="147" t="str">
        <f>VLOOKUP(B22,小熊定理判定!A:D,3,FALSE)</f>
        <v>0</v>
      </c>
      <c r="L22" s="147" t="str">
        <f>VLOOKUP(B22,小熊定理判定!A:D,4,FALSE)</f>
        <v>0</v>
      </c>
      <c r="M22" s="148">
        <f ca="1">IF(ISNUMBER(OFFSET(指定日期分位点!$A$1,MATCH($B22,指定日期分位点!$C$2:$C$5000,0),MATCH(M$4,指定日期分位点!$B$1:$M$1,0))),OFFSET(指定日期分位点!$A$1,MATCH($B22,指定日期分位点!$C$2:$C$4000,0),MATCH(M$4,指定日期分位点!$B$1:$M$1,0)),"")/100</f>
        <v>0.2197</v>
      </c>
      <c r="N22" s="148">
        <f ca="1">IF(ISNUMBER(OFFSET(指定日期分位点!$A$1,MATCH($B22,指定日期分位点!$C$2:$C$5000,0),MATCH(N$4,指定日期分位点!$B$1:$M$1,0))),OFFSET(指定日期分位点!$A$1,MATCH($B22,指定日期分位点!$C$2:$C$4000,0),MATCH(N$4,指定日期分位点!$B$1:$M$1,0)),"")/100</f>
        <v>0.05</v>
      </c>
      <c r="O22" s="149"/>
      <c r="P22" s="149"/>
      <c r="Q22" s="149"/>
    </row>
    <row r="23" s="119" customFormat="1" ht="17.1" hidden="1" customHeight="1" spans="1:15">
      <c r="A23" s="3" t="s">
        <v>79</v>
      </c>
      <c r="B23" s="3" t="s">
        <v>80</v>
      </c>
      <c r="C23" s="3" t="s">
        <v>66</v>
      </c>
      <c r="D23" s="3">
        <v>31.5001</v>
      </c>
      <c r="E23" s="3">
        <v>31.0252</v>
      </c>
      <c r="F23" s="3">
        <v>47.9252</v>
      </c>
      <c r="G23" s="3">
        <v>52.0503</v>
      </c>
      <c r="H23" s="131" t="str">
        <f ca="1">IF(ISERROR(VLOOKUP(C23,'周期表（不要动）'!A:B,2,FALSE)),"",VLOOKUP(C23,'周期表（不要动）'!A:B,2,FALSE))</f>
        <v/>
      </c>
      <c r="I23" s="146">
        <f>IF(D23&gt;0,IF(E23&gt;0,IF(F23&gt;0,IF(G23&gt;0,0,1),1),1),1)</f>
        <v>0</v>
      </c>
      <c r="J23" s="147" t="str">
        <f ca="1">VLOOKUP(B23,小熊定理判定!A:D,2,FALSE)</f>
        <v>0</v>
      </c>
      <c r="K23" s="147" t="str">
        <f ca="1">VLOOKUP(B23,小熊定理判定!A:D,3,FALSE)</f>
        <v>0</v>
      </c>
      <c r="L23" s="147" t="str">
        <f ca="1">VLOOKUP(B23,小熊定理判定!A:D,4,FALSE)</f>
        <v>0</v>
      </c>
      <c r="M23" s="148">
        <f ca="1">IF(ISNUMBER(OFFSET(指定日期分位点!$A$1,MATCH($B23,指定日期分位点!$C$2:$C$5000,0),MATCH(M$4,指定日期分位点!$B$1:$M$1,0))),OFFSET(指定日期分位点!$A$1,MATCH($B23,指定日期分位点!$C$2:$C$4000,0),MATCH(M$4,指定日期分位点!$B$1:$M$1,0)),"")/100</f>
        <v>0.6711</v>
      </c>
      <c r="N23" s="148">
        <f ca="1">IF(ISNUMBER(OFFSET(指定日期分位点!$A$1,MATCH($B23,指定日期分位点!$C$2:$C$5000,0),MATCH(N$4,指定日期分位点!$B$1:$M$1,0))),OFFSET(指定日期分位点!$A$1,MATCH($B23,指定日期分位点!$C$2:$C$4000,0),MATCH(N$4,指定日期分位点!$B$1:$M$1,0)),"")/100</f>
        <v>0.0755</v>
      </c>
      <c r="O23" s="25"/>
    </row>
    <row r="24" s="119" customFormat="1" ht="17.1" hidden="1" customHeight="1" spans="1:15">
      <c r="A24" s="3" t="s">
        <v>81</v>
      </c>
      <c r="B24" s="3" t="s">
        <v>82</v>
      </c>
      <c r="C24" s="3" t="s">
        <v>83</v>
      </c>
      <c r="D24" s="3">
        <v>38.642</v>
      </c>
      <c r="E24" s="3">
        <v>36.4593</v>
      </c>
      <c r="F24" s="3">
        <v>40.5459</v>
      </c>
      <c r="G24" s="3">
        <v>21.745</v>
      </c>
      <c r="H24" s="131" t="str">
        <f>IF(ISERROR(VLOOKUP(C24,'周期表（不要动）'!A:B,2,FALSE)),"",VLOOKUP(C24,'周期表（不要动）'!A:B,2,FALSE))</f>
        <v>是</v>
      </c>
      <c r="I24" s="146">
        <f>IF(D24&gt;0,IF(E24&gt;0,IF(F24&gt;0,IF(G24&gt;0,0,1),1),1),1)</f>
        <v>0</v>
      </c>
      <c r="J24" s="147" t="e">
        <f>VLOOKUP(B24,小熊定理判定!A:D,2,FALSE)</f>
        <v>#N/A</v>
      </c>
      <c r="K24" s="147" t="e">
        <f>VLOOKUP(B24,小熊定理判定!A:D,3,FALSE)</f>
        <v>#N/A</v>
      </c>
      <c r="L24" s="147" t="e">
        <f>VLOOKUP(B24,小熊定理判定!A:D,4,FALSE)</f>
        <v>#N/A</v>
      </c>
      <c r="M24" s="148">
        <f ca="1">IF(ISNUMBER(OFFSET(指定日期分位点!$A$1,MATCH($B24,指定日期分位点!$C$2:$C$5000,0),MATCH(M$4,指定日期分位点!$B$1:$M$1,0))),OFFSET(指定日期分位点!$A$1,MATCH($B24,指定日期分位点!$C$2:$C$4000,0),MATCH(M$4,指定日期分位点!$B$1:$M$1,0)),"")/100</f>
        <v>0.2669</v>
      </c>
      <c r="N24" s="148">
        <f ca="1">IF(ISNUMBER(OFFSET(指定日期分位点!$A$1,MATCH($B24,指定日期分位点!$C$2:$C$5000,0),MATCH(N$4,指定日期分位点!$B$1:$M$1,0))),OFFSET(指定日期分位点!$A$1,MATCH($B24,指定日期分位点!$C$2:$C$4000,0),MATCH(N$4,指定日期分位点!$B$1:$M$1,0)),"")/100</f>
        <v>0.0498</v>
      </c>
      <c r="O24" s="25"/>
    </row>
    <row r="25" s="119" customFormat="1" ht="17.1" customHeight="1" spans="1:17">
      <c r="A25" s="3" t="s">
        <v>84</v>
      </c>
      <c r="B25" s="3" t="s">
        <v>85</v>
      </c>
      <c r="C25" s="3" t="s">
        <v>69</v>
      </c>
      <c r="D25" s="3">
        <v>30.1983</v>
      </c>
      <c r="E25" s="3">
        <v>26.5505</v>
      </c>
      <c r="F25" s="3">
        <v>25.7421</v>
      </c>
      <c r="G25" s="3">
        <v>28.4452</v>
      </c>
      <c r="H25" s="131" t="str">
        <f>IF(ISERROR(VLOOKUP(C25,'周期表（不要动）'!A:B,2,FALSE)),"",VLOOKUP(C25,'周期表（不要动）'!A:B,2,FALSE))</f>
        <v/>
      </c>
      <c r="I25" s="146">
        <f>IF(D25&gt;0,IF(E25&gt;0,IF(F25&gt;0,IF(G25&gt;0,0,1),1),1),1)</f>
        <v>0</v>
      </c>
      <c r="J25" s="147" t="str">
        <f>VLOOKUP(B25,小熊定理判定!A:D,2,FALSE)</f>
        <v>0</v>
      </c>
      <c r="K25" s="147" t="str">
        <f>VLOOKUP(B25,小熊定理判定!A:D,3,FALSE)</f>
        <v>0</v>
      </c>
      <c r="L25" s="147" t="str">
        <f>VLOOKUP(B25,小熊定理判定!A:D,4,FALSE)</f>
        <v>0</v>
      </c>
      <c r="M25" s="148">
        <f ca="1">IF(ISNUMBER(OFFSET(指定日期分位点!$A$1,MATCH($B25,指定日期分位点!$C$2:$C$5000,0),MATCH(M$4,指定日期分位点!$B$1:$M$1,0))),OFFSET(指定日期分位点!$A$1,MATCH($B25,指定日期分位点!$C$2:$C$4000,0),MATCH(M$4,指定日期分位点!$B$1:$M$1,0)),"")/100</f>
        <v>0.2773</v>
      </c>
      <c r="N25" s="148">
        <f ca="1">IF(ISNUMBER(OFFSET(指定日期分位点!$A$1,MATCH($B25,指定日期分位点!$C$2:$C$5000,0),MATCH(N$4,指定日期分位点!$B$1:$M$1,0))),OFFSET(指定日期分位点!$A$1,MATCH($B25,指定日期分位点!$C$2:$C$4000,0),MATCH(N$4,指定日期分位点!$B$1:$M$1,0)),"")/100</f>
        <v>0.0546</v>
      </c>
      <c r="O25" s="149"/>
      <c r="P25" s="149"/>
      <c r="Q25" s="149"/>
    </row>
    <row r="26" s="119" customFormat="1" ht="17.1" customHeight="1" spans="1:17">
      <c r="A26" s="3" t="s">
        <v>86</v>
      </c>
      <c r="B26" s="3" t="s">
        <v>87</v>
      </c>
      <c r="C26" s="3" t="s">
        <v>88</v>
      </c>
      <c r="D26" s="3">
        <v>12.607</v>
      </c>
      <c r="E26" s="3">
        <v>16.9199</v>
      </c>
      <c r="F26" s="3">
        <v>11.547</v>
      </c>
      <c r="G26" s="3">
        <v>7.3133</v>
      </c>
      <c r="H26" s="132" t="str">
        <f>IF(ISERROR(VLOOKUP(C26,'周期表（不要动）'!A:B,2,FALSE)),"",VLOOKUP(C26,'周期表（不要动）'!A:B,2,FALSE))</f>
        <v/>
      </c>
      <c r="I26" s="146">
        <f>IF(D26&gt;0,IF(E26&gt;0,IF(F26&gt;0,IF(G26&gt;0,0,1),1),1),1)</f>
        <v>0</v>
      </c>
      <c r="J26" s="147" t="str">
        <f>VLOOKUP(B26,小熊定理判定!A:D,2,FALSE)</f>
        <v>0</v>
      </c>
      <c r="K26" s="147" t="str">
        <f>VLOOKUP(B26,小熊定理判定!A:D,3,FALSE)</f>
        <v>0</v>
      </c>
      <c r="L26" s="147" t="str">
        <f>VLOOKUP(B26,小熊定理判定!A:D,4,FALSE)</f>
        <v>0</v>
      </c>
      <c r="M26" s="148">
        <f ca="1">IF(ISNUMBER(OFFSET(指定日期分位点!$A$1,MATCH($B26,指定日期分位点!$C$2:$C$5000,0),MATCH(M$4,指定日期分位点!$B$1:$M$1,0))),OFFSET(指定日期分位点!$A$1,MATCH($B26,指定日期分位点!$C$2:$C$4000,0),MATCH(M$4,指定日期分位点!$B$1:$M$1,0)),"")/100</f>
        <v>0.2803</v>
      </c>
      <c r="N26" s="148">
        <f ca="1">IF(ISNUMBER(OFFSET(指定日期分位点!$A$1,MATCH($B26,指定日期分位点!$C$2:$C$5000,0),MATCH(N$4,指定日期分位点!$B$1:$M$1,0))),OFFSET(指定日期分位点!$A$1,MATCH($B26,指定日期分位点!$C$2:$C$4000,0),MATCH(N$4,指定日期分位点!$B$1:$M$1,0)),"")/100</f>
        <v>0.0759</v>
      </c>
      <c r="O26" s="149"/>
      <c r="P26" s="150"/>
      <c r="Q26" s="150"/>
    </row>
    <row r="27" s="119" customFormat="1" ht="17.1" customHeight="1" spans="1:17">
      <c r="A27" s="3" t="s">
        <v>89</v>
      </c>
      <c r="B27" s="3" t="s">
        <v>90</v>
      </c>
      <c r="C27" s="3" t="s">
        <v>72</v>
      </c>
      <c r="D27" s="3">
        <v>17.8572</v>
      </c>
      <c r="E27" s="3">
        <v>18.9275</v>
      </c>
      <c r="F27" s="3">
        <v>8.539</v>
      </c>
      <c r="G27" s="3">
        <v>20.6359</v>
      </c>
      <c r="H27" s="132" t="str">
        <f>IF(ISERROR(VLOOKUP(C27,'周期表（不要动）'!A:B,2,FALSE)),"",VLOOKUP(C27,'周期表（不要动）'!A:B,2,FALSE))</f>
        <v/>
      </c>
      <c r="I27" s="146">
        <f>IF(D27&gt;0,IF(E27&gt;0,IF(F27&gt;0,IF(G27&gt;0,0,1),1),1),1)</f>
        <v>0</v>
      </c>
      <c r="J27" s="147" t="str">
        <f>VLOOKUP(B27,小熊定理判定!A:D,2,FALSE)</f>
        <v>0</v>
      </c>
      <c r="K27" s="147" t="str">
        <f>VLOOKUP(B27,小熊定理判定!A:D,3,FALSE)</f>
        <v>0</v>
      </c>
      <c r="L27" s="147" t="str">
        <f>VLOOKUP(B27,小熊定理判定!A:D,4,FALSE)</f>
        <v>0</v>
      </c>
      <c r="M27" s="148">
        <f ca="1">IF(ISNUMBER(OFFSET(指定日期分位点!$A$1,MATCH($B27,指定日期分位点!$C$2:$C$5000,0),MATCH(M$4,指定日期分位点!$B$1:$M$1,0))),OFFSET(指定日期分位点!$A$1,MATCH($B27,指定日期分位点!$C$2:$C$4000,0),MATCH(M$4,指定日期分位点!$B$1:$M$1,0)),"")/100</f>
        <v>0.2892</v>
      </c>
      <c r="N27" s="148">
        <f ca="1">IF(ISNUMBER(OFFSET(指定日期分位点!$A$1,MATCH($B27,指定日期分位点!$C$2:$C$5000,0),MATCH(N$4,指定日期分位点!$B$1:$M$1,0))),OFFSET(指定日期分位点!$A$1,MATCH($B27,指定日期分位点!$C$2:$C$4000,0),MATCH(N$4,指定日期分位点!$B$1:$M$1,0)),"")/100</f>
        <v>0.0837</v>
      </c>
      <c r="O27" s="149"/>
      <c r="P27" s="149"/>
      <c r="Q27" s="149"/>
    </row>
    <row r="28" s="119" customFormat="1" ht="17.1" customHeight="1" spans="1:17">
      <c r="A28" s="3" t="s">
        <v>91</v>
      </c>
      <c r="B28" s="3" t="s">
        <v>92</v>
      </c>
      <c r="C28" s="3" t="s">
        <v>69</v>
      </c>
      <c r="D28" s="3">
        <v>21.3067</v>
      </c>
      <c r="E28" s="3">
        <v>24.6518</v>
      </c>
      <c r="F28" s="3">
        <v>38.6936</v>
      </c>
      <c r="G28" s="3">
        <v>47.5731</v>
      </c>
      <c r="H28" s="131" t="str">
        <f>IF(ISERROR(VLOOKUP(C28,'周期表（不要动）'!A:B,2,FALSE)),"",VLOOKUP(C28,'周期表（不要动）'!A:B,2,FALSE))</f>
        <v/>
      </c>
      <c r="I28" s="146">
        <f>IF(D28&gt;0,IF(E28&gt;0,IF(F28&gt;0,IF(G28&gt;0,0,1),1),1),1)</f>
        <v>0</v>
      </c>
      <c r="J28" s="147" t="str">
        <f>VLOOKUP(B28,小熊定理判定!A:D,2,FALSE)</f>
        <v>0</v>
      </c>
      <c r="K28" s="147" t="str">
        <f>VLOOKUP(B28,小熊定理判定!A:D,3,FALSE)</f>
        <v>0</v>
      </c>
      <c r="L28" s="147" t="str">
        <f>VLOOKUP(B28,小熊定理判定!A:D,4,FALSE)</f>
        <v>0</v>
      </c>
      <c r="M28" s="148">
        <f ca="1">IF(ISNUMBER(OFFSET(指定日期分位点!$A$1,MATCH($B28,指定日期分位点!$C$2:$C$5000,0),MATCH(M$4,指定日期分位点!$B$1:$M$1,0))),OFFSET(指定日期分位点!$A$1,MATCH($B28,指定日期分位点!$C$2:$C$4000,0),MATCH(M$4,指定日期分位点!$B$1:$M$1,0)),"")/100</f>
        <v>0.3044</v>
      </c>
      <c r="N28" s="148">
        <f ca="1">IF(ISNUMBER(OFFSET(指定日期分位点!$A$1,MATCH($B28,指定日期分位点!$C$2:$C$5000,0),MATCH(N$4,指定日期分位点!$B$1:$M$1,0))),OFFSET(指定日期分位点!$A$1,MATCH($B28,指定日期分位点!$C$2:$C$4000,0),MATCH(N$4,指定日期分位点!$B$1:$M$1,0)),"")/100</f>
        <v>0.0761</v>
      </c>
      <c r="O28" s="149"/>
      <c r="P28" s="150"/>
      <c r="Q28" s="150"/>
    </row>
    <row r="29" s="119" customFormat="1" ht="17.1" hidden="1" customHeight="1" spans="1:15">
      <c r="A29" s="3" t="s">
        <v>93</v>
      </c>
      <c r="B29" s="3" t="s">
        <v>94</v>
      </c>
      <c r="C29" s="3" t="s">
        <v>48</v>
      </c>
      <c r="D29" s="3">
        <v>21.0749</v>
      </c>
      <c r="E29" s="3">
        <v>28.3311</v>
      </c>
      <c r="F29" s="3">
        <v>20.5564</v>
      </c>
      <c r="G29" s="3">
        <v>41.6241</v>
      </c>
      <c r="H29" s="131" t="str">
        <f ca="1">IF(ISERROR(VLOOKUP(C29,'周期表（不要动）'!A:B,2,FALSE)),"",VLOOKUP(C29,'周期表（不要动）'!A:B,2,FALSE))</f>
        <v/>
      </c>
      <c r="I29" s="146">
        <f>IF(D29&gt;0,IF(E29&gt;0,IF(F29&gt;0,IF(G29&gt;0,0,1),1),1),1)</f>
        <v>0</v>
      </c>
      <c r="J29" s="147" t="str">
        <f ca="1">VLOOKUP(B29,小熊定理判定!A:D,2,FALSE)</f>
        <v>0</v>
      </c>
      <c r="K29" s="147" t="str">
        <f ca="1">VLOOKUP(B29,小熊定理判定!A:D,3,FALSE)</f>
        <v>0</v>
      </c>
      <c r="L29" s="147" t="str">
        <f ca="1">VLOOKUP(B29,小熊定理判定!A:D,4,FALSE)</f>
        <v>0</v>
      </c>
      <c r="M29" s="148">
        <f ca="1">IF(ISNUMBER(OFFSET(指定日期分位点!$A$1,MATCH($B29,指定日期分位点!$C$2:$C$5000,0),MATCH(M$4,指定日期分位点!$B$1:$M$1,0))),OFFSET(指定日期分位点!$A$1,MATCH($B29,指定日期分位点!$C$2:$C$4000,0),MATCH(M$4,指定日期分位点!$B$1:$M$1,0)),"")/100</f>
        <v>0.58</v>
      </c>
      <c r="N29" s="148">
        <f ca="1">IF(ISNUMBER(OFFSET(指定日期分位点!$A$1,MATCH($B29,指定日期分位点!$C$2:$C$5000,0),MATCH(N$4,指定日期分位点!$B$1:$M$1,0))),OFFSET(指定日期分位点!$A$1,MATCH($B29,指定日期分位点!$C$2:$C$4000,0),MATCH(N$4,指定日期分位点!$B$1:$M$1,0)),"")/100</f>
        <v>0.1222</v>
      </c>
      <c r="O29" s="25"/>
    </row>
    <row r="30" s="119" customFormat="1" ht="17.1" hidden="1" customHeight="1" spans="1:17">
      <c r="A30" s="3" t="s">
        <v>95</v>
      </c>
      <c r="B30" s="3" t="s">
        <v>96</v>
      </c>
      <c r="C30" s="3" t="s">
        <v>97</v>
      </c>
      <c r="D30" s="3">
        <v>22.1114</v>
      </c>
      <c r="E30" s="3">
        <v>31.0509</v>
      </c>
      <c r="F30" s="3">
        <v>45.1267</v>
      </c>
      <c r="G30" s="3">
        <v>53.3387</v>
      </c>
      <c r="H30" s="132" t="str">
        <f>IF(ISERROR(VLOOKUP(C30,'周期表（不要动）'!A:B,2,FALSE)),"",VLOOKUP(C30,'周期表（不要动）'!A:B,2,FALSE))</f>
        <v/>
      </c>
      <c r="I30" s="146">
        <f>IF(D30&gt;0,IF(E30&gt;0,IF(F30&gt;0,IF(G30&gt;0,0,1),1),1),1)</f>
        <v>0</v>
      </c>
      <c r="J30" s="147" t="str">
        <f>VLOOKUP(B30,小熊定理判定!A:D,2,FALSE)</f>
        <v>0</v>
      </c>
      <c r="K30" s="147" t="str">
        <f>VLOOKUP(B30,小熊定理判定!A:D,3,FALSE)</f>
        <v>0</v>
      </c>
      <c r="L30" s="147" t="str">
        <f>VLOOKUP(B30,小熊定理判定!A:D,4,FALSE)</f>
        <v>0</v>
      </c>
      <c r="M30" s="148">
        <f ca="1">IF(ISNUMBER(OFFSET(指定日期分位点!$A$1,MATCH($B30,指定日期分位点!$C$2:$C$5000,0),MATCH(M$4,指定日期分位点!$B$1:$M$1,0))),OFFSET(指定日期分位点!$A$1,MATCH($B30,指定日期分位点!$C$2:$C$4000,0),MATCH(M$4,指定日期分位点!$B$1:$M$1,0)),"")/100</f>
        <v>0.7098</v>
      </c>
      <c r="N30" s="148">
        <f ca="1">IF(ISNUMBER(OFFSET(指定日期分位点!$A$1,MATCH($B30,指定日期分位点!$C$2:$C$5000,0),MATCH(N$4,指定日期分位点!$B$1:$M$1,0))),OFFSET(指定日期分位点!$A$1,MATCH($B30,指定日期分位点!$C$2:$C$4000,0),MATCH(N$4,指定日期分位点!$B$1:$M$1,0)),"")/100</f>
        <v>0.1897</v>
      </c>
      <c r="O30" s="25"/>
      <c r="P30" s="25"/>
      <c r="Q30" s="25"/>
    </row>
    <row r="31" s="119" customFormat="1" ht="17.1" hidden="1" customHeight="1" spans="1:15">
      <c r="A31" s="3" t="s">
        <v>98</v>
      </c>
      <c r="B31" s="3" t="s">
        <v>99</v>
      </c>
      <c r="C31" s="3" t="s">
        <v>39</v>
      </c>
      <c r="D31" s="3">
        <v>36.009</v>
      </c>
      <c r="E31" s="3">
        <v>25.8916</v>
      </c>
      <c r="F31" s="3">
        <v>28.2622</v>
      </c>
      <c r="G31" s="3">
        <v>26.3927</v>
      </c>
      <c r="H31" s="131" t="str">
        <f ca="1">IF(ISERROR(VLOOKUP(C31,'周期表（不要动）'!A:B,2,FALSE)),"",VLOOKUP(C31,'周期表（不要动）'!A:B,2,FALSE))</f>
        <v/>
      </c>
      <c r="I31" s="146">
        <f>IF(D31&gt;0,IF(E31&gt;0,IF(F31&gt;0,IF(G31&gt;0,0,1),1),1),1)</f>
        <v>0</v>
      </c>
      <c r="J31" s="147" t="str">
        <f ca="1">VLOOKUP(B31,小熊定理判定!A:D,2,FALSE)</f>
        <v>0</v>
      </c>
      <c r="K31" s="147" t="str">
        <f ca="1">VLOOKUP(B31,小熊定理判定!A:D,3,FALSE)</f>
        <v>0</v>
      </c>
      <c r="L31" s="147" t="str">
        <f ca="1">VLOOKUP(B31,小熊定理判定!A:D,4,FALSE)</f>
        <v>0</v>
      </c>
      <c r="M31" s="148">
        <f ca="1">IF(ISNUMBER(OFFSET(指定日期分位点!$A$1,MATCH($B31,指定日期分位点!$C$2:$C$5000,0),MATCH(M$4,指定日期分位点!$B$1:$M$1,0))),OFFSET(指定日期分位点!$A$1,MATCH($B31,指定日期分位点!$C$2:$C$4000,0),MATCH(M$4,指定日期分位点!$B$1:$M$1,0)),"")/100</f>
        <v>0.887</v>
      </c>
      <c r="N31" s="148">
        <f ca="1">IF(ISNUMBER(OFFSET(指定日期分位点!$A$1,MATCH($B31,指定日期分位点!$C$2:$C$5000,0),MATCH(N$4,指定日期分位点!$B$1:$M$1,0))),OFFSET(指定日期分位点!$A$1,MATCH($B31,指定日期分位点!$C$2:$C$4000,0),MATCH(N$4,指定日期分位点!$B$1:$M$1,0)),"")/100</f>
        <v>0.1747</v>
      </c>
      <c r="O31" s="25"/>
    </row>
    <row r="32" s="119" customFormat="1" ht="17.1" customHeight="1" spans="1:17">
      <c r="A32" s="3" t="s">
        <v>100</v>
      </c>
      <c r="B32" s="3" t="s">
        <v>101</v>
      </c>
      <c r="C32" s="3" t="s">
        <v>78</v>
      </c>
      <c r="D32" s="3">
        <v>15.0209</v>
      </c>
      <c r="E32" s="3">
        <v>12.7103</v>
      </c>
      <c r="F32" s="3">
        <v>8.5418</v>
      </c>
      <c r="G32" s="3">
        <v>9.4839</v>
      </c>
      <c r="H32" s="132" t="str">
        <f>IF(ISERROR(VLOOKUP(C32,'周期表（不要动）'!A:B,2,FALSE)),"",VLOOKUP(C32,'周期表（不要动）'!A:B,2,FALSE))</f>
        <v/>
      </c>
      <c r="I32" s="146">
        <f>IF(D32&gt;0,IF(E32&gt;0,IF(F32&gt;0,IF(G32&gt;0,0,1),1),1),1)</f>
        <v>0</v>
      </c>
      <c r="J32" s="147" t="str">
        <f>VLOOKUP(B32,小熊定理判定!A:D,2,FALSE)</f>
        <v>0</v>
      </c>
      <c r="K32" s="147" t="str">
        <f>VLOOKUP(B32,小熊定理判定!A:D,3,FALSE)</f>
        <v>0</v>
      </c>
      <c r="L32" s="147" t="str">
        <f>VLOOKUP(B32,小熊定理判定!A:D,4,FALSE)</f>
        <v>0</v>
      </c>
      <c r="M32" s="148">
        <f ca="1">IF(ISNUMBER(OFFSET(指定日期分位点!$A$1,MATCH($B32,指定日期分位点!$C$2:$C$5000,0),MATCH(M$4,指定日期分位点!$B$1:$M$1,0))),OFFSET(指定日期分位点!$A$1,MATCH($B32,指定日期分位点!$C$2:$C$4000,0),MATCH(M$4,指定日期分位点!$B$1:$M$1,0)),"")/100</f>
        <v>0.3271</v>
      </c>
      <c r="N32" s="148">
        <f ca="1">IF(ISNUMBER(OFFSET(指定日期分位点!$A$1,MATCH($B32,指定日期分位点!$C$2:$C$5000,0),MATCH(N$4,指定日期分位点!$B$1:$M$1,0))),OFFSET(指定日期分位点!$A$1,MATCH($B32,指定日期分位点!$C$2:$C$4000,0),MATCH(N$4,指定日期分位点!$B$1:$M$1,0)),"")/100</f>
        <v>0.0714</v>
      </c>
      <c r="O32" s="149"/>
      <c r="P32" s="149"/>
      <c r="Q32" s="149"/>
    </row>
    <row r="33" s="119" customFormat="1" ht="17.1" customHeight="1" spans="1:17">
      <c r="A33" s="3" t="s">
        <v>102</v>
      </c>
      <c r="B33" s="3" t="s">
        <v>103</v>
      </c>
      <c r="C33" s="3" t="s">
        <v>69</v>
      </c>
      <c r="D33" s="3">
        <v>16.64</v>
      </c>
      <c r="E33" s="3">
        <v>26.4885</v>
      </c>
      <c r="F33" s="3">
        <v>23.1317</v>
      </c>
      <c r="G33" s="3">
        <v>30.0017</v>
      </c>
      <c r="H33" s="132" t="str">
        <f>IF(ISERROR(VLOOKUP(C33,'周期表（不要动）'!A:B,2,FALSE)),"",VLOOKUP(C33,'周期表（不要动）'!A:B,2,FALSE))</f>
        <v/>
      </c>
      <c r="I33" s="146">
        <f>IF(D33&gt;0,IF(E33&gt;0,IF(F33&gt;0,IF(G33&gt;0,0,1),1),1),1)</f>
        <v>0</v>
      </c>
      <c r="J33" s="147" t="str">
        <f>VLOOKUP(B33,小熊定理判定!A:D,2,FALSE)</f>
        <v>0</v>
      </c>
      <c r="K33" s="147" t="str">
        <f>VLOOKUP(B33,小熊定理判定!A:D,3,FALSE)</f>
        <v>0</v>
      </c>
      <c r="L33" s="147" t="str">
        <f>VLOOKUP(B33,小熊定理判定!A:D,4,FALSE)</f>
        <v>0</v>
      </c>
      <c r="M33" s="148">
        <f ca="1">IF(ISNUMBER(OFFSET(指定日期分位点!$A$1,MATCH($B33,指定日期分位点!$C$2:$C$5000,0),MATCH(M$4,指定日期分位点!$B$1:$M$1,0))),OFFSET(指定日期分位点!$A$1,MATCH($B33,指定日期分位点!$C$2:$C$4000,0),MATCH(M$4,指定日期分位点!$B$1:$M$1,0)),"")/100</f>
        <v>0.3327</v>
      </c>
      <c r="N33" s="148">
        <f ca="1">IF(ISNUMBER(OFFSET(指定日期分位点!$A$1,MATCH($B33,指定日期分位点!$C$2:$C$5000,0),MATCH(N$4,指定日期分位点!$B$1:$M$1,0))),OFFSET(指定日期分位点!$A$1,MATCH($B33,指定日期分位点!$C$2:$C$4000,0),MATCH(N$4,指定日期分位点!$B$1:$M$1,0)),"")/100</f>
        <v>0.1094</v>
      </c>
      <c r="O33" s="149"/>
      <c r="P33" s="149"/>
      <c r="Q33" s="149"/>
    </row>
    <row r="34" s="119" customFormat="1" ht="17.1" customHeight="1" spans="1:17">
      <c r="A34" s="3" t="s">
        <v>104</v>
      </c>
      <c r="B34" s="3" t="s">
        <v>105</v>
      </c>
      <c r="C34" s="3" t="s">
        <v>78</v>
      </c>
      <c r="D34" s="3">
        <v>11.2198</v>
      </c>
      <c r="E34" s="3">
        <v>22.755</v>
      </c>
      <c r="F34" s="3">
        <v>13.0396</v>
      </c>
      <c r="G34" s="3">
        <v>25.9145</v>
      </c>
      <c r="H34" s="131" t="str">
        <f>IF(ISERROR(VLOOKUP(C34,'周期表（不要动）'!A:B,2,FALSE)),"",VLOOKUP(C34,'周期表（不要动）'!A:B,2,FALSE))</f>
        <v/>
      </c>
      <c r="I34" s="146">
        <f>IF(D34&gt;0,IF(E34&gt;0,IF(F34&gt;0,IF(G34&gt;0,0,1),1),1),1)</f>
        <v>0</v>
      </c>
      <c r="J34" s="147" t="str">
        <f>VLOOKUP(B34,小熊定理判定!A:D,2,FALSE)</f>
        <v>0</v>
      </c>
      <c r="K34" s="147" t="str">
        <f>VLOOKUP(B34,小熊定理判定!A:D,3,FALSE)</f>
        <v>0</v>
      </c>
      <c r="L34" s="147" t="str">
        <f>VLOOKUP(B34,小熊定理判定!A:D,4,FALSE)</f>
        <v>0</v>
      </c>
      <c r="M34" s="148">
        <f ca="1">IF(ISNUMBER(OFFSET(指定日期分位点!$A$1,MATCH($B34,指定日期分位点!$C$2:$C$5000,0),MATCH(M$4,指定日期分位点!$B$1:$M$1,0))),OFFSET(指定日期分位点!$A$1,MATCH($B34,指定日期分位点!$C$2:$C$4000,0),MATCH(M$4,指定日期分位点!$B$1:$M$1,0)),"")/100</f>
        <v>0.3469</v>
      </c>
      <c r="N34" s="148">
        <f ca="1">IF(ISNUMBER(OFFSET(指定日期分位点!$A$1,MATCH($B34,指定日期分位点!$C$2:$C$5000,0),MATCH(N$4,指定日期分位点!$B$1:$M$1,0))),OFFSET(指定日期分位点!$A$1,MATCH($B34,指定日期分位点!$C$2:$C$4000,0),MATCH(N$4,指定日期分位点!$B$1:$M$1,0)),"")/100</f>
        <v>0.0948</v>
      </c>
      <c r="O34" s="149"/>
      <c r="P34" s="151"/>
      <c r="Q34" s="151"/>
    </row>
    <row r="35" s="119" customFormat="1" ht="17.1" hidden="1" customHeight="1" spans="1:17">
      <c r="A35" s="3" t="s">
        <v>106</v>
      </c>
      <c r="B35" s="3" t="s">
        <v>107</v>
      </c>
      <c r="C35" s="3" t="s">
        <v>108</v>
      </c>
      <c r="D35" s="3">
        <v>1.094</v>
      </c>
      <c r="E35" s="3">
        <v>4.0976</v>
      </c>
      <c r="F35" s="3">
        <v>27.7964</v>
      </c>
      <c r="G35" s="3">
        <v>0.7395</v>
      </c>
      <c r="H35" s="131" t="str">
        <f>IF(ISERROR(VLOOKUP(C35,'周期表（不要动）'!A:B,2,FALSE)),"",VLOOKUP(C35,'周期表（不要动）'!A:B,2,FALSE))</f>
        <v/>
      </c>
      <c r="I35" s="146">
        <f>IF(D35&gt;0,IF(E35&gt;0,IF(F35&gt;0,IF(G35&gt;0,0,1),1),1),1)</f>
        <v>0</v>
      </c>
      <c r="J35" s="147" t="str">
        <f>VLOOKUP(B35,小熊定理判定!A:D,2,FALSE)</f>
        <v>0</v>
      </c>
      <c r="K35" s="147" t="str">
        <f>VLOOKUP(B35,小熊定理判定!A:D,3,FALSE)</f>
        <v>0</v>
      </c>
      <c r="L35" s="147" t="str">
        <f>VLOOKUP(B35,小熊定理判定!A:D,4,FALSE)</f>
        <v>NO</v>
      </c>
      <c r="M35" s="148">
        <f ca="1">IF(ISNUMBER(OFFSET(指定日期分位点!$A$1,MATCH($B35,指定日期分位点!$C$2:$C$5000,0),MATCH(M$4,指定日期分位点!$B$1:$M$1,0))),OFFSET(指定日期分位点!$A$1,MATCH($B35,指定日期分位点!$C$2:$C$4000,0),MATCH(M$4,指定日期分位点!$B$1:$M$1,0)),"")/100</f>
        <v>0.2486</v>
      </c>
      <c r="N35" s="148">
        <f ca="1">IF(ISNUMBER(OFFSET(指定日期分位点!$A$1,MATCH($B35,指定日期分位点!$C$2:$C$5000,0),MATCH(N$4,指定日期分位点!$B$1:$M$1,0))),OFFSET(指定日期分位点!$A$1,MATCH($B35,指定日期分位点!$C$2:$C$4000,0),MATCH(N$4,指定日期分位点!$B$1:$M$1,0)),"")/100</f>
        <v>0.0981</v>
      </c>
      <c r="O35" s="149"/>
      <c r="P35"/>
      <c r="Q35"/>
    </row>
    <row r="36" s="119" customFormat="1" ht="17.1" hidden="1" customHeight="1" spans="1:15">
      <c r="A36" s="3" t="s">
        <v>109</v>
      </c>
      <c r="B36" s="3" t="s">
        <v>110</v>
      </c>
      <c r="C36" s="3" t="s">
        <v>111</v>
      </c>
      <c r="D36" s="3">
        <v>5.1481</v>
      </c>
      <c r="E36" s="3">
        <v>17.0788</v>
      </c>
      <c r="F36" s="3">
        <v>5.8625</v>
      </c>
      <c r="G36" s="3">
        <v>19.1223</v>
      </c>
      <c r="H36" s="131" t="str">
        <f ca="1">IF(ISERROR(VLOOKUP(C36,'周期表（不要动）'!A:B,2,FALSE)),"",VLOOKUP(C36,'周期表（不要动）'!A:B,2,FALSE))</f>
        <v>是</v>
      </c>
      <c r="I36" s="146">
        <f>IF(D36&gt;0,IF(E36&gt;0,IF(F36&gt;0,IF(G36&gt;0,0,1),1),1),1)</f>
        <v>0</v>
      </c>
      <c r="J36" s="147" t="e">
        <f ca="1">VLOOKUP(B36,小熊定理判定!A:D,2,FALSE)</f>
        <v>#N/A</v>
      </c>
      <c r="K36" s="147" t="e">
        <f ca="1">VLOOKUP(B36,小熊定理判定!A:D,3,FALSE)</f>
        <v>#N/A</v>
      </c>
      <c r="L36" s="147" t="e">
        <f ca="1">VLOOKUP(B36,小熊定理判定!A:D,4,FALSE)</f>
        <v>#N/A</v>
      </c>
      <c r="M36" s="148">
        <f ca="1">IF(ISNUMBER(OFFSET(指定日期分位点!$A$1,MATCH($B36,指定日期分位点!$C$2:$C$5000,0),MATCH(M$4,指定日期分位点!$B$1:$M$1,0))),OFFSET(指定日期分位点!$A$1,MATCH($B36,指定日期分位点!$C$2:$C$4000,0),MATCH(M$4,指定日期分位点!$B$1:$M$1,0)),"")/100</f>
        <v>0.195</v>
      </c>
      <c r="N36" s="148">
        <f ca="1">IF(ISNUMBER(OFFSET(指定日期分位点!$A$1,MATCH($B36,指定日期分位点!$C$2:$C$5000,0),MATCH(N$4,指定日期分位点!$B$1:$M$1,0))),OFFSET(指定日期分位点!$A$1,MATCH($B36,指定日期分位点!$C$2:$C$4000,0),MATCH(N$4,指定日期分位点!$B$1:$M$1,0)),"")/100</f>
        <v>0.0523</v>
      </c>
      <c r="O36" s="25"/>
    </row>
    <row r="37" s="119" customFormat="1" ht="17.1" customHeight="1" spans="1:17">
      <c r="A37" s="3" t="s">
        <v>112</v>
      </c>
      <c r="B37" s="3" t="s">
        <v>113</v>
      </c>
      <c r="C37" s="3" t="s">
        <v>114</v>
      </c>
      <c r="D37" s="3">
        <v>29.7824</v>
      </c>
      <c r="E37" s="3">
        <v>34.2591</v>
      </c>
      <c r="F37" s="3">
        <v>28.3581</v>
      </c>
      <c r="G37" s="3">
        <v>27.2548</v>
      </c>
      <c r="H37" s="131" t="str">
        <f>IF(ISERROR(VLOOKUP(C37,'周期表（不要动）'!A:B,2,FALSE)),"",VLOOKUP(C37,'周期表（不要动）'!A:B,2,FALSE))</f>
        <v/>
      </c>
      <c r="I37" s="146">
        <f>IF(D37&gt;0,IF(E37&gt;0,IF(F37&gt;0,IF(G37&gt;0,0,1),1),1),1)</f>
        <v>0</v>
      </c>
      <c r="J37" s="147" t="str">
        <f>VLOOKUP(B37,小熊定理判定!A:D,2,FALSE)</f>
        <v>0</v>
      </c>
      <c r="K37" s="147" t="str">
        <f>VLOOKUP(B37,小熊定理判定!A:D,3,FALSE)</f>
        <v>0</v>
      </c>
      <c r="L37" s="147" t="str">
        <f>VLOOKUP(B37,小熊定理判定!A:D,4,FALSE)</f>
        <v>0</v>
      </c>
      <c r="M37" s="148">
        <f ca="1">IF(ISNUMBER(OFFSET(指定日期分位点!$A$1,MATCH($B37,指定日期分位点!$C$2:$C$5000,0),MATCH(M$4,指定日期分位点!$B$1:$M$1,0))),OFFSET(指定日期分位点!$A$1,MATCH($B37,指定日期分位点!$C$2:$C$4000,0),MATCH(M$4,指定日期分位点!$B$1:$M$1,0)),"")/100</f>
        <v>0.4756</v>
      </c>
      <c r="N37" s="148">
        <f ca="1">IF(ISNUMBER(OFFSET(指定日期分位点!$A$1,MATCH($B37,指定日期分位点!$C$2:$C$5000,0),MATCH(N$4,指定日期分位点!$B$1:$M$1,0))),OFFSET(指定日期分位点!$A$1,MATCH($B37,指定日期分位点!$C$2:$C$4000,0),MATCH(N$4,指定日期分位点!$B$1:$M$1,0)),"")/100</f>
        <v>0.1143</v>
      </c>
      <c r="O37" s="149"/>
      <c r="P37" s="149"/>
      <c r="Q37" s="149"/>
    </row>
    <row r="38" s="119" customFormat="1" ht="17.1" hidden="1" customHeight="1" spans="1:17">
      <c r="A38" s="3" t="s">
        <v>115</v>
      </c>
      <c r="B38" s="3" t="s">
        <v>116</v>
      </c>
      <c r="C38" s="3" t="s">
        <v>117</v>
      </c>
      <c r="D38" s="3">
        <v>18.6415</v>
      </c>
      <c r="E38" s="3">
        <v>9.6477</v>
      </c>
      <c r="F38" s="3">
        <v>63.1888</v>
      </c>
      <c r="G38" s="3">
        <v>20.5594</v>
      </c>
      <c r="H38" s="131" t="str">
        <f>IF(ISERROR(VLOOKUP(C38,'周期表（不要动）'!A:B,2,FALSE)),"",VLOOKUP(C38,'周期表（不要动）'!A:B,2,FALSE))</f>
        <v>是</v>
      </c>
      <c r="I38" s="146">
        <f>IF(D38&gt;0,IF(E38&gt;0,IF(F38&gt;0,IF(G38&gt;0,0,1),1),1),1)</f>
        <v>0</v>
      </c>
      <c r="J38" s="147" t="e">
        <f>VLOOKUP(B38,小熊定理判定!A:D,2,FALSE)</f>
        <v>#N/A</v>
      </c>
      <c r="K38" s="147" t="e">
        <f>VLOOKUP(B38,小熊定理判定!A:D,3,FALSE)</f>
        <v>#N/A</v>
      </c>
      <c r="L38" s="147" t="e">
        <f>VLOOKUP(B38,小熊定理判定!A:D,4,FALSE)</f>
        <v>#N/A</v>
      </c>
      <c r="M38" s="148">
        <f ca="1">IF(ISNUMBER(OFFSET(指定日期分位点!$A$1,MATCH($B38,指定日期分位点!$C$2:$C$5000,0),MATCH(M$4,指定日期分位点!$B$1:$M$1,0))),OFFSET(指定日期分位点!$A$1,MATCH($B38,指定日期分位点!$C$2:$C$4000,0),MATCH(M$4,指定日期分位点!$B$1:$M$1,0)),"")/100</f>
        <v>0.0996</v>
      </c>
      <c r="N38" s="148">
        <f ca="1">IF(ISNUMBER(OFFSET(指定日期分位点!$A$1,MATCH($B38,指定日期分位点!$C$2:$C$5000,0),MATCH(N$4,指定日期分位点!$B$1:$M$1,0))),OFFSET(指定日期分位点!$A$1,MATCH($B38,指定日期分位点!$C$2:$C$4000,0),MATCH(N$4,指定日期分位点!$B$1:$M$1,0)),"")/100</f>
        <v>0.0237</v>
      </c>
      <c r="O38" s="25"/>
      <c r="P38" s="25"/>
      <c r="Q38" s="25"/>
    </row>
    <row r="39" s="119" customFormat="1" ht="17.1" customHeight="1" spans="1:17">
      <c r="A39" s="3" t="s">
        <v>118</v>
      </c>
      <c r="B39" s="3" t="s">
        <v>119</v>
      </c>
      <c r="C39" s="3" t="s">
        <v>66</v>
      </c>
      <c r="D39" s="3">
        <v>29.5956</v>
      </c>
      <c r="E39" s="3">
        <v>35.8386</v>
      </c>
      <c r="F39" s="3">
        <v>26.8865</v>
      </c>
      <c r="G39" s="3">
        <v>38.8256</v>
      </c>
      <c r="H39" s="132" t="str">
        <f>IF(ISERROR(VLOOKUP(C39,'周期表（不要动）'!A:B,2,FALSE)),"",VLOOKUP(C39,'周期表（不要动）'!A:B,2,FALSE))</f>
        <v/>
      </c>
      <c r="I39" s="146">
        <f>IF(D39&gt;0,IF(E39&gt;0,IF(F39&gt;0,IF(G39&gt;0,0,1),1),1),1)</f>
        <v>0</v>
      </c>
      <c r="J39" s="147" t="str">
        <f>VLOOKUP(B39,小熊定理判定!A:D,2,FALSE)</f>
        <v>0</v>
      </c>
      <c r="K39" s="147" t="str">
        <f>VLOOKUP(B39,小熊定理判定!A:D,3,FALSE)</f>
        <v>0</v>
      </c>
      <c r="L39" s="147" t="str">
        <f>VLOOKUP(B39,小熊定理判定!A:D,4,FALSE)</f>
        <v>0</v>
      </c>
      <c r="M39" s="148">
        <f ca="1">IF(ISNUMBER(OFFSET(指定日期分位点!$A$1,MATCH($B39,指定日期分位点!$C$2:$C$5000,0),MATCH(M$4,指定日期分位点!$B$1:$M$1,0))),OFFSET(指定日期分位点!$A$1,MATCH($B39,指定日期分位点!$C$2:$C$4000,0),MATCH(M$4,指定日期分位点!$B$1:$M$1,0)),"")/100</f>
        <v>0.4787</v>
      </c>
      <c r="N39" s="148">
        <f ca="1">IF(ISNUMBER(OFFSET(指定日期分位点!$A$1,MATCH($B39,指定日期分位点!$C$2:$C$5000,0),MATCH(N$4,指定日期分位点!$B$1:$M$1,0))),OFFSET(指定日期分位点!$A$1,MATCH($B39,指定日期分位点!$C$2:$C$4000,0),MATCH(N$4,指定日期分位点!$B$1:$M$1,0)),"")/100</f>
        <v>0.0934</v>
      </c>
      <c r="O39" s="149"/>
      <c r="P39" s="149"/>
      <c r="Q39" s="149"/>
    </row>
    <row r="40" s="119" customFormat="1" ht="17.1" hidden="1" customHeight="1" spans="1:17">
      <c r="A40" s="67"/>
      <c r="B40" s="67"/>
      <c r="C40" s="67"/>
      <c r="D40" s="133"/>
      <c r="E40" s="133"/>
      <c r="F40" s="133"/>
      <c r="G40" s="133"/>
      <c r="H40" s="132" t="str">
        <f>IF(ISERROR(VLOOKUP(C40,'周期表（不要动）'!A:B,2,FALSE)),"",VLOOKUP(C40,'周期表（不要动）'!A:B,2,FALSE))</f>
        <v/>
      </c>
      <c r="I40" s="146">
        <f>IF(D40&gt;0,IF(E40&gt;0,IF(F40&gt;0,IF(G40&gt;0,0,1),1),1),1)</f>
        <v>1</v>
      </c>
      <c r="J40" s="147" t="e">
        <f>VLOOKUP(B40,小熊定理判定!A:D,2,FALSE)</f>
        <v>#N/A</v>
      </c>
      <c r="K40" s="147" t="e">
        <f>VLOOKUP(B40,小熊定理判定!A:D,3,FALSE)</f>
        <v>#N/A</v>
      </c>
      <c r="L40" s="147" t="e">
        <f>VLOOKUP(B40,小熊定理判定!A:D,4,FALSE)</f>
        <v>#N/A</v>
      </c>
      <c r="M40" s="148" t="e">
        <f ca="1">IF(ISNUMBER(OFFSET(指定日期分位点!$A$1,MATCH($B40,指定日期分位点!$C$2:$C$5000,0),MATCH(M$4,指定日期分位点!$B$1:$M$1,0))),OFFSET(指定日期分位点!$A$1,MATCH($B40,指定日期分位点!$C$2:$C$4000,0),MATCH(M$4,指定日期分位点!$B$1:$M$1,0)),"")/100</f>
        <v>#VALUE!</v>
      </c>
      <c r="N40" s="148" t="e">
        <f ca="1">IF(ISNUMBER(OFFSET(指定日期分位点!$A$1,MATCH($B40,指定日期分位点!$C$2:$C$5000,0),MATCH(N$4,指定日期分位点!$B$1:$M$1,0))),OFFSET(指定日期分位点!$A$1,MATCH($B40,指定日期分位点!$C$2:$C$4000,0),MATCH(N$4,指定日期分位点!$B$1:$M$1,0)),"")/100</f>
        <v>#VALUE!</v>
      </c>
      <c r="O40" s="25"/>
      <c r="P40" s="25"/>
      <c r="Q40" s="25"/>
    </row>
    <row r="41" s="119" customFormat="1" ht="17.1" hidden="1" customHeight="1" spans="1:17">
      <c r="A41" s="67"/>
      <c r="B41" s="67"/>
      <c r="C41" s="67"/>
      <c r="D41" s="133"/>
      <c r="E41" s="133"/>
      <c r="F41" s="133"/>
      <c r="G41" s="133"/>
      <c r="H41" s="131" t="str">
        <f>IF(ISERROR(VLOOKUP(C41,'周期表（不要动）'!A:B,2,FALSE)),"",VLOOKUP(C41,'周期表（不要动）'!A:B,2,FALSE))</f>
        <v/>
      </c>
      <c r="I41" s="146">
        <f>IF(D41&gt;0,IF(E41&gt;0,IF(F41&gt;0,IF(G41&gt;0,0,1),1),1),1)</f>
        <v>1</v>
      </c>
      <c r="J41" s="147" t="e">
        <f>VLOOKUP(B41,小熊定理判定!A:D,2,FALSE)</f>
        <v>#N/A</v>
      </c>
      <c r="K41" s="147" t="e">
        <f>VLOOKUP(B41,小熊定理判定!A:D,3,FALSE)</f>
        <v>#N/A</v>
      </c>
      <c r="L41" s="147" t="e">
        <f>VLOOKUP(B41,小熊定理判定!A:D,4,FALSE)</f>
        <v>#N/A</v>
      </c>
      <c r="M41" s="148" t="e">
        <f ca="1">IF(ISNUMBER(OFFSET(指定日期分位点!$A$1,MATCH($B41,指定日期分位点!$C$2:$C$5000,0),MATCH(M$4,指定日期分位点!$B$1:$M$1,0))),OFFSET(指定日期分位点!$A$1,MATCH($B41,指定日期分位点!$C$2:$C$4000,0),MATCH(M$4,指定日期分位点!$B$1:$M$1,0)),"")/100</f>
        <v>#VALUE!</v>
      </c>
      <c r="N41" s="148" t="e">
        <f ca="1">IF(ISNUMBER(OFFSET(指定日期分位点!$A$1,MATCH($B41,指定日期分位点!$C$2:$C$5000,0),MATCH(N$4,指定日期分位点!$B$1:$M$1,0))),OFFSET(指定日期分位点!$A$1,MATCH($B41,指定日期分位点!$C$2:$C$4000,0),MATCH(N$4,指定日期分位点!$B$1:$M$1,0)),"")/100</f>
        <v>#VALUE!</v>
      </c>
      <c r="O41" s="25"/>
      <c r="P41" s="25"/>
      <c r="Q41" s="25"/>
    </row>
    <row r="42" s="119" customFormat="1" ht="17.1" hidden="1" customHeight="1" spans="1:17">
      <c r="A42" s="67"/>
      <c r="B42" s="67"/>
      <c r="C42" s="67"/>
      <c r="D42" s="133"/>
      <c r="E42" s="133"/>
      <c r="F42" s="133"/>
      <c r="G42" s="133"/>
      <c r="H42" s="131" t="str">
        <f>IF(ISERROR(VLOOKUP(C42,'周期表（不要动）'!A:B,2,FALSE)),"",VLOOKUP(C42,'周期表（不要动）'!A:B,2,FALSE))</f>
        <v/>
      </c>
      <c r="I42" s="146">
        <f>IF(D42&gt;0,IF(E42&gt;0,IF(F42&gt;0,IF(G42&gt;0,0,1),1),1),1)</f>
        <v>1</v>
      </c>
      <c r="J42" s="147" t="e">
        <f>VLOOKUP(B42,小熊定理判定!A:D,2,FALSE)</f>
        <v>#N/A</v>
      </c>
      <c r="K42" s="147" t="e">
        <f>VLOOKUP(B42,小熊定理判定!A:D,3,FALSE)</f>
        <v>#N/A</v>
      </c>
      <c r="L42" s="147" t="e">
        <f>VLOOKUP(B42,小熊定理判定!A:D,4,FALSE)</f>
        <v>#N/A</v>
      </c>
      <c r="M42" s="148" t="e">
        <f ca="1">IF(ISNUMBER(OFFSET(指定日期分位点!$A$1,MATCH($B42,指定日期分位点!$C$2:$C$5000,0),MATCH(M$4,指定日期分位点!$B$1:$M$1,0))),OFFSET(指定日期分位点!$A$1,MATCH($B42,指定日期分位点!$C$2:$C$4000,0),MATCH(M$4,指定日期分位点!$B$1:$M$1,0)),"")/100</f>
        <v>#VALUE!</v>
      </c>
      <c r="N42" s="148" t="e">
        <f ca="1">IF(ISNUMBER(OFFSET(指定日期分位点!$A$1,MATCH($B42,指定日期分位点!$C$2:$C$5000,0),MATCH(N$4,指定日期分位点!$B$1:$M$1,0))),OFFSET(指定日期分位点!$A$1,MATCH($B42,指定日期分位点!$C$2:$C$4000,0),MATCH(N$4,指定日期分位点!$B$1:$M$1,0)),"")/100</f>
        <v>#VALUE!</v>
      </c>
      <c r="O42" s="25"/>
      <c r="P42" s="25"/>
      <c r="Q42" s="25"/>
    </row>
    <row r="43" s="119" customFormat="1" ht="17.1" hidden="1" customHeight="1" spans="1:17">
      <c r="A43" s="67"/>
      <c r="B43" s="67"/>
      <c r="C43" s="67"/>
      <c r="D43" s="133"/>
      <c r="E43" s="133"/>
      <c r="F43" s="133"/>
      <c r="G43" s="133"/>
      <c r="H43" s="132" t="str">
        <f>IF(ISERROR(VLOOKUP(C43,'周期表（不要动）'!A:B,2,FALSE)),"",VLOOKUP(C43,'周期表（不要动）'!A:B,2,FALSE))</f>
        <v/>
      </c>
      <c r="I43" s="146">
        <f>IF(D43&gt;0,IF(E43&gt;0,IF(F43&gt;0,IF(G43&gt;0,0,1),1),1),1)</f>
        <v>1</v>
      </c>
      <c r="J43" s="147" t="e">
        <f>VLOOKUP(B43,小熊定理判定!A:D,2,FALSE)</f>
        <v>#N/A</v>
      </c>
      <c r="K43" s="147" t="e">
        <f>VLOOKUP(B43,小熊定理判定!A:D,3,FALSE)</f>
        <v>#N/A</v>
      </c>
      <c r="L43" s="147" t="e">
        <f>VLOOKUP(B43,小熊定理判定!A:D,4,FALSE)</f>
        <v>#N/A</v>
      </c>
      <c r="M43" s="148" t="e">
        <f ca="1">IF(ISNUMBER(OFFSET(指定日期分位点!$A$1,MATCH($B43,指定日期分位点!$C$2:$C$5000,0),MATCH(M$4,指定日期分位点!$B$1:$M$1,0))),OFFSET(指定日期分位点!$A$1,MATCH($B43,指定日期分位点!$C$2:$C$4000,0),MATCH(M$4,指定日期分位点!$B$1:$M$1,0)),"")/100</f>
        <v>#VALUE!</v>
      </c>
      <c r="N43" s="148" t="e">
        <f ca="1">IF(ISNUMBER(OFFSET(指定日期分位点!$A$1,MATCH($B43,指定日期分位点!$C$2:$C$5000,0),MATCH(N$4,指定日期分位点!$B$1:$M$1,0))),OFFSET(指定日期分位点!$A$1,MATCH($B43,指定日期分位点!$C$2:$C$4000,0),MATCH(N$4,指定日期分位点!$B$1:$M$1,0)),"")/100</f>
        <v>#VALUE!</v>
      </c>
      <c r="O43" s="25"/>
      <c r="P43" s="25"/>
      <c r="Q43" s="25"/>
    </row>
    <row r="44" s="119" customFormat="1" ht="17.1" hidden="1" customHeight="1" spans="1:17">
      <c r="A44" s="67"/>
      <c r="B44" s="67"/>
      <c r="C44" s="67"/>
      <c r="D44" s="133"/>
      <c r="E44" s="133"/>
      <c r="F44" s="133"/>
      <c r="G44" s="133"/>
      <c r="H44" s="131" t="str">
        <f>IF(ISERROR(VLOOKUP(C44,'周期表（不要动）'!A:B,2,FALSE)),"",VLOOKUP(C44,'周期表（不要动）'!A:B,2,FALSE))</f>
        <v/>
      </c>
      <c r="I44" s="146">
        <f>IF(D44&gt;0,IF(E44&gt;0,IF(F44&gt;0,IF(G44&gt;0,0,1),1),1),1)</f>
        <v>1</v>
      </c>
      <c r="J44" s="147" t="e">
        <f>VLOOKUP(B44,小熊定理判定!A:D,2,FALSE)</f>
        <v>#N/A</v>
      </c>
      <c r="K44" s="147" t="e">
        <f>VLOOKUP(B44,小熊定理判定!A:D,3,FALSE)</f>
        <v>#N/A</v>
      </c>
      <c r="L44" s="147" t="e">
        <f>VLOOKUP(B44,小熊定理判定!A:D,4,FALSE)</f>
        <v>#N/A</v>
      </c>
      <c r="M44" s="148" t="e">
        <f ca="1">IF(ISNUMBER(OFFSET(指定日期分位点!$A$1,MATCH($B44,指定日期分位点!$C$2:$C$5000,0),MATCH(M$4,指定日期分位点!$B$1:$M$1,0))),OFFSET(指定日期分位点!$A$1,MATCH($B44,指定日期分位点!$C$2:$C$4000,0),MATCH(M$4,指定日期分位点!$B$1:$M$1,0)),"")/100</f>
        <v>#VALUE!</v>
      </c>
      <c r="N44" s="148" t="e">
        <f ca="1">IF(ISNUMBER(OFFSET(指定日期分位点!$A$1,MATCH($B44,指定日期分位点!$C$2:$C$5000,0),MATCH(N$4,指定日期分位点!$B$1:$M$1,0))),OFFSET(指定日期分位点!$A$1,MATCH($B44,指定日期分位点!$C$2:$C$4000,0),MATCH(N$4,指定日期分位点!$B$1:$M$1,0)),"")/100</f>
        <v>#VALUE!</v>
      </c>
      <c r="O44" s="25"/>
      <c r="P44" s="25"/>
      <c r="Q44" s="25"/>
    </row>
    <row r="45" s="119" customFormat="1" ht="17.1" hidden="1" customHeight="1" spans="1:17">
      <c r="A45" s="67"/>
      <c r="B45" s="67"/>
      <c r="C45" s="67"/>
      <c r="D45" s="133"/>
      <c r="E45" s="133"/>
      <c r="F45" s="133"/>
      <c r="G45" s="133"/>
      <c r="H45" s="131" t="str">
        <f ca="1">IF(ISERROR(VLOOKUP(C45,'周期表（不要动）'!A:B,2,FALSE)),"",VLOOKUP(C45,'周期表（不要动）'!A:B,2,FALSE))</f>
        <v/>
      </c>
      <c r="I45" s="146">
        <f t="shared" ref="I43:I82" si="0">IF(D45&gt;0,IF(E45&gt;0,IF(F45&gt;0,IF(G45&gt;0,0,1),1),1),1)</f>
        <v>1</v>
      </c>
      <c r="J45" s="147" t="e">
        <f ca="1">VLOOKUP(B45,小熊定理判定!A:D,2,FALSE)</f>
        <v>#N/A</v>
      </c>
      <c r="K45" s="147" t="e">
        <f ca="1">VLOOKUP(B45,小熊定理判定!A:D,3,FALSE)</f>
        <v>#N/A</v>
      </c>
      <c r="L45" s="147" t="e">
        <f ca="1">VLOOKUP(B45,小熊定理判定!A:D,4,FALSE)</f>
        <v>#N/A</v>
      </c>
      <c r="M45" s="148" t="e">
        <f ca="1">IF(ISNUMBER(OFFSET(指定日期分位点!$A$1,MATCH($B45,指定日期分位点!$C$2:$C$5000,0),MATCH(M$4,指定日期分位点!$B$1:$M$1,0))),OFFSET(指定日期分位点!$A$1,MATCH($B45,指定日期分位点!$C$2:$C$4000,0),MATCH(M$4,指定日期分位点!$B$1:$M$1,0)),"")/100</f>
        <v>#VALUE!</v>
      </c>
      <c r="N45" s="148" t="e">
        <f ca="1">IF(ISNUMBER(OFFSET(指定日期分位点!$A$1,MATCH($B45,指定日期分位点!$C$2:$C$5000,0),MATCH(N$4,指定日期分位点!$B$1:$M$1,0))),OFFSET(指定日期分位点!$A$1,MATCH($B45,指定日期分位点!$C$2:$C$4000,0),MATCH(N$4,指定日期分位点!$B$1:$M$1,0)),"")/100</f>
        <v>#VALUE!</v>
      </c>
      <c r="O45" s="25"/>
      <c r="P45" s="25"/>
      <c r="Q45" s="25"/>
    </row>
    <row r="46" s="119" customFormat="1" ht="17.1" hidden="1" customHeight="1" spans="1:15">
      <c r="A46" s="67"/>
      <c r="B46" s="67"/>
      <c r="C46" s="67"/>
      <c r="D46" s="133"/>
      <c r="E46" s="133"/>
      <c r="F46" s="133"/>
      <c r="G46" s="133"/>
      <c r="H46" s="131" t="str">
        <f ca="1">IF(ISERROR(VLOOKUP(C46,'周期表（不要动）'!A:B,2,FALSE)),"",VLOOKUP(C46,'周期表（不要动）'!A:B,2,FALSE))</f>
        <v/>
      </c>
      <c r="I46" s="146">
        <f t="shared" si="0"/>
        <v>1</v>
      </c>
      <c r="J46" s="147" t="e">
        <f ca="1">VLOOKUP(B46,小熊定理判定!A:D,2,FALSE)</f>
        <v>#N/A</v>
      </c>
      <c r="K46" s="147" t="e">
        <f ca="1">VLOOKUP(B46,小熊定理判定!A:D,3,FALSE)</f>
        <v>#N/A</v>
      </c>
      <c r="L46" s="147" t="e">
        <f ca="1">VLOOKUP(B46,小熊定理判定!A:D,4,FALSE)</f>
        <v>#N/A</v>
      </c>
      <c r="M46" s="148" t="e">
        <f ca="1">IF(ISNUMBER(OFFSET(指定日期分位点!$A$1,MATCH($B46,指定日期分位点!$C$2:$C$5000,0),MATCH(M$4,指定日期分位点!$B$1:$M$1,0))),OFFSET(指定日期分位点!$A$1,MATCH($B46,指定日期分位点!$C$2:$C$4000,0),MATCH(M$4,指定日期分位点!$B$1:$M$1,0)),"")/100</f>
        <v>#VALUE!</v>
      </c>
      <c r="N46" s="148" t="e">
        <f ca="1">IF(ISNUMBER(OFFSET(指定日期分位点!$A$1,MATCH($B46,指定日期分位点!$C$2:$C$5000,0),MATCH(N$4,指定日期分位点!$B$1:$M$1,0))),OFFSET(指定日期分位点!$A$1,MATCH($B46,指定日期分位点!$C$2:$C$4000,0),MATCH(N$4,指定日期分位点!$B$1:$M$1,0)),"")/100</f>
        <v>#VALUE!</v>
      </c>
      <c r="O46" s="25"/>
    </row>
    <row r="47" s="119" customFormat="1" ht="17.1" hidden="1" customHeight="1" spans="1:17">
      <c r="A47" s="67"/>
      <c r="B47" s="67"/>
      <c r="C47" s="67"/>
      <c r="D47" s="133"/>
      <c r="E47" s="133"/>
      <c r="F47" s="133"/>
      <c r="G47" s="133"/>
      <c r="H47" s="131" t="str">
        <f>IF(ISERROR(VLOOKUP(C47,'周期表（不要动）'!A:B,2,FALSE)),"",VLOOKUP(C47,'周期表（不要动）'!A:B,2,FALSE))</f>
        <v/>
      </c>
      <c r="I47" s="146">
        <f t="shared" si="0"/>
        <v>1</v>
      </c>
      <c r="J47" s="147" t="e">
        <f>VLOOKUP(B47,小熊定理判定!A:D,2,FALSE)</f>
        <v>#N/A</v>
      </c>
      <c r="K47" s="147" t="e">
        <f>VLOOKUP(B47,小熊定理判定!A:D,3,FALSE)</f>
        <v>#N/A</v>
      </c>
      <c r="L47" s="147" t="e">
        <f>VLOOKUP(B47,小熊定理判定!A:D,4,FALSE)</f>
        <v>#N/A</v>
      </c>
      <c r="M47" s="148" t="e">
        <f ca="1">IF(ISNUMBER(OFFSET(指定日期分位点!$A$1,MATCH($B47,指定日期分位点!$C$2:$C$5000,0),MATCH(M$4,指定日期分位点!$B$1:$M$1,0))),OFFSET(指定日期分位点!$A$1,MATCH($B47,指定日期分位点!$C$2:$C$4000,0),MATCH(M$4,指定日期分位点!$B$1:$M$1,0)),"")/100</f>
        <v>#VALUE!</v>
      </c>
      <c r="N47" s="148" t="e">
        <f ca="1">IF(ISNUMBER(OFFSET(指定日期分位点!$A$1,MATCH($B47,指定日期分位点!$C$2:$C$5000,0),MATCH(N$4,指定日期分位点!$B$1:$M$1,0))),OFFSET(指定日期分位点!$A$1,MATCH($B47,指定日期分位点!$C$2:$C$4000,0),MATCH(N$4,指定日期分位点!$B$1:$M$1,0)),"")/100</f>
        <v>#VALUE!</v>
      </c>
      <c r="O47" s="25"/>
      <c r="P47" s="25"/>
      <c r="Q47" s="25"/>
    </row>
    <row r="48" s="119" customFormat="1" ht="17.1" hidden="1" customHeight="1" spans="1:15">
      <c r="A48" s="67"/>
      <c r="B48" s="67"/>
      <c r="C48" s="67"/>
      <c r="D48" s="133"/>
      <c r="E48" s="133"/>
      <c r="F48" s="133"/>
      <c r="G48" s="133"/>
      <c r="H48" s="131" t="str">
        <f ca="1">IF(ISERROR(VLOOKUP(C48,'周期表（不要动）'!A:B,2,FALSE)),"",VLOOKUP(C48,'周期表（不要动）'!A:B,2,FALSE))</f>
        <v/>
      </c>
      <c r="I48" s="146">
        <f t="shared" si="0"/>
        <v>1</v>
      </c>
      <c r="J48" s="147" t="e">
        <f ca="1">VLOOKUP(B48,小熊定理判定!A:D,2,FALSE)</f>
        <v>#N/A</v>
      </c>
      <c r="K48" s="147" t="e">
        <f ca="1">VLOOKUP(B48,小熊定理判定!A:D,3,FALSE)</f>
        <v>#N/A</v>
      </c>
      <c r="L48" s="147" t="e">
        <f ca="1">VLOOKUP(B48,小熊定理判定!A:D,4,FALSE)</f>
        <v>#N/A</v>
      </c>
      <c r="M48" s="148" t="e">
        <f ca="1">IF(ISNUMBER(OFFSET(指定日期分位点!$A$1,MATCH($B48,指定日期分位点!$C$2:$C$5000,0),MATCH(M$4,指定日期分位点!$B$1:$M$1,0))),OFFSET(指定日期分位点!$A$1,MATCH($B48,指定日期分位点!$C$2:$C$4000,0),MATCH(M$4,指定日期分位点!$B$1:$M$1,0)),"")/100</f>
        <v>#VALUE!</v>
      </c>
      <c r="N48" s="148" t="e">
        <f ca="1">IF(ISNUMBER(OFFSET(指定日期分位点!$A$1,MATCH($B48,指定日期分位点!$C$2:$C$5000,0),MATCH(N$4,指定日期分位点!$B$1:$M$1,0))),OFFSET(指定日期分位点!$A$1,MATCH($B48,指定日期分位点!$C$2:$C$4000,0),MATCH(N$4,指定日期分位点!$B$1:$M$1,0)),"")/100</f>
        <v>#VALUE!</v>
      </c>
      <c r="O48" s="25"/>
    </row>
    <row r="49" s="119" customFormat="1" ht="17.1" hidden="1" customHeight="1" spans="1:15">
      <c r="A49" s="134"/>
      <c r="B49" s="134"/>
      <c r="C49" s="134"/>
      <c r="D49" s="135"/>
      <c r="E49" s="135"/>
      <c r="F49" s="135"/>
      <c r="G49" s="135"/>
      <c r="H49" s="131" t="str">
        <f ca="1">IF(ISERROR(VLOOKUP(C49,'周期表（不要动）'!A:B,2,FALSE)),"",VLOOKUP(C49,'周期表（不要动）'!A:B,2,FALSE))</f>
        <v/>
      </c>
      <c r="I49" s="146">
        <f t="shared" si="0"/>
        <v>1</v>
      </c>
      <c r="J49" s="147" t="e">
        <f ca="1">VLOOKUP(B49,小熊定理判定!A:D,2,FALSE)</f>
        <v>#N/A</v>
      </c>
      <c r="K49" s="147" t="e">
        <f ca="1">VLOOKUP(B49,小熊定理判定!A:D,3,FALSE)</f>
        <v>#N/A</v>
      </c>
      <c r="L49" s="147" t="e">
        <f ca="1">VLOOKUP(B49,小熊定理判定!A:D,4,FALSE)</f>
        <v>#N/A</v>
      </c>
      <c r="M49" s="148" t="e">
        <f ca="1">IF(ISNUMBER(OFFSET(指定日期分位点!$A$1,MATCH($B49,指定日期分位点!$C$2:$C$5000,0),MATCH(M$4,指定日期分位点!$B$1:$M$1,0))),OFFSET(指定日期分位点!$A$1,MATCH($B49,指定日期分位点!$C$2:$C$4000,0),MATCH(M$4,指定日期分位点!$B$1:$M$1,0)),"")/100</f>
        <v>#VALUE!</v>
      </c>
      <c r="N49" s="148" t="e">
        <f ca="1">IF(ISNUMBER(OFFSET(指定日期分位点!$A$1,MATCH($B49,指定日期分位点!$C$2:$C$5000,0),MATCH(N$4,指定日期分位点!$B$1:$M$1,0))),OFFSET(指定日期分位点!$A$1,MATCH($B49,指定日期分位点!$C$2:$C$4000,0),MATCH(N$4,指定日期分位点!$B$1:$M$1,0)),"")/100</f>
        <v>#VALUE!</v>
      </c>
      <c r="O49" s="25"/>
    </row>
    <row r="50" s="119" customFormat="1" ht="17.1" hidden="1" customHeight="1" spans="1:17">
      <c r="A50" s="134"/>
      <c r="B50" s="134"/>
      <c r="C50" s="134"/>
      <c r="D50" s="135"/>
      <c r="E50" s="135"/>
      <c r="F50" s="135"/>
      <c r="G50" s="135"/>
      <c r="H50" s="131" t="str">
        <f>IF(ISERROR(VLOOKUP(C50,'周期表（不要动）'!A:B,2,FALSE)),"",VLOOKUP(C50,'周期表（不要动）'!A:B,2,FALSE))</f>
        <v/>
      </c>
      <c r="I50" s="146">
        <f t="shared" si="0"/>
        <v>1</v>
      </c>
      <c r="J50" s="147" t="e">
        <f>VLOOKUP(B50,小熊定理判定!A:D,2,FALSE)</f>
        <v>#N/A</v>
      </c>
      <c r="K50" s="147" t="e">
        <f>VLOOKUP(B50,小熊定理判定!A:D,3,FALSE)</f>
        <v>#N/A</v>
      </c>
      <c r="L50" s="147" t="e">
        <f>VLOOKUP(B50,小熊定理判定!A:D,4,FALSE)</f>
        <v>#N/A</v>
      </c>
      <c r="M50" s="148" t="e">
        <f ca="1">IF(ISNUMBER(OFFSET(指定日期分位点!$A$1,MATCH($B50,指定日期分位点!$C$2:$C$5000,0),MATCH(M$4,指定日期分位点!$B$1:$M$1,0))),OFFSET(指定日期分位点!$A$1,MATCH($B50,指定日期分位点!$C$2:$C$4000,0),MATCH(M$4,指定日期分位点!$B$1:$M$1,0)),"")/100</f>
        <v>#VALUE!</v>
      </c>
      <c r="N50" s="148" t="e">
        <f ca="1">IF(ISNUMBER(OFFSET(指定日期分位点!$A$1,MATCH($B50,指定日期分位点!$C$2:$C$5000,0),MATCH(N$4,指定日期分位点!$B$1:$M$1,0))),OFFSET(指定日期分位点!$A$1,MATCH($B50,指定日期分位点!$C$2:$C$4000,0),MATCH(N$4,指定日期分位点!$B$1:$M$1,0)),"")/100</f>
        <v>#VALUE!</v>
      </c>
      <c r="O50" s="25"/>
      <c r="P50" s="25"/>
      <c r="Q50" s="25"/>
    </row>
    <row r="51" s="119" customFormat="1" ht="18" hidden="1" spans="1:15">
      <c r="A51" s="134"/>
      <c r="B51" s="134"/>
      <c r="C51" s="134"/>
      <c r="D51" s="135"/>
      <c r="E51" s="135"/>
      <c r="F51" s="135"/>
      <c r="G51" s="135"/>
      <c r="H51" s="131" t="str">
        <f ca="1">IF(ISERROR(VLOOKUP(C51,'周期表（不要动）'!A:B,2,FALSE)),"",VLOOKUP(C51,'周期表（不要动）'!A:B,2,FALSE))</f>
        <v/>
      </c>
      <c r="I51" s="146">
        <f t="shared" si="0"/>
        <v>1</v>
      </c>
      <c r="J51" s="147" t="e">
        <f ca="1">VLOOKUP(B51,小熊定理判定!A:D,2,FALSE)</f>
        <v>#N/A</v>
      </c>
      <c r="K51" s="147" t="e">
        <f ca="1">VLOOKUP(B51,小熊定理判定!A:D,3,FALSE)</f>
        <v>#N/A</v>
      </c>
      <c r="L51" s="147" t="e">
        <f ca="1">VLOOKUP(B51,小熊定理判定!A:D,4,FALSE)</f>
        <v>#N/A</v>
      </c>
      <c r="M51" s="148" t="e">
        <f ca="1">IF(ISNUMBER(OFFSET(指定日期分位点!$A$1,MATCH($B51,指定日期分位点!$C$2:$C$5000,0),MATCH(M$4,指定日期分位点!$B$1:$M$1,0))),OFFSET(指定日期分位点!$A$1,MATCH($B51,指定日期分位点!$C$2:$C$4000,0),MATCH(M$4,指定日期分位点!$B$1:$M$1,0)),"")/100</f>
        <v>#VALUE!</v>
      </c>
      <c r="N51" s="148" t="e">
        <f ca="1">IF(ISNUMBER(OFFSET(指定日期分位点!$A$1,MATCH($B51,指定日期分位点!$C$2:$C$5000,0),MATCH(N$4,指定日期分位点!$B$1:$M$1,0))),OFFSET(指定日期分位点!$A$1,MATCH($B51,指定日期分位点!$C$2:$C$4000,0),MATCH(N$4,指定日期分位点!$B$1:$M$1,0)),"")/100</f>
        <v>#VALUE!</v>
      </c>
      <c r="O51" s="25"/>
    </row>
    <row r="52" s="119" customFormat="1" ht="18" hidden="1" spans="1:17">
      <c r="A52" s="134"/>
      <c r="B52" s="134"/>
      <c r="C52" s="134"/>
      <c r="D52" s="135"/>
      <c r="E52" s="135"/>
      <c r="F52" s="135"/>
      <c r="G52" s="135"/>
      <c r="H52" s="131" t="str">
        <f>IF(ISERROR(VLOOKUP(C52,'周期表（不要动）'!A:B,2,FALSE)),"",VLOOKUP(C52,'周期表（不要动）'!A:B,2,FALSE))</f>
        <v/>
      </c>
      <c r="I52" s="146">
        <f t="shared" si="0"/>
        <v>1</v>
      </c>
      <c r="J52" s="147" t="e">
        <f>VLOOKUP(B52,小熊定理判定!A:D,2,FALSE)</f>
        <v>#N/A</v>
      </c>
      <c r="K52" s="147" t="e">
        <f>VLOOKUP(B52,小熊定理判定!A:D,3,FALSE)</f>
        <v>#N/A</v>
      </c>
      <c r="L52" s="147" t="e">
        <f>VLOOKUP(B52,小熊定理判定!A:D,4,FALSE)</f>
        <v>#N/A</v>
      </c>
      <c r="M52" s="148" t="e">
        <f ca="1">IF(ISNUMBER(OFFSET(指定日期分位点!$A$1,MATCH($B52,指定日期分位点!$C$2:$C$5000,0),MATCH(M$4,指定日期分位点!$B$1:$M$1,0))),OFFSET(指定日期分位点!$A$1,MATCH($B52,指定日期分位点!$C$2:$C$4000,0),MATCH(M$4,指定日期分位点!$B$1:$M$1,0)),"")/100</f>
        <v>#VALUE!</v>
      </c>
      <c r="N52" s="148" t="e">
        <f ca="1">IF(ISNUMBER(OFFSET(指定日期分位点!$A$1,MATCH($B52,指定日期分位点!$C$2:$C$5000,0),MATCH(N$4,指定日期分位点!$B$1:$M$1,0))),OFFSET(指定日期分位点!$A$1,MATCH($B52,指定日期分位点!$C$2:$C$4000,0),MATCH(N$4,指定日期分位点!$B$1:$M$1,0)),"")/100</f>
        <v>#VALUE!</v>
      </c>
      <c r="O52" s="25"/>
      <c r="P52" s="25"/>
      <c r="Q52" s="25"/>
    </row>
    <row r="53" s="119" customFormat="1" ht="18" hidden="1" spans="1:17">
      <c r="A53" s="68"/>
      <c r="B53" s="68"/>
      <c r="C53" s="68"/>
      <c r="D53" s="136"/>
      <c r="E53" s="136"/>
      <c r="F53" s="136"/>
      <c r="G53" s="136"/>
      <c r="H53" s="132" t="str">
        <f>IF(ISERROR(VLOOKUP(C53,'周期表（不要动）'!A:B,2,FALSE)),"",VLOOKUP(C53,'周期表（不要动）'!A:B,2,FALSE))</f>
        <v/>
      </c>
      <c r="I53" s="146">
        <f t="shared" si="0"/>
        <v>1</v>
      </c>
      <c r="J53" s="147" t="e">
        <f>VLOOKUP(B53,小熊定理判定!A:D,2,FALSE)</f>
        <v>#N/A</v>
      </c>
      <c r="K53" s="147" t="e">
        <f>VLOOKUP(B53,小熊定理判定!A:D,3,FALSE)</f>
        <v>#N/A</v>
      </c>
      <c r="L53" s="147" t="e">
        <f>VLOOKUP(B53,小熊定理判定!A:D,4,FALSE)</f>
        <v>#N/A</v>
      </c>
      <c r="M53" s="148" t="e">
        <f ca="1">IF(ISNUMBER(OFFSET(指定日期分位点!$A$1,MATCH($B53,指定日期分位点!$C$2:$C$5000,0),MATCH(M$4,指定日期分位点!$B$1:$M$1,0))),OFFSET(指定日期分位点!$A$1,MATCH($B53,指定日期分位点!$C$2:$C$4000,0),MATCH(M$4,指定日期分位点!$B$1:$M$1,0)),"")/100</f>
        <v>#VALUE!</v>
      </c>
      <c r="N53" s="148" t="e">
        <f ca="1">IF(ISNUMBER(OFFSET(指定日期分位点!$A$1,MATCH($B53,指定日期分位点!$C$2:$C$5000,0),MATCH(N$4,指定日期分位点!$B$1:$M$1,0))),OFFSET(指定日期分位点!$A$1,MATCH($B53,指定日期分位点!$C$2:$C$4000,0),MATCH(N$4,指定日期分位点!$B$1:$M$1,0)),"")/100</f>
        <v>#VALUE!</v>
      </c>
      <c r="O53" s="25"/>
      <c r="P53" s="25"/>
      <c r="Q53" s="25"/>
    </row>
    <row r="54" s="119" customFormat="1" ht="18" hidden="1" spans="1:17">
      <c r="A54" s="68"/>
      <c r="B54" s="68"/>
      <c r="C54" s="68"/>
      <c r="D54" s="136"/>
      <c r="E54" s="136"/>
      <c r="F54" s="136"/>
      <c r="G54" s="136"/>
      <c r="H54" s="132" t="str">
        <f>IF(ISERROR(VLOOKUP(C54,'周期表（不要动）'!A:B,2,FALSE)),"",VLOOKUP(C54,'周期表（不要动）'!A:B,2,FALSE))</f>
        <v/>
      </c>
      <c r="I54" s="146">
        <f t="shared" si="0"/>
        <v>1</v>
      </c>
      <c r="J54" s="147" t="e">
        <f>VLOOKUP(B54,小熊定理判定!A:D,2,FALSE)</f>
        <v>#N/A</v>
      </c>
      <c r="K54" s="147" t="e">
        <f>VLOOKUP(B54,小熊定理判定!A:D,3,FALSE)</f>
        <v>#N/A</v>
      </c>
      <c r="L54" s="147" t="e">
        <f>VLOOKUP(B54,小熊定理判定!A:D,4,FALSE)</f>
        <v>#N/A</v>
      </c>
      <c r="M54" s="148" t="e">
        <f ca="1">IF(ISNUMBER(OFFSET(指定日期分位点!$A$1,MATCH($B54,指定日期分位点!$C$2:$C$5000,0),MATCH(M$4,指定日期分位点!$B$1:$M$1,0))),OFFSET(指定日期分位点!$A$1,MATCH($B54,指定日期分位点!$C$2:$C$4000,0),MATCH(M$4,指定日期分位点!$B$1:$M$1,0)),"")/100</f>
        <v>#VALUE!</v>
      </c>
      <c r="N54" s="148" t="e">
        <f ca="1">IF(ISNUMBER(OFFSET(指定日期分位点!$A$1,MATCH($B54,指定日期分位点!$C$2:$C$5000,0),MATCH(N$4,指定日期分位点!$B$1:$M$1,0))),OFFSET(指定日期分位点!$A$1,MATCH($B54,指定日期分位点!$C$2:$C$4000,0),MATCH(N$4,指定日期分位点!$B$1:$M$1,0)),"")/100</f>
        <v>#VALUE!</v>
      </c>
      <c r="O54" s="25"/>
      <c r="P54" s="25"/>
      <c r="Q54" s="25"/>
    </row>
    <row r="55" s="119" customFormat="1" hidden="1" spans="1:15">
      <c r="A55" s="137"/>
      <c r="B55" s="137"/>
      <c r="C55" s="137"/>
      <c r="D55" s="137"/>
      <c r="E55" s="137"/>
      <c r="F55" s="137"/>
      <c r="G55" s="137"/>
      <c r="H55" s="131" t="str">
        <f ca="1">IF(ISERROR(VLOOKUP(C55,'周期表（不要动）'!A:B,2,FALSE)),"",VLOOKUP(C55,'周期表（不要动）'!A:B,2,FALSE))</f>
        <v/>
      </c>
      <c r="I55" s="146">
        <f t="shared" si="0"/>
        <v>1</v>
      </c>
      <c r="J55" s="147" t="e">
        <f ca="1">VLOOKUP(B55,小熊定理判定!A:D,2,FALSE)</f>
        <v>#N/A</v>
      </c>
      <c r="K55" s="147" t="e">
        <f ca="1">VLOOKUP(B55,小熊定理判定!A:D,3,FALSE)</f>
        <v>#N/A</v>
      </c>
      <c r="L55" s="147" t="e">
        <f ca="1">VLOOKUP(B55,小熊定理判定!A:D,4,FALSE)</f>
        <v>#N/A</v>
      </c>
      <c r="M55" s="148" t="e">
        <f ca="1">IF(ISNUMBER(OFFSET(指定日期分位点!$A$1,MATCH($B55,指定日期分位点!$C$2:$C$5000,0),MATCH(M$4,指定日期分位点!$B$1:$M$1,0))),OFFSET(指定日期分位点!$A$1,MATCH($B55,指定日期分位点!$C$2:$C$4000,0),MATCH(M$4,指定日期分位点!$B$1:$M$1,0)),"")/100</f>
        <v>#VALUE!</v>
      </c>
      <c r="N55" s="148" t="e">
        <f ca="1">IF(ISNUMBER(OFFSET(指定日期分位点!$A$1,MATCH($B55,指定日期分位点!$C$2:$C$5000,0),MATCH(N$4,指定日期分位点!$B$1:$M$1,0))),OFFSET(指定日期分位点!$A$1,MATCH($B55,指定日期分位点!$C$2:$C$4000,0),MATCH(N$4,指定日期分位点!$B$1:$M$1,0)),"")/100</f>
        <v>#VALUE!</v>
      </c>
      <c r="O55" s="25"/>
    </row>
    <row r="56" s="119" customFormat="1" hidden="1" spans="1:15">
      <c r="A56" s="137"/>
      <c r="B56" s="137"/>
      <c r="C56" s="137"/>
      <c r="D56" s="137"/>
      <c r="E56" s="137"/>
      <c r="F56" s="137"/>
      <c r="G56" s="137"/>
      <c r="H56" s="131" t="str">
        <f ca="1">IF(ISERROR(VLOOKUP(C56,'周期表（不要动）'!A:B,2,FALSE)),"",VLOOKUP(C56,'周期表（不要动）'!A:B,2,FALSE))</f>
        <v/>
      </c>
      <c r="I56" s="146">
        <f t="shared" si="0"/>
        <v>1</v>
      </c>
      <c r="J56" s="147" t="e">
        <f ca="1">VLOOKUP(B56,小熊定理判定!A:D,2,FALSE)</f>
        <v>#N/A</v>
      </c>
      <c r="K56" s="147" t="e">
        <f ca="1">VLOOKUP(B56,小熊定理判定!A:D,3,FALSE)</f>
        <v>#N/A</v>
      </c>
      <c r="L56" s="147" t="e">
        <f ca="1">VLOOKUP(B56,小熊定理判定!A:D,4,FALSE)</f>
        <v>#N/A</v>
      </c>
      <c r="M56" s="148" t="e">
        <f ca="1">IF(ISNUMBER(OFFSET(指定日期分位点!$A$1,MATCH($B56,指定日期分位点!$C$2:$C$5000,0),MATCH(M$4,指定日期分位点!$B$1:$M$1,0))),OFFSET(指定日期分位点!$A$1,MATCH($B56,指定日期分位点!$C$2:$C$4000,0),MATCH(M$4,指定日期分位点!$B$1:$M$1,0)),"")/100</f>
        <v>#VALUE!</v>
      </c>
      <c r="N56" s="148" t="e">
        <f ca="1">IF(ISNUMBER(OFFSET(指定日期分位点!$A$1,MATCH($B56,指定日期分位点!$C$2:$C$5000,0),MATCH(N$4,指定日期分位点!$B$1:$M$1,0))),OFFSET(指定日期分位点!$A$1,MATCH($B56,指定日期分位点!$C$2:$C$4000,0),MATCH(N$4,指定日期分位点!$B$1:$M$1,0)),"")/100</f>
        <v>#VALUE!</v>
      </c>
      <c r="O56" s="25"/>
    </row>
    <row r="57" s="119" customFormat="1" hidden="1" spans="1:15">
      <c r="A57" s="137"/>
      <c r="B57" s="137"/>
      <c r="C57" s="137"/>
      <c r="D57" s="137"/>
      <c r="E57" s="137"/>
      <c r="F57" s="137"/>
      <c r="G57" s="137"/>
      <c r="H57" s="131" t="str">
        <f ca="1">IF(ISERROR(VLOOKUP(C57,'周期表（不要动）'!A:B,2,FALSE)),"",VLOOKUP(C57,'周期表（不要动）'!A:B,2,FALSE))</f>
        <v/>
      </c>
      <c r="I57" s="146">
        <f t="shared" si="0"/>
        <v>1</v>
      </c>
      <c r="J57" s="147" t="e">
        <f ca="1">VLOOKUP(B57,小熊定理判定!A:D,2,FALSE)</f>
        <v>#N/A</v>
      </c>
      <c r="K57" s="147" t="e">
        <f ca="1">VLOOKUP(B57,小熊定理判定!A:D,3,FALSE)</f>
        <v>#N/A</v>
      </c>
      <c r="L57" s="147" t="e">
        <f ca="1">VLOOKUP(B57,小熊定理判定!A:D,4,FALSE)</f>
        <v>#N/A</v>
      </c>
      <c r="M57" s="148" t="e">
        <f ca="1">IF(ISNUMBER(OFFSET(指定日期分位点!$A$1,MATCH($B57,指定日期分位点!$C$2:$C$5000,0),MATCH(M$4,指定日期分位点!$B$1:$M$1,0))),OFFSET(指定日期分位点!$A$1,MATCH($B57,指定日期分位点!$C$2:$C$4000,0),MATCH(M$4,指定日期分位点!$B$1:$M$1,0)),"")/100</f>
        <v>#VALUE!</v>
      </c>
      <c r="N57" s="148" t="e">
        <f ca="1">IF(ISNUMBER(OFFSET(指定日期分位点!$A$1,MATCH($B57,指定日期分位点!$C$2:$C$5000,0),MATCH(N$4,指定日期分位点!$B$1:$M$1,0))),OFFSET(指定日期分位点!$A$1,MATCH($B57,指定日期分位点!$C$2:$C$4000,0),MATCH(N$4,指定日期分位点!$B$1:$M$1,0)),"")/100</f>
        <v>#VALUE!</v>
      </c>
      <c r="O57" s="25"/>
    </row>
    <row r="58" s="119" customFormat="1" hidden="1" spans="1:15">
      <c r="A58" s="137"/>
      <c r="B58" s="137"/>
      <c r="C58" s="137"/>
      <c r="D58" s="137"/>
      <c r="E58" s="137"/>
      <c r="F58" s="137"/>
      <c r="G58" s="137"/>
      <c r="H58" s="131" t="str">
        <f ca="1">IF(ISERROR(VLOOKUP(C58,'周期表（不要动）'!A:B,2,FALSE)),"",VLOOKUP(C58,'周期表（不要动）'!A:B,2,FALSE))</f>
        <v/>
      </c>
      <c r="I58" s="146">
        <f t="shared" si="0"/>
        <v>1</v>
      </c>
      <c r="J58" s="147" t="e">
        <f ca="1">VLOOKUP(B58,小熊定理判定!A:D,2,FALSE)</f>
        <v>#N/A</v>
      </c>
      <c r="K58" s="147" t="e">
        <f ca="1">VLOOKUP(B58,小熊定理判定!A:D,3,FALSE)</f>
        <v>#N/A</v>
      </c>
      <c r="L58" s="147" t="e">
        <f ca="1">VLOOKUP(B58,小熊定理判定!A:D,4,FALSE)</f>
        <v>#N/A</v>
      </c>
      <c r="M58" s="148" t="e">
        <f ca="1">IF(ISNUMBER(OFFSET(指定日期分位点!$A$1,MATCH($B58,指定日期分位点!$C$2:$C$5000,0),MATCH(M$4,指定日期分位点!$B$1:$M$1,0))),OFFSET(指定日期分位点!$A$1,MATCH($B58,指定日期分位点!$C$2:$C$4000,0),MATCH(M$4,指定日期分位点!$B$1:$M$1,0)),"")/100</f>
        <v>#VALUE!</v>
      </c>
      <c r="N58" s="148" t="e">
        <f ca="1">IF(ISNUMBER(OFFSET(指定日期分位点!$A$1,MATCH($B58,指定日期分位点!$C$2:$C$5000,0),MATCH(N$4,指定日期分位点!$B$1:$M$1,0))),OFFSET(指定日期分位点!$A$1,MATCH($B58,指定日期分位点!$C$2:$C$4000,0),MATCH(N$4,指定日期分位点!$B$1:$M$1,0)),"")/100</f>
        <v>#VALUE!</v>
      </c>
      <c r="O58" s="25"/>
    </row>
    <row r="59" s="119" customFormat="1" hidden="1" spans="1:15">
      <c r="A59" s="137"/>
      <c r="B59" s="137"/>
      <c r="C59" s="137"/>
      <c r="D59" s="137"/>
      <c r="E59" s="137"/>
      <c r="F59" s="137"/>
      <c r="G59" s="137"/>
      <c r="H59" s="131" t="str">
        <f ca="1">IF(ISERROR(VLOOKUP(C59,'周期表（不要动）'!A:B,2,FALSE)),"",VLOOKUP(C59,'周期表（不要动）'!A:B,2,FALSE))</f>
        <v/>
      </c>
      <c r="I59" s="146">
        <f t="shared" si="0"/>
        <v>1</v>
      </c>
      <c r="J59" s="147" t="e">
        <f ca="1">VLOOKUP(B59,小熊定理判定!A:D,2,FALSE)</f>
        <v>#N/A</v>
      </c>
      <c r="K59" s="147" t="e">
        <f ca="1">VLOOKUP(B59,小熊定理判定!A:D,3,FALSE)</f>
        <v>#N/A</v>
      </c>
      <c r="L59" s="147" t="e">
        <f ca="1">VLOOKUP(B59,小熊定理判定!A:D,4,FALSE)</f>
        <v>#N/A</v>
      </c>
      <c r="M59" s="148" t="e">
        <f ca="1">IF(ISNUMBER(OFFSET(指定日期分位点!$A$1,MATCH($B59,指定日期分位点!$C$2:$C$5000,0),MATCH(M$4,指定日期分位点!$B$1:$M$1,0))),OFFSET(指定日期分位点!$A$1,MATCH($B59,指定日期分位点!$C$2:$C$4000,0),MATCH(M$4,指定日期分位点!$B$1:$M$1,0)),"")/100</f>
        <v>#VALUE!</v>
      </c>
      <c r="N59" s="148" t="e">
        <f ca="1">IF(ISNUMBER(OFFSET(指定日期分位点!$A$1,MATCH($B59,指定日期分位点!$C$2:$C$5000,0),MATCH(N$4,指定日期分位点!$B$1:$M$1,0))),OFFSET(指定日期分位点!$A$1,MATCH($B59,指定日期分位点!$C$2:$C$4000,0),MATCH(N$4,指定日期分位点!$B$1:$M$1,0)),"")/100</f>
        <v>#VALUE!</v>
      </c>
      <c r="O59" s="25"/>
    </row>
    <row r="60" s="119" customFormat="1" hidden="1" spans="1:15">
      <c r="A60" s="137"/>
      <c r="B60" s="137"/>
      <c r="C60" s="137"/>
      <c r="D60" s="137"/>
      <c r="E60" s="137"/>
      <c r="F60" s="137"/>
      <c r="G60" s="137"/>
      <c r="H60" s="131" t="str">
        <f ca="1">IF(ISERROR(VLOOKUP(C60,'周期表（不要动）'!A:B,2,FALSE)),"",VLOOKUP(C60,'周期表（不要动）'!A:B,2,FALSE))</f>
        <v/>
      </c>
      <c r="I60" s="146">
        <f t="shared" si="0"/>
        <v>1</v>
      </c>
      <c r="J60" s="147" t="e">
        <f ca="1">VLOOKUP(B60,小熊定理判定!A:D,2,FALSE)</f>
        <v>#N/A</v>
      </c>
      <c r="K60" s="147" t="e">
        <f ca="1">VLOOKUP(B60,小熊定理判定!A:D,3,FALSE)</f>
        <v>#N/A</v>
      </c>
      <c r="L60" s="147" t="e">
        <f ca="1">VLOOKUP(B60,小熊定理判定!A:D,4,FALSE)</f>
        <v>#N/A</v>
      </c>
      <c r="M60" s="148" t="e">
        <f ca="1">IF(ISNUMBER(OFFSET(指定日期分位点!$A$1,MATCH($B60,指定日期分位点!$C$2:$C$5000,0),MATCH(M$4,指定日期分位点!$B$1:$M$1,0))),OFFSET(指定日期分位点!$A$1,MATCH($B60,指定日期分位点!$C$2:$C$4000,0),MATCH(M$4,指定日期分位点!$B$1:$M$1,0)),"")/100</f>
        <v>#VALUE!</v>
      </c>
      <c r="N60" s="148" t="e">
        <f ca="1">IF(ISNUMBER(OFFSET(指定日期分位点!$A$1,MATCH($B60,指定日期分位点!$C$2:$C$5000,0),MATCH(N$4,指定日期分位点!$B$1:$M$1,0))),OFFSET(指定日期分位点!$A$1,MATCH($B60,指定日期分位点!$C$2:$C$4000,0),MATCH(N$4,指定日期分位点!$B$1:$M$1,0)),"")/100</f>
        <v>#VALUE!</v>
      </c>
      <c r="O60" s="25"/>
    </row>
    <row r="61" s="119" customFormat="1" hidden="1" spans="1:15">
      <c r="A61" s="137"/>
      <c r="B61" s="137"/>
      <c r="C61" s="137"/>
      <c r="D61" s="137"/>
      <c r="E61" s="137"/>
      <c r="F61" s="137"/>
      <c r="G61" s="137"/>
      <c r="H61" s="131" t="str">
        <f ca="1">IF(ISERROR(VLOOKUP(C61,'周期表（不要动）'!A:B,2,FALSE)),"",VLOOKUP(C61,'周期表（不要动）'!A:B,2,FALSE))</f>
        <v/>
      </c>
      <c r="I61" s="146">
        <f t="shared" si="0"/>
        <v>1</v>
      </c>
      <c r="J61" s="147" t="e">
        <f ca="1">VLOOKUP(B61,小熊定理判定!A:D,2,FALSE)</f>
        <v>#N/A</v>
      </c>
      <c r="K61" s="147" t="e">
        <f ca="1">VLOOKUP(B61,小熊定理判定!A:D,3,FALSE)</f>
        <v>#N/A</v>
      </c>
      <c r="L61" s="147" t="e">
        <f ca="1">VLOOKUP(B61,小熊定理判定!A:D,4,FALSE)</f>
        <v>#N/A</v>
      </c>
      <c r="M61" s="148" t="e">
        <f ca="1">IF(ISNUMBER(OFFSET(指定日期分位点!$A$1,MATCH($B61,指定日期分位点!$C$2:$C$5000,0),MATCH(M$4,指定日期分位点!$B$1:$M$1,0))),OFFSET(指定日期分位点!$A$1,MATCH($B61,指定日期分位点!$C$2:$C$4000,0),MATCH(M$4,指定日期分位点!$B$1:$M$1,0)),"")/100</f>
        <v>#VALUE!</v>
      </c>
      <c r="N61" s="148" t="e">
        <f ca="1">IF(ISNUMBER(OFFSET(指定日期分位点!$A$1,MATCH($B61,指定日期分位点!$C$2:$C$5000,0),MATCH(N$4,指定日期分位点!$B$1:$M$1,0))),OFFSET(指定日期分位点!$A$1,MATCH($B61,指定日期分位点!$C$2:$C$4000,0),MATCH(N$4,指定日期分位点!$B$1:$M$1,0)),"")/100</f>
        <v>#VALUE!</v>
      </c>
      <c r="O61" s="25"/>
    </row>
    <row r="62" s="119" customFormat="1" hidden="1" spans="1:15">
      <c r="A62" s="137"/>
      <c r="B62" s="137"/>
      <c r="C62" s="137"/>
      <c r="D62" s="137"/>
      <c r="E62" s="137"/>
      <c r="F62" s="137"/>
      <c r="G62" s="137"/>
      <c r="H62" s="131" t="str">
        <f ca="1">IF(ISERROR(VLOOKUP(C62,'周期表（不要动）'!A:B,2,FALSE)),"",VLOOKUP(C62,'周期表（不要动）'!A:B,2,FALSE))</f>
        <v/>
      </c>
      <c r="I62" s="146">
        <f t="shared" si="0"/>
        <v>1</v>
      </c>
      <c r="J62" s="147" t="e">
        <f ca="1">VLOOKUP(B62,小熊定理判定!A:D,2,FALSE)</f>
        <v>#N/A</v>
      </c>
      <c r="K62" s="147" t="e">
        <f ca="1">VLOOKUP(B62,小熊定理判定!A:D,3,FALSE)</f>
        <v>#N/A</v>
      </c>
      <c r="L62" s="147" t="e">
        <f ca="1">VLOOKUP(B62,小熊定理判定!A:D,4,FALSE)</f>
        <v>#N/A</v>
      </c>
      <c r="M62" s="148" t="e">
        <f ca="1">IF(ISNUMBER(OFFSET(指定日期分位点!$A$1,MATCH($B62,指定日期分位点!$C$2:$C$5000,0),MATCH(M$4,指定日期分位点!$B$1:$M$1,0))),OFFSET(指定日期分位点!$A$1,MATCH($B62,指定日期分位点!$C$2:$C$4000,0),MATCH(M$4,指定日期分位点!$B$1:$M$1,0)),"")/100</f>
        <v>#VALUE!</v>
      </c>
      <c r="N62" s="148" t="e">
        <f ca="1">IF(ISNUMBER(OFFSET(指定日期分位点!$A$1,MATCH($B62,指定日期分位点!$C$2:$C$5000,0),MATCH(N$4,指定日期分位点!$B$1:$M$1,0))),OFFSET(指定日期分位点!$A$1,MATCH($B62,指定日期分位点!$C$2:$C$4000,0),MATCH(N$4,指定日期分位点!$B$1:$M$1,0)),"")/100</f>
        <v>#VALUE!</v>
      </c>
      <c r="O62" s="25"/>
    </row>
    <row r="63" s="119" customFormat="1" hidden="1" spans="1:15">
      <c r="A63" s="137"/>
      <c r="B63" s="137"/>
      <c r="C63" s="137"/>
      <c r="D63" s="137"/>
      <c r="E63" s="137"/>
      <c r="F63" s="137"/>
      <c r="G63" s="137"/>
      <c r="H63" s="131" t="str">
        <f ca="1">IF(ISERROR(VLOOKUP(C63,'周期表（不要动）'!A:B,2,FALSE)),"",VLOOKUP(C63,'周期表（不要动）'!A:B,2,FALSE))</f>
        <v/>
      </c>
      <c r="I63" s="146">
        <f t="shared" si="0"/>
        <v>1</v>
      </c>
      <c r="J63" s="147" t="e">
        <f ca="1">VLOOKUP(B63,小熊定理判定!A:D,2,FALSE)</f>
        <v>#N/A</v>
      </c>
      <c r="K63" s="147" t="e">
        <f ca="1">VLOOKUP(B63,小熊定理判定!A:D,3,FALSE)</f>
        <v>#N/A</v>
      </c>
      <c r="L63" s="147" t="e">
        <f ca="1">VLOOKUP(B63,小熊定理判定!A:D,4,FALSE)</f>
        <v>#N/A</v>
      </c>
      <c r="M63" s="148" t="e">
        <f ca="1">IF(ISNUMBER(OFFSET(指定日期分位点!$A$1,MATCH($B63,指定日期分位点!$C$2:$C$5000,0),MATCH(M$4,指定日期分位点!$B$1:$M$1,0))),OFFSET(指定日期分位点!$A$1,MATCH($B63,指定日期分位点!$C$2:$C$4000,0),MATCH(M$4,指定日期分位点!$B$1:$M$1,0)),"")/100</f>
        <v>#VALUE!</v>
      </c>
      <c r="N63" s="148" t="e">
        <f ca="1">IF(ISNUMBER(OFFSET(指定日期分位点!$A$1,MATCH($B63,指定日期分位点!$C$2:$C$5000,0),MATCH(N$4,指定日期分位点!$B$1:$M$1,0))),OFFSET(指定日期分位点!$A$1,MATCH($B63,指定日期分位点!$C$2:$C$4000,0),MATCH(N$4,指定日期分位点!$B$1:$M$1,0)),"")/100</f>
        <v>#VALUE!</v>
      </c>
      <c r="O63" s="25"/>
    </row>
    <row r="64" s="119" customFormat="1" hidden="1" spans="1:15">
      <c r="A64" s="137"/>
      <c r="B64" s="137"/>
      <c r="C64" s="137"/>
      <c r="D64" s="137"/>
      <c r="E64" s="137"/>
      <c r="F64" s="137"/>
      <c r="G64" s="137"/>
      <c r="H64" s="131" t="str">
        <f ca="1">IF(ISERROR(VLOOKUP(C64,'周期表（不要动）'!A:B,2,FALSE)),"",VLOOKUP(C64,'周期表（不要动）'!A:B,2,FALSE))</f>
        <v/>
      </c>
      <c r="I64" s="146">
        <f t="shared" si="0"/>
        <v>1</v>
      </c>
      <c r="J64" s="147" t="e">
        <f ca="1">VLOOKUP(B64,小熊定理判定!A:D,2,FALSE)</f>
        <v>#N/A</v>
      </c>
      <c r="K64" s="147" t="e">
        <f ca="1">VLOOKUP(B64,小熊定理判定!A:D,3,FALSE)</f>
        <v>#N/A</v>
      </c>
      <c r="L64" s="147" t="e">
        <f ca="1">VLOOKUP(B64,小熊定理判定!A:D,4,FALSE)</f>
        <v>#N/A</v>
      </c>
      <c r="M64" s="148" t="e">
        <f ca="1">IF(ISNUMBER(OFFSET(指定日期分位点!$A$1,MATCH($B64,指定日期分位点!$C$2:$C$5000,0),MATCH(M$4,指定日期分位点!$B$1:$M$1,0))),OFFSET(指定日期分位点!$A$1,MATCH($B64,指定日期分位点!$C$2:$C$4000,0),MATCH(M$4,指定日期分位点!$B$1:$M$1,0)),"")/100</f>
        <v>#VALUE!</v>
      </c>
      <c r="N64" s="148" t="str">
        <f ca="1">IF(ISNUMBER(OFFSET(指定日期分位点!$A$1,MATCH($B64,指定日期分位点!$C$2:$C$5000,0),MATCH(N$4,指定日期分位点!$B$1:$M$1,0))),OFFSET(指定日期分位点!$A$1,MATCH($B64,指定日期分位点!$C$2:$C$4000,0),MATCH(N$4,指定日期分位点!$B$1:$M$1,0)),"")</f>
        <v/>
      </c>
      <c r="O64" s="25"/>
    </row>
    <row r="65" hidden="1" spans="1:15">
      <c r="A65" s="137"/>
      <c r="B65" s="137" t="str">
        <f ca="1">IF(ISTEXT(OFFSET(#REF!,MATCH($A65,#REF!,0),MATCH(B$4,#REF!,0))),OFFSET(#REF!,MATCH($A65,#REF!,0),MATCH(B$4,#REF!,0)),"")</f>
        <v/>
      </c>
      <c r="C65" s="137" t="str">
        <f ca="1">IF(ISTEXT(OFFSET(#REF!,MATCH($A65,#REF!,0),MATCH(C$4,#REF!,0))),OFFSET(#REF!,MATCH($A65,#REF!,0),MATCH(C$4,#REF!,0)),"")</f>
        <v/>
      </c>
      <c r="D65" s="137" t="str">
        <f ca="1">IF(ISNUMBER(OFFSET(#REF!,MATCH($A65,#REF!,0),MATCH(D$4,#REF!,0))),OFFSET(#REF!,MATCH($A65,#REF!,0),MATCH(D$4,#REF!,0)),"")</f>
        <v/>
      </c>
      <c r="E65" s="137" t="str">
        <f ca="1">IF(ISNUMBER(OFFSET(#REF!,MATCH($A65,#REF!,0),MATCH(E$4,#REF!,0))),OFFSET(#REF!,MATCH($A65,#REF!,0),MATCH(E$4,#REF!,0)),"")</f>
        <v/>
      </c>
      <c r="F65" s="137" t="str">
        <f ca="1">IF(ISNUMBER(OFFSET(#REF!,MATCH($A65,#REF!,0),MATCH(F$4,#REF!,0))),OFFSET(#REF!,MATCH($A65,#REF!,0),MATCH(F$4,#REF!,0)),"")</f>
        <v/>
      </c>
      <c r="G65" s="137" t="str">
        <f ca="1">IF(ISNUMBER(OFFSET(#REF!,MATCH($A65,#REF!,0),MATCH(G$4,#REF!,0))),OFFSET(#REF!,MATCH($A65,#REF!,0),MATCH(G$4,#REF!,0)),"")</f>
        <v/>
      </c>
      <c r="H65" s="132" t="str">
        <f ca="1">IF(ISERROR(VLOOKUP(C65,'周期表（不要动）'!A:B,2,FALSE)),"",VLOOKUP(C65,'周期表（不要动）'!A:B,2,FALSE))</f>
        <v/>
      </c>
      <c r="I65" s="146">
        <f ca="1" t="shared" si="0"/>
        <v>0</v>
      </c>
      <c r="J65" s="147" t="e">
        <f ca="1">VLOOKUP(B65,小熊定理判定!A:D,2,FALSE)</f>
        <v>#N/A</v>
      </c>
      <c r="K65" s="147" t="e">
        <f ca="1">VLOOKUP(B65,小熊定理判定!A:D,3,FALSE)</f>
        <v>#N/A</v>
      </c>
      <c r="L65" s="147" t="e">
        <f ca="1">VLOOKUP(B65,小熊定理判定!A:D,4,FALSE)</f>
        <v>#N/A</v>
      </c>
      <c r="M65" s="148" t="e">
        <f ca="1">IF(ISNUMBER(OFFSET(指定日期分位点!$A$1,MATCH($B65,指定日期分位点!$C$2:$C$5000,0),MATCH(M$4,指定日期分位点!$B$1:$M$1,0))),OFFSET(指定日期分位点!$A$1,MATCH($B65,指定日期分位点!$C$2:$C$4000,0),MATCH(M$4,指定日期分位点!$B$1:$M$1,0)),"")/100</f>
        <v>#VALUE!</v>
      </c>
      <c r="N65" s="148" t="str">
        <f ca="1">IF(ISNUMBER(OFFSET(指定日期分位点!$A$1,MATCH($B65,指定日期分位点!$C$2:$C$5000,0),MATCH(N$4,指定日期分位点!$B$1:$M$1,0))),OFFSET(指定日期分位点!$A$1,MATCH($B65,指定日期分位点!$C$2:$C$4000,0),MATCH(N$4,指定日期分位点!$B$1:$M$1,0)),"")</f>
        <v/>
      </c>
      <c r="O65" s="25"/>
    </row>
    <row r="66" hidden="1" spans="1:15">
      <c r="A66" s="137"/>
      <c r="B66" s="137" t="str">
        <f ca="1">IF(ISTEXT(OFFSET(#REF!,MATCH($A66,#REF!,0),MATCH(B$4,#REF!,0))),OFFSET(#REF!,MATCH($A66,#REF!,0),MATCH(B$4,#REF!,0)),"")</f>
        <v/>
      </c>
      <c r="C66" s="137" t="str">
        <f ca="1">IF(ISTEXT(OFFSET(#REF!,MATCH($A66,#REF!,0),MATCH(C$4,#REF!,0))),OFFSET(#REF!,MATCH($A66,#REF!,0),MATCH(C$4,#REF!,0)),"")</f>
        <v/>
      </c>
      <c r="D66" s="137" t="str">
        <f ca="1">IF(ISNUMBER(OFFSET(#REF!,MATCH($A66,#REF!,0),MATCH(D$4,#REF!,0))),OFFSET(#REF!,MATCH($A66,#REF!,0),MATCH(D$4,#REF!,0)),"")</f>
        <v/>
      </c>
      <c r="E66" s="137" t="str">
        <f ca="1">IF(ISNUMBER(OFFSET(#REF!,MATCH($A66,#REF!,0),MATCH(E$4,#REF!,0))),OFFSET(#REF!,MATCH($A66,#REF!,0),MATCH(E$4,#REF!,0)),"")</f>
        <v/>
      </c>
      <c r="F66" s="137" t="str">
        <f ca="1">IF(ISNUMBER(OFFSET(#REF!,MATCH($A66,#REF!,0),MATCH(F$4,#REF!,0))),OFFSET(#REF!,MATCH($A66,#REF!,0),MATCH(F$4,#REF!,0)),"")</f>
        <v/>
      </c>
      <c r="G66" s="137" t="str">
        <f ca="1">IF(ISNUMBER(OFFSET(#REF!,MATCH($A66,#REF!,0),MATCH(G$4,#REF!,0))),OFFSET(#REF!,MATCH($A66,#REF!,0),MATCH(G$4,#REF!,0)),"")</f>
        <v/>
      </c>
      <c r="H66" s="132" t="str">
        <f ca="1">IF(ISERROR(VLOOKUP(C66,'周期表（不要动）'!A:B,2,FALSE)),"",VLOOKUP(C66,'周期表（不要动）'!A:B,2,FALSE))</f>
        <v/>
      </c>
      <c r="I66" s="146">
        <f ca="1" t="shared" si="0"/>
        <v>0</v>
      </c>
      <c r="J66" s="147" t="e">
        <f ca="1">VLOOKUP(B66,小熊定理判定!A:D,2,FALSE)</f>
        <v>#N/A</v>
      </c>
      <c r="K66" s="147" t="e">
        <f ca="1">VLOOKUP(B66,小熊定理判定!A:D,3,FALSE)</f>
        <v>#N/A</v>
      </c>
      <c r="L66" s="147" t="e">
        <f ca="1">VLOOKUP(B66,小熊定理判定!A:D,4,FALSE)</f>
        <v>#N/A</v>
      </c>
      <c r="M66" s="148" t="e">
        <f ca="1">IF(ISNUMBER(OFFSET(指定日期分位点!$A$1,MATCH($B66,指定日期分位点!$C$2:$C$5000,0),MATCH(M$4,指定日期分位点!$B$1:$M$1,0))),OFFSET(指定日期分位点!$A$1,MATCH($B66,指定日期分位点!$C$2:$C$4000,0),MATCH(M$4,指定日期分位点!$B$1:$M$1,0)),"")/100</f>
        <v>#VALUE!</v>
      </c>
      <c r="N66" s="148" t="str">
        <f ca="1">IF(ISNUMBER(OFFSET(指定日期分位点!$A$1,MATCH($B66,指定日期分位点!$C$2:$C$5000,0),MATCH(N$4,指定日期分位点!$B$1:$M$1,0))),OFFSET(指定日期分位点!$A$1,MATCH($B66,指定日期分位点!$C$2:$C$4000,0),MATCH(N$4,指定日期分位点!$B$1:$M$1,0)),"")</f>
        <v/>
      </c>
      <c r="O66" s="25"/>
    </row>
    <row r="67" hidden="1" spans="1:15">
      <c r="A67" s="137"/>
      <c r="B67" s="137" t="str">
        <f ca="1">IF(ISTEXT(OFFSET(#REF!,MATCH($A67,#REF!,0),MATCH(B$4,#REF!,0))),OFFSET(#REF!,MATCH($A67,#REF!,0),MATCH(B$4,#REF!,0)),"")</f>
        <v/>
      </c>
      <c r="C67" s="137" t="str">
        <f ca="1">IF(ISTEXT(OFFSET(#REF!,MATCH($A67,#REF!,0),MATCH(C$4,#REF!,0))),OFFSET(#REF!,MATCH($A67,#REF!,0),MATCH(C$4,#REF!,0)),"")</f>
        <v/>
      </c>
      <c r="D67" s="137" t="str">
        <f ca="1">IF(ISNUMBER(OFFSET(#REF!,MATCH($A67,#REF!,0),MATCH(D$4,#REF!,0))),OFFSET(#REF!,MATCH($A67,#REF!,0),MATCH(D$4,#REF!,0)),"")</f>
        <v/>
      </c>
      <c r="E67" s="137" t="str">
        <f ca="1">IF(ISNUMBER(OFFSET(#REF!,MATCH($A67,#REF!,0),MATCH(E$4,#REF!,0))),OFFSET(#REF!,MATCH($A67,#REF!,0),MATCH(E$4,#REF!,0)),"")</f>
        <v/>
      </c>
      <c r="F67" s="137" t="str">
        <f ca="1">IF(ISNUMBER(OFFSET(#REF!,MATCH($A67,#REF!,0),MATCH(F$4,#REF!,0))),OFFSET(#REF!,MATCH($A67,#REF!,0),MATCH(F$4,#REF!,0)),"")</f>
        <v/>
      </c>
      <c r="G67" s="137" t="str">
        <f ca="1">IF(ISNUMBER(OFFSET(#REF!,MATCH($A67,#REF!,0),MATCH(G$4,#REF!,0))),OFFSET(#REF!,MATCH($A67,#REF!,0),MATCH(G$4,#REF!,0)),"")</f>
        <v/>
      </c>
      <c r="H67" s="132" t="str">
        <f ca="1">IF(ISERROR(VLOOKUP(C67,'周期表（不要动）'!A:B,2,FALSE)),"",VLOOKUP(C67,'周期表（不要动）'!A:B,2,FALSE))</f>
        <v/>
      </c>
      <c r="I67" s="146">
        <f ca="1" t="shared" si="0"/>
        <v>0</v>
      </c>
      <c r="J67" s="147" t="e">
        <f ca="1">VLOOKUP(B67,小熊定理判定!A:D,2,FALSE)</f>
        <v>#N/A</v>
      </c>
      <c r="K67" s="147" t="e">
        <f ca="1">VLOOKUP(B67,小熊定理判定!A:D,3,FALSE)</f>
        <v>#N/A</v>
      </c>
      <c r="L67" s="147" t="e">
        <f ca="1">VLOOKUP(B67,小熊定理判定!A:D,4,FALSE)</f>
        <v>#N/A</v>
      </c>
      <c r="M67" s="148" t="e">
        <f ca="1">IF(ISNUMBER(OFFSET(指定日期分位点!$A$1,MATCH($B67,指定日期分位点!$C$2:$C$5000,0),MATCH(M$4,指定日期分位点!$B$1:$M$1,0))),OFFSET(指定日期分位点!$A$1,MATCH($B67,指定日期分位点!$C$2:$C$4000,0),MATCH(M$4,指定日期分位点!$B$1:$M$1,0)),"")/100</f>
        <v>#VALUE!</v>
      </c>
      <c r="N67" s="148" t="str">
        <f ca="1">IF(ISNUMBER(OFFSET(指定日期分位点!$A$1,MATCH($B67,指定日期分位点!$C$2:$C$5000,0),MATCH(N$4,指定日期分位点!$B$1:$M$1,0))),OFFSET(指定日期分位点!$A$1,MATCH($B67,指定日期分位点!$C$2:$C$4000,0),MATCH(N$4,指定日期分位点!$B$1:$M$1,0)),"")</f>
        <v/>
      </c>
      <c r="O67" s="25"/>
    </row>
    <row r="68" hidden="1" spans="1:15">
      <c r="A68" s="137"/>
      <c r="B68" s="137" t="str">
        <f ca="1">IF(ISTEXT(OFFSET(#REF!,MATCH($A68,#REF!,0),MATCH(B$4,#REF!,0))),OFFSET(#REF!,MATCH($A68,#REF!,0),MATCH(B$4,#REF!,0)),"")</f>
        <v/>
      </c>
      <c r="C68" s="137" t="str">
        <f ca="1">IF(ISTEXT(OFFSET(#REF!,MATCH($A68,#REF!,0),MATCH(C$4,#REF!,0))),OFFSET(#REF!,MATCH($A68,#REF!,0),MATCH(C$4,#REF!,0)),"")</f>
        <v/>
      </c>
      <c r="D68" s="137" t="str">
        <f ca="1">IF(ISNUMBER(OFFSET(#REF!,MATCH($A68,#REF!,0),MATCH(D$4,#REF!,0))),OFFSET(#REF!,MATCH($A68,#REF!,0),MATCH(D$4,#REF!,0)),"")</f>
        <v/>
      </c>
      <c r="E68" s="137" t="str">
        <f ca="1">IF(ISNUMBER(OFFSET(#REF!,MATCH($A68,#REF!,0),MATCH(E$4,#REF!,0))),OFFSET(#REF!,MATCH($A68,#REF!,0),MATCH(E$4,#REF!,0)),"")</f>
        <v/>
      </c>
      <c r="F68" s="137" t="str">
        <f ca="1">IF(ISNUMBER(OFFSET(#REF!,MATCH($A68,#REF!,0),MATCH(F$4,#REF!,0))),OFFSET(#REF!,MATCH($A68,#REF!,0),MATCH(F$4,#REF!,0)),"")</f>
        <v/>
      </c>
      <c r="G68" s="137" t="str">
        <f ca="1">IF(ISNUMBER(OFFSET(#REF!,MATCH($A68,#REF!,0),MATCH(G$4,#REF!,0))),OFFSET(#REF!,MATCH($A68,#REF!,0),MATCH(G$4,#REF!,0)),"")</f>
        <v/>
      </c>
      <c r="H68" s="132" t="str">
        <f ca="1">IF(ISERROR(VLOOKUP(C68,'周期表（不要动）'!A:B,2,FALSE)),"",VLOOKUP(C68,'周期表（不要动）'!A:B,2,FALSE))</f>
        <v/>
      </c>
      <c r="I68" s="146">
        <f ca="1" t="shared" si="0"/>
        <v>0</v>
      </c>
      <c r="J68" s="147" t="e">
        <f ca="1">VLOOKUP(B68,小熊定理判定!A:D,2,FALSE)</f>
        <v>#N/A</v>
      </c>
      <c r="K68" s="147" t="e">
        <f ca="1">VLOOKUP(B68,小熊定理判定!A:D,3,FALSE)</f>
        <v>#N/A</v>
      </c>
      <c r="L68" s="147" t="e">
        <f ca="1">VLOOKUP(B68,小熊定理判定!A:D,4,FALSE)</f>
        <v>#N/A</v>
      </c>
      <c r="M68" s="148" t="e">
        <f ca="1">IF(ISNUMBER(OFFSET(指定日期分位点!$A$1,MATCH($B68,指定日期分位点!$C$2:$C$5000,0),MATCH(M$4,指定日期分位点!$B$1:$M$1,0))),OFFSET(指定日期分位点!$A$1,MATCH($B68,指定日期分位点!$C$2:$C$4000,0),MATCH(M$4,指定日期分位点!$B$1:$M$1,0)),"")/100</f>
        <v>#VALUE!</v>
      </c>
      <c r="N68" s="148" t="str">
        <f ca="1">IF(ISNUMBER(OFFSET(指定日期分位点!$A$1,MATCH($B68,指定日期分位点!$C$2:$C$5000,0),MATCH(N$4,指定日期分位点!$B$1:$M$1,0))),OFFSET(指定日期分位点!$A$1,MATCH($B68,指定日期分位点!$C$2:$C$4000,0),MATCH(N$4,指定日期分位点!$B$1:$M$1,0)),"")</f>
        <v/>
      </c>
      <c r="O68" s="25"/>
    </row>
    <row r="69" hidden="1" spans="1:15">
      <c r="A69" s="137"/>
      <c r="B69" s="137" t="str">
        <f ca="1">IF(ISTEXT(OFFSET(#REF!,MATCH($A69,#REF!,0),MATCH(B$4,#REF!,0))),OFFSET(#REF!,MATCH($A69,#REF!,0),MATCH(B$4,#REF!,0)),"")</f>
        <v/>
      </c>
      <c r="C69" s="137" t="str">
        <f ca="1">IF(ISTEXT(OFFSET(#REF!,MATCH($A69,#REF!,0),MATCH(C$4,#REF!,0))),OFFSET(#REF!,MATCH($A69,#REF!,0),MATCH(C$4,#REF!,0)),"")</f>
        <v/>
      </c>
      <c r="D69" s="137" t="str">
        <f ca="1">IF(ISNUMBER(OFFSET(#REF!,MATCH($A69,#REF!,0),MATCH(D$4,#REF!,0))),OFFSET(#REF!,MATCH($A69,#REF!,0),MATCH(D$4,#REF!,0)),"")</f>
        <v/>
      </c>
      <c r="E69" s="137" t="str">
        <f ca="1">IF(ISNUMBER(OFFSET(#REF!,MATCH($A69,#REF!,0),MATCH(E$4,#REF!,0))),OFFSET(#REF!,MATCH($A69,#REF!,0),MATCH(E$4,#REF!,0)),"")</f>
        <v/>
      </c>
      <c r="F69" s="137" t="str">
        <f ca="1">IF(ISNUMBER(OFFSET(#REF!,MATCH($A69,#REF!,0),MATCH(F$4,#REF!,0))),OFFSET(#REF!,MATCH($A69,#REF!,0),MATCH(F$4,#REF!,0)),"")</f>
        <v/>
      </c>
      <c r="G69" s="137" t="str">
        <f ca="1">IF(ISNUMBER(OFFSET(#REF!,MATCH($A69,#REF!,0),MATCH(G$4,#REF!,0))),OFFSET(#REF!,MATCH($A69,#REF!,0),MATCH(G$4,#REF!,0)),"")</f>
        <v/>
      </c>
      <c r="H69" s="132" t="str">
        <f ca="1">IF(ISERROR(VLOOKUP(C69,'周期表（不要动）'!A:B,2,FALSE)),"",VLOOKUP(C69,'周期表（不要动）'!A:B,2,FALSE))</f>
        <v/>
      </c>
      <c r="I69" s="146">
        <f ca="1" t="shared" si="0"/>
        <v>0</v>
      </c>
      <c r="J69" s="147" t="e">
        <f ca="1">VLOOKUP(B69,小熊定理判定!A:D,2,FALSE)</f>
        <v>#N/A</v>
      </c>
      <c r="K69" s="147" t="e">
        <f ca="1">VLOOKUP(B69,小熊定理判定!A:D,3,FALSE)</f>
        <v>#N/A</v>
      </c>
      <c r="L69" s="147" t="e">
        <f ca="1">VLOOKUP(B69,小熊定理判定!A:D,4,FALSE)</f>
        <v>#N/A</v>
      </c>
      <c r="M69" s="148" t="e">
        <f ca="1">IF(ISNUMBER(OFFSET(指定日期分位点!$A$1,MATCH($B69,指定日期分位点!$C$2:$C$5000,0),MATCH(M$4,指定日期分位点!$B$1:$M$1,0))),OFFSET(指定日期分位点!$A$1,MATCH($B69,指定日期分位点!$C$2:$C$4000,0),MATCH(M$4,指定日期分位点!$B$1:$M$1,0)),"")/100</f>
        <v>#VALUE!</v>
      </c>
      <c r="N69" s="148" t="str">
        <f ca="1">IF(ISNUMBER(OFFSET(指定日期分位点!$A$1,MATCH($B69,指定日期分位点!$C$2:$C$5000,0),MATCH(N$4,指定日期分位点!$B$1:$M$1,0))),OFFSET(指定日期分位点!$A$1,MATCH($B69,指定日期分位点!$C$2:$C$4000,0),MATCH(N$4,指定日期分位点!$B$1:$M$1,0)),"")</f>
        <v/>
      </c>
      <c r="O69" s="25"/>
    </row>
    <row r="70" hidden="1" spans="1:15">
      <c r="A70" s="137"/>
      <c r="B70" s="137" t="str">
        <f ca="1">IF(ISTEXT(OFFSET(#REF!,MATCH($A70,#REF!,0),MATCH(B$4,#REF!,0))),OFFSET(#REF!,MATCH($A70,#REF!,0),MATCH(B$4,#REF!,0)),"")</f>
        <v/>
      </c>
      <c r="C70" s="137" t="str">
        <f ca="1">IF(ISTEXT(OFFSET(#REF!,MATCH($A70,#REF!,0),MATCH(C$4,#REF!,0))),OFFSET(#REF!,MATCH($A70,#REF!,0),MATCH(C$4,#REF!,0)),"")</f>
        <v/>
      </c>
      <c r="D70" s="137" t="str">
        <f ca="1">IF(ISNUMBER(OFFSET(#REF!,MATCH($A70,#REF!,0),MATCH(D$4,#REF!,0))),OFFSET(#REF!,MATCH($A70,#REF!,0),MATCH(D$4,#REF!,0)),"")</f>
        <v/>
      </c>
      <c r="E70" s="137" t="str">
        <f ca="1">IF(ISNUMBER(OFFSET(#REF!,MATCH($A70,#REF!,0),MATCH(E$4,#REF!,0))),OFFSET(#REF!,MATCH($A70,#REF!,0),MATCH(E$4,#REF!,0)),"")</f>
        <v/>
      </c>
      <c r="F70" s="137" t="str">
        <f ca="1">IF(ISNUMBER(OFFSET(#REF!,MATCH($A70,#REF!,0),MATCH(F$4,#REF!,0))),OFFSET(#REF!,MATCH($A70,#REF!,0),MATCH(F$4,#REF!,0)),"")</f>
        <v/>
      </c>
      <c r="G70" s="137" t="str">
        <f ca="1">IF(ISNUMBER(OFFSET(#REF!,MATCH($A70,#REF!,0),MATCH(G$4,#REF!,0))),OFFSET(#REF!,MATCH($A70,#REF!,0),MATCH(G$4,#REF!,0)),"")</f>
        <v/>
      </c>
      <c r="H70" s="132" t="str">
        <f ca="1">IF(ISERROR(VLOOKUP(C70,'周期表（不要动）'!A:B,2,FALSE)),"",VLOOKUP(C70,'周期表（不要动）'!A:B,2,FALSE))</f>
        <v/>
      </c>
      <c r="I70" s="146">
        <f ca="1" t="shared" si="0"/>
        <v>0</v>
      </c>
      <c r="J70" s="147" t="e">
        <f ca="1">VLOOKUP(B70,小熊定理判定!A:D,2,FALSE)</f>
        <v>#N/A</v>
      </c>
      <c r="K70" s="147" t="e">
        <f ca="1">VLOOKUP(B70,小熊定理判定!A:D,3,FALSE)</f>
        <v>#N/A</v>
      </c>
      <c r="L70" s="147" t="e">
        <f ca="1">VLOOKUP(B70,小熊定理判定!A:D,4,FALSE)</f>
        <v>#N/A</v>
      </c>
      <c r="M70" s="148" t="e">
        <f ca="1">IF(ISNUMBER(OFFSET(指定日期分位点!$A$1,MATCH($B70,指定日期分位点!$C$2:$C$5000,0),MATCH(M$4,指定日期分位点!$B$1:$M$1,0))),OFFSET(指定日期分位点!$A$1,MATCH($B70,指定日期分位点!$C$2:$C$4000,0),MATCH(M$4,指定日期分位点!$B$1:$M$1,0)),"")/100</f>
        <v>#VALUE!</v>
      </c>
      <c r="N70" s="148" t="str">
        <f ca="1">IF(ISNUMBER(OFFSET(指定日期分位点!$A$1,MATCH($B70,指定日期分位点!$C$2:$C$5000,0),MATCH(N$4,指定日期分位点!$B$1:$M$1,0))),OFFSET(指定日期分位点!$A$1,MATCH($B70,指定日期分位点!$C$2:$C$4000,0),MATCH(N$4,指定日期分位点!$B$1:$M$1,0)),"")</f>
        <v/>
      </c>
      <c r="O70" s="25"/>
    </row>
    <row r="71" hidden="1" spans="1:15">
      <c r="A71" s="137"/>
      <c r="B71" s="137" t="str">
        <f ca="1">IF(ISTEXT(OFFSET(#REF!,MATCH($A71,#REF!,0),MATCH(B$4,#REF!,0))),OFFSET(#REF!,MATCH($A71,#REF!,0),MATCH(B$4,#REF!,0)),"")</f>
        <v/>
      </c>
      <c r="C71" s="137" t="str">
        <f ca="1">IF(ISTEXT(OFFSET(#REF!,MATCH($A71,#REF!,0),MATCH(C$4,#REF!,0))),OFFSET(#REF!,MATCH($A71,#REF!,0),MATCH(C$4,#REF!,0)),"")</f>
        <v/>
      </c>
      <c r="D71" s="137" t="str">
        <f ca="1">IF(ISNUMBER(OFFSET(#REF!,MATCH($A71,#REF!,0),MATCH(D$4,#REF!,0))),OFFSET(#REF!,MATCH($A71,#REF!,0),MATCH(D$4,#REF!,0)),"")</f>
        <v/>
      </c>
      <c r="E71" s="137" t="str">
        <f ca="1">IF(ISNUMBER(OFFSET(#REF!,MATCH($A71,#REF!,0),MATCH(E$4,#REF!,0))),OFFSET(#REF!,MATCH($A71,#REF!,0),MATCH(E$4,#REF!,0)),"")</f>
        <v/>
      </c>
      <c r="F71" s="137" t="str">
        <f ca="1">IF(ISNUMBER(OFFSET(#REF!,MATCH($A71,#REF!,0),MATCH(F$4,#REF!,0))),OFFSET(#REF!,MATCH($A71,#REF!,0),MATCH(F$4,#REF!,0)),"")</f>
        <v/>
      </c>
      <c r="G71" s="137" t="str">
        <f ca="1">IF(ISNUMBER(OFFSET(#REF!,MATCH($A71,#REF!,0),MATCH(G$4,#REF!,0))),OFFSET(#REF!,MATCH($A71,#REF!,0),MATCH(G$4,#REF!,0)),"")</f>
        <v/>
      </c>
      <c r="H71" s="132" t="str">
        <f ca="1">IF(ISERROR(VLOOKUP(C71,'周期表（不要动）'!A:B,2,FALSE)),"",VLOOKUP(C71,'周期表（不要动）'!A:B,2,FALSE))</f>
        <v/>
      </c>
      <c r="I71" s="146">
        <f ca="1" t="shared" si="0"/>
        <v>0</v>
      </c>
      <c r="J71" s="147" t="e">
        <f ca="1">VLOOKUP(B71,小熊定理判定!A:D,2,FALSE)</f>
        <v>#N/A</v>
      </c>
      <c r="K71" s="147" t="e">
        <f ca="1">VLOOKUP(B71,小熊定理判定!A:D,3,FALSE)</f>
        <v>#N/A</v>
      </c>
      <c r="L71" s="147" t="e">
        <f ca="1">VLOOKUP(B71,小熊定理判定!A:D,4,FALSE)</f>
        <v>#N/A</v>
      </c>
      <c r="M71" s="148" t="e">
        <f ca="1">IF(ISNUMBER(OFFSET(指定日期分位点!$A$1,MATCH($B71,指定日期分位点!$C$2:$C$5000,0),MATCH(M$4,指定日期分位点!$B$1:$M$1,0))),OFFSET(指定日期分位点!$A$1,MATCH($B71,指定日期分位点!$C$2:$C$4000,0),MATCH(M$4,指定日期分位点!$B$1:$M$1,0)),"")/100</f>
        <v>#VALUE!</v>
      </c>
      <c r="N71" s="148" t="str">
        <f ca="1">IF(ISNUMBER(OFFSET(指定日期分位点!$A$1,MATCH($B71,指定日期分位点!$C$2:$C$5000,0),MATCH(N$4,指定日期分位点!$B$1:$M$1,0))),OFFSET(指定日期分位点!$A$1,MATCH($B71,指定日期分位点!$C$2:$C$4000,0),MATCH(N$4,指定日期分位点!$B$1:$M$1,0)),"")</f>
        <v/>
      </c>
      <c r="O71" s="25"/>
    </row>
    <row r="72" hidden="1" spans="1:15">
      <c r="A72" s="137"/>
      <c r="B72" s="137" t="str">
        <f ca="1">IF(ISTEXT(OFFSET(#REF!,MATCH($A72,#REF!,0),MATCH(B$4,#REF!,0))),OFFSET(#REF!,MATCH($A72,#REF!,0),MATCH(B$4,#REF!,0)),"")</f>
        <v/>
      </c>
      <c r="C72" s="137" t="str">
        <f ca="1">IF(ISTEXT(OFFSET(#REF!,MATCH($A72,#REF!,0),MATCH(C$4,#REF!,0))),OFFSET(#REF!,MATCH($A72,#REF!,0),MATCH(C$4,#REF!,0)),"")</f>
        <v/>
      </c>
      <c r="D72" s="137" t="str">
        <f ca="1">IF(ISNUMBER(OFFSET(#REF!,MATCH($A72,#REF!,0),MATCH(D$4,#REF!,0))),OFFSET(#REF!,MATCH($A72,#REF!,0),MATCH(D$4,#REF!,0)),"")</f>
        <v/>
      </c>
      <c r="E72" s="137" t="str">
        <f ca="1">IF(ISNUMBER(OFFSET(#REF!,MATCH($A72,#REF!,0),MATCH(E$4,#REF!,0))),OFFSET(#REF!,MATCH($A72,#REF!,0),MATCH(E$4,#REF!,0)),"")</f>
        <v/>
      </c>
      <c r="F72" s="137" t="str">
        <f ca="1">IF(ISNUMBER(OFFSET(#REF!,MATCH($A72,#REF!,0),MATCH(F$4,#REF!,0))),OFFSET(#REF!,MATCH($A72,#REF!,0),MATCH(F$4,#REF!,0)),"")</f>
        <v/>
      </c>
      <c r="G72" s="137" t="str">
        <f ca="1">IF(ISNUMBER(OFFSET(#REF!,MATCH($A72,#REF!,0),MATCH(G$4,#REF!,0))),OFFSET(#REF!,MATCH($A72,#REF!,0),MATCH(G$4,#REF!,0)),"")</f>
        <v/>
      </c>
      <c r="H72" s="132" t="str">
        <f ca="1">IF(ISERROR(VLOOKUP(C72,'周期表（不要动）'!A:B,2,FALSE)),"",VLOOKUP(C72,'周期表（不要动）'!A:B,2,FALSE))</f>
        <v/>
      </c>
      <c r="I72" s="146">
        <f ca="1" t="shared" si="0"/>
        <v>0</v>
      </c>
      <c r="J72" s="147" t="e">
        <f ca="1">VLOOKUP(B72,小熊定理判定!A:D,2,FALSE)</f>
        <v>#N/A</v>
      </c>
      <c r="K72" s="147" t="e">
        <f ca="1">VLOOKUP(B72,小熊定理判定!A:D,3,FALSE)</f>
        <v>#N/A</v>
      </c>
      <c r="L72" s="147" t="e">
        <f ca="1">VLOOKUP(B72,小熊定理判定!A:D,4,FALSE)</f>
        <v>#N/A</v>
      </c>
      <c r="M72" s="148" t="e">
        <f ca="1">IF(ISNUMBER(OFFSET(指定日期分位点!$A$1,MATCH($B72,指定日期分位点!$C$2:$C$5000,0),MATCH(M$4,指定日期分位点!$B$1:$M$1,0))),OFFSET(指定日期分位点!$A$1,MATCH($B72,指定日期分位点!$C$2:$C$4000,0),MATCH(M$4,指定日期分位点!$B$1:$M$1,0)),"")/100</f>
        <v>#VALUE!</v>
      </c>
      <c r="N72" s="148" t="str">
        <f ca="1">IF(ISNUMBER(OFFSET(指定日期分位点!$A$1,MATCH($B72,指定日期分位点!$C$2:$C$5000,0),MATCH(N$4,指定日期分位点!$B$1:$M$1,0))),OFFSET(指定日期分位点!$A$1,MATCH($B72,指定日期分位点!$C$2:$C$4000,0),MATCH(N$4,指定日期分位点!$B$1:$M$1,0)),"")</f>
        <v/>
      </c>
      <c r="O72" s="25"/>
    </row>
    <row r="73" hidden="1" spans="1:15">
      <c r="A73" s="137"/>
      <c r="B73" s="137" t="str">
        <f ca="1">IF(ISTEXT(OFFSET(#REF!,MATCH($A73,#REF!,0),MATCH(B$4,#REF!,0))),OFFSET(#REF!,MATCH($A73,#REF!,0),MATCH(B$4,#REF!,0)),"")</f>
        <v/>
      </c>
      <c r="C73" s="137" t="str">
        <f ca="1">IF(ISTEXT(OFFSET(#REF!,MATCH($A73,#REF!,0),MATCH(C$4,#REF!,0))),OFFSET(#REF!,MATCH($A73,#REF!,0),MATCH(C$4,#REF!,0)),"")</f>
        <v/>
      </c>
      <c r="D73" s="137" t="str">
        <f ca="1">IF(ISNUMBER(OFFSET(#REF!,MATCH($A73,#REF!,0),MATCH(D$4,#REF!,0))),OFFSET(#REF!,MATCH($A73,#REF!,0),MATCH(D$4,#REF!,0)),"")</f>
        <v/>
      </c>
      <c r="E73" s="137" t="str">
        <f ca="1">IF(ISNUMBER(OFFSET(#REF!,MATCH($A73,#REF!,0),MATCH(E$4,#REF!,0))),OFFSET(#REF!,MATCH($A73,#REF!,0),MATCH(E$4,#REF!,0)),"")</f>
        <v/>
      </c>
      <c r="F73" s="137" t="str">
        <f ca="1">IF(ISNUMBER(OFFSET(#REF!,MATCH($A73,#REF!,0),MATCH(F$4,#REF!,0))),OFFSET(#REF!,MATCH($A73,#REF!,0),MATCH(F$4,#REF!,0)),"")</f>
        <v/>
      </c>
      <c r="G73" s="137" t="str">
        <f ca="1">IF(ISNUMBER(OFFSET(#REF!,MATCH($A73,#REF!,0),MATCH(G$4,#REF!,0))),OFFSET(#REF!,MATCH($A73,#REF!,0),MATCH(G$4,#REF!,0)),"")</f>
        <v/>
      </c>
      <c r="H73" s="132" t="str">
        <f ca="1">IF(ISERROR(VLOOKUP(C73,'周期表（不要动）'!A:B,2,FALSE)),"",VLOOKUP(C73,'周期表（不要动）'!A:B,2,FALSE))</f>
        <v/>
      </c>
      <c r="I73" s="146">
        <f ca="1" t="shared" si="0"/>
        <v>0</v>
      </c>
      <c r="J73" s="147" t="e">
        <f ca="1">VLOOKUP(B73,小熊定理判定!A:D,2,FALSE)</f>
        <v>#N/A</v>
      </c>
      <c r="K73" s="147" t="e">
        <f ca="1">VLOOKUP(B73,小熊定理判定!A:D,3,FALSE)</f>
        <v>#N/A</v>
      </c>
      <c r="L73" s="147" t="e">
        <f ca="1">VLOOKUP(B73,小熊定理判定!A:D,4,FALSE)</f>
        <v>#N/A</v>
      </c>
      <c r="M73" s="148" t="e">
        <f ca="1">IF(ISNUMBER(OFFSET(指定日期分位点!$A$1,MATCH($B73,指定日期分位点!$C$2:$C$5000,0),MATCH(M$4,指定日期分位点!$B$1:$M$1,0))),OFFSET(指定日期分位点!$A$1,MATCH($B73,指定日期分位点!$C$2:$C$4000,0),MATCH(M$4,指定日期分位点!$B$1:$M$1,0)),"")/100</f>
        <v>#VALUE!</v>
      </c>
      <c r="N73" s="148" t="str">
        <f ca="1">IF(ISNUMBER(OFFSET(指定日期分位点!$A$1,MATCH($B73,指定日期分位点!$C$2:$C$5000,0),MATCH(N$4,指定日期分位点!$B$1:$M$1,0))),OFFSET(指定日期分位点!$A$1,MATCH($B73,指定日期分位点!$C$2:$C$4000,0),MATCH(N$4,指定日期分位点!$B$1:$M$1,0)),"")</f>
        <v/>
      </c>
      <c r="O73" s="25"/>
    </row>
    <row r="74" hidden="1" spans="1:15">
      <c r="A74" s="137"/>
      <c r="B74" s="137" t="str">
        <f ca="1">IF(ISTEXT(OFFSET(#REF!,MATCH($A74,#REF!,0),MATCH(B$4,#REF!,0))),OFFSET(#REF!,MATCH($A74,#REF!,0),MATCH(B$4,#REF!,0)),"")</f>
        <v/>
      </c>
      <c r="C74" s="137" t="str">
        <f ca="1">IF(ISTEXT(OFFSET(#REF!,MATCH($A74,#REF!,0),MATCH(C$4,#REF!,0))),OFFSET(#REF!,MATCH($A74,#REF!,0),MATCH(C$4,#REF!,0)),"")</f>
        <v/>
      </c>
      <c r="D74" s="137" t="str">
        <f ca="1">IF(ISNUMBER(OFFSET(#REF!,MATCH($A74,#REF!,0),MATCH(D$4,#REF!,0))),OFFSET(#REF!,MATCH($A74,#REF!,0),MATCH(D$4,#REF!,0)),"")</f>
        <v/>
      </c>
      <c r="E74" s="137" t="str">
        <f ca="1">IF(ISNUMBER(OFFSET(#REF!,MATCH($A74,#REF!,0),MATCH(E$4,#REF!,0))),OFFSET(#REF!,MATCH($A74,#REF!,0),MATCH(E$4,#REF!,0)),"")</f>
        <v/>
      </c>
      <c r="F74" s="137" t="str">
        <f ca="1">IF(ISNUMBER(OFFSET(#REF!,MATCH($A74,#REF!,0),MATCH(F$4,#REF!,0))),OFFSET(#REF!,MATCH($A74,#REF!,0),MATCH(F$4,#REF!,0)),"")</f>
        <v/>
      </c>
      <c r="G74" s="137" t="str">
        <f ca="1">IF(ISNUMBER(OFFSET(#REF!,MATCH($A74,#REF!,0),MATCH(G$4,#REF!,0))),OFFSET(#REF!,MATCH($A74,#REF!,0),MATCH(G$4,#REF!,0)),"")</f>
        <v/>
      </c>
      <c r="H74" s="132" t="str">
        <f ca="1">IF(ISERROR(VLOOKUP(C74,'周期表（不要动）'!A:B,2,FALSE)),"",VLOOKUP(C74,'周期表（不要动）'!A:B,2,FALSE))</f>
        <v/>
      </c>
      <c r="I74" s="146">
        <f ca="1" t="shared" si="0"/>
        <v>0</v>
      </c>
      <c r="J74" s="147" t="e">
        <f ca="1">VLOOKUP(B74,小熊定理判定!A:D,2,FALSE)</f>
        <v>#N/A</v>
      </c>
      <c r="K74" s="147" t="e">
        <f ca="1">VLOOKUP(B74,小熊定理判定!A:D,3,FALSE)</f>
        <v>#N/A</v>
      </c>
      <c r="L74" s="147" t="e">
        <f ca="1">VLOOKUP(B74,小熊定理判定!A:D,4,FALSE)</f>
        <v>#N/A</v>
      </c>
      <c r="M74" s="148" t="e">
        <f ca="1">IF(ISNUMBER(OFFSET(指定日期分位点!$A$1,MATCH($B74,指定日期分位点!$C$2:$C$5000,0),MATCH(M$4,指定日期分位点!$B$1:$M$1,0))),OFFSET(指定日期分位点!$A$1,MATCH($B74,指定日期分位点!$C$2:$C$4000,0),MATCH(M$4,指定日期分位点!$B$1:$M$1,0)),"")/100</f>
        <v>#VALUE!</v>
      </c>
      <c r="N74" s="148" t="str">
        <f ca="1">IF(ISNUMBER(OFFSET(指定日期分位点!$A$1,MATCH($B74,指定日期分位点!$C$2:$C$5000,0),MATCH(N$4,指定日期分位点!$B$1:$M$1,0))),OFFSET(指定日期分位点!$A$1,MATCH($B74,指定日期分位点!$C$2:$C$4000,0),MATCH(N$4,指定日期分位点!$B$1:$M$1,0)),"")</f>
        <v/>
      </c>
      <c r="O74" s="25"/>
    </row>
    <row r="75" hidden="1" spans="1:15">
      <c r="A75" s="137"/>
      <c r="B75" s="137" t="str">
        <f ca="1">IF(ISTEXT(OFFSET(#REF!,MATCH($A75,#REF!,0),MATCH(B$4,#REF!,0))),OFFSET(#REF!,MATCH($A75,#REF!,0),MATCH(B$4,#REF!,0)),"")</f>
        <v/>
      </c>
      <c r="C75" s="137" t="str">
        <f ca="1">IF(ISTEXT(OFFSET(#REF!,MATCH($A75,#REF!,0),MATCH(C$4,#REF!,0))),OFFSET(#REF!,MATCH($A75,#REF!,0),MATCH(C$4,#REF!,0)),"")</f>
        <v/>
      </c>
      <c r="D75" s="137" t="str">
        <f ca="1">IF(ISNUMBER(OFFSET(#REF!,MATCH($A75,#REF!,0),MATCH(D$4,#REF!,0))),OFFSET(#REF!,MATCH($A75,#REF!,0),MATCH(D$4,#REF!,0)),"")</f>
        <v/>
      </c>
      <c r="E75" s="137" t="str">
        <f ca="1">IF(ISNUMBER(OFFSET(#REF!,MATCH($A75,#REF!,0),MATCH(E$4,#REF!,0))),OFFSET(#REF!,MATCH($A75,#REF!,0),MATCH(E$4,#REF!,0)),"")</f>
        <v/>
      </c>
      <c r="F75" s="137" t="str">
        <f ca="1">IF(ISNUMBER(OFFSET(#REF!,MATCH($A75,#REF!,0),MATCH(F$4,#REF!,0))),OFFSET(#REF!,MATCH($A75,#REF!,0),MATCH(F$4,#REF!,0)),"")</f>
        <v/>
      </c>
      <c r="G75" s="137" t="str">
        <f ca="1">IF(ISNUMBER(OFFSET(#REF!,MATCH($A75,#REF!,0),MATCH(G$4,#REF!,0))),OFFSET(#REF!,MATCH($A75,#REF!,0),MATCH(G$4,#REF!,0)),"")</f>
        <v/>
      </c>
      <c r="H75" s="132" t="str">
        <f ca="1">IF(ISERROR(VLOOKUP(C75,'周期表（不要动）'!A:B,2,FALSE)),"",VLOOKUP(C75,'周期表（不要动）'!A:B,2,FALSE))</f>
        <v/>
      </c>
      <c r="I75" s="146">
        <f ca="1" t="shared" si="0"/>
        <v>0</v>
      </c>
      <c r="J75" s="147" t="e">
        <f ca="1">VLOOKUP(B75,小熊定理判定!A:D,2,FALSE)</f>
        <v>#N/A</v>
      </c>
      <c r="K75" s="147" t="e">
        <f ca="1">VLOOKUP(B75,小熊定理判定!A:D,3,FALSE)</f>
        <v>#N/A</v>
      </c>
      <c r="L75" s="147" t="e">
        <f ca="1">VLOOKUP(B75,小熊定理判定!A:D,4,FALSE)</f>
        <v>#N/A</v>
      </c>
      <c r="M75" s="148" t="e">
        <f ca="1">IF(ISNUMBER(OFFSET(指定日期分位点!$A$1,MATCH($B75,指定日期分位点!$C$2:$C$5000,0),MATCH(M$4,指定日期分位点!$B$1:$M$1,0))),OFFSET(指定日期分位点!$A$1,MATCH($B75,指定日期分位点!$C$2:$C$4000,0),MATCH(M$4,指定日期分位点!$B$1:$M$1,0)),"")/100</f>
        <v>#VALUE!</v>
      </c>
      <c r="N75" s="148" t="str">
        <f ca="1">IF(ISNUMBER(OFFSET(指定日期分位点!$A$1,MATCH($B75,指定日期分位点!$C$2:$C$5000,0),MATCH(N$4,指定日期分位点!$B$1:$M$1,0))),OFFSET(指定日期分位点!$A$1,MATCH($B75,指定日期分位点!$C$2:$C$4000,0),MATCH(N$4,指定日期分位点!$B$1:$M$1,0)),"")</f>
        <v/>
      </c>
      <c r="O75" s="25"/>
    </row>
    <row r="76" hidden="1" spans="1:15">
      <c r="A76" s="137"/>
      <c r="B76" s="137" t="str">
        <f ca="1">IF(ISTEXT(OFFSET(#REF!,MATCH($A76,#REF!,0),MATCH(B$4,#REF!,0))),OFFSET(#REF!,MATCH($A76,#REF!,0),MATCH(B$4,#REF!,0)),"")</f>
        <v/>
      </c>
      <c r="C76" s="137" t="str">
        <f ca="1">IF(ISTEXT(OFFSET(#REF!,MATCH($A76,#REF!,0),MATCH(C$4,#REF!,0))),OFFSET(#REF!,MATCH($A76,#REF!,0),MATCH(C$4,#REF!,0)),"")</f>
        <v/>
      </c>
      <c r="D76" s="137" t="str">
        <f ca="1">IF(ISNUMBER(OFFSET(#REF!,MATCH($A76,#REF!,0),MATCH(D$4,#REF!,0))),OFFSET(#REF!,MATCH($A76,#REF!,0),MATCH(D$4,#REF!,0)),"")</f>
        <v/>
      </c>
      <c r="E76" s="137" t="str">
        <f ca="1">IF(ISNUMBER(OFFSET(#REF!,MATCH($A76,#REF!,0),MATCH(E$4,#REF!,0))),OFFSET(#REF!,MATCH($A76,#REF!,0),MATCH(E$4,#REF!,0)),"")</f>
        <v/>
      </c>
      <c r="F76" s="137" t="str">
        <f ca="1">IF(ISNUMBER(OFFSET(#REF!,MATCH($A76,#REF!,0),MATCH(F$4,#REF!,0))),OFFSET(#REF!,MATCH($A76,#REF!,0),MATCH(F$4,#REF!,0)),"")</f>
        <v/>
      </c>
      <c r="G76" s="137" t="str">
        <f ca="1">IF(ISNUMBER(OFFSET(#REF!,MATCH($A76,#REF!,0),MATCH(G$4,#REF!,0))),OFFSET(#REF!,MATCH($A76,#REF!,0),MATCH(G$4,#REF!,0)),"")</f>
        <v/>
      </c>
      <c r="H76" s="132" t="str">
        <f ca="1">IF(ISERROR(VLOOKUP(C76,'周期表（不要动）'!A:B,2,FALSE)),"",VLOOKUP(C76,'周期表（不要动）'!A:B,2,FALSE))</f>
        <v/>
      </c>
      <c r="I76" s="146">
        <f ca="1" t="shared" si="0"/>
        <v>0</v>
      </c>
      <c r="J76" s="147" t="e">
        <f ca="1">VLOOKUP(B76,小熊定理判定!A:D,2,FALSE)</f>
        <v>#N/A</v>
      </c>
      <c r="K76" s="147" t="e">
        <f ca="1">VLOOKUP(B76,小熊定理判定!A:D,3,FALSE)</f>
        <v>#N/A</v>
      </c>
      <c r="L76" s="147" t="e">
        <f ca="1">VLOOKUP(B76,小熊定理判定!A:D,4,FALSE)</f>
        <v>#N/A</v>
      </c>
      <c r="M76" s="148" t="e">
        <f ca="1">IF(ISNUMBER(OFFSET(指定日期分位点!$A$1,MATCH($B76,指定日期分位点!$C$2:$C$5000,0),MATCH(M$4,指定日期分位点!$B$1:$M$1,0))),OFFSET(指定日期分位点!$A$1,MATCH($B76,指定日期分位点!$C$2:$C$4000,0),MATCH(M$4,指定日期分位点!$B$1:$M$1,0)),"")/100</f>
        <v>#VALUE!</v>
      </c>
      <c r="N76" s="148" t="str">
        <f ca="1">IF(ISNUMBER(OFFSET(指定日期分位点!$A$1,MATCH($B76,指定日期分位点!$C$2:$C$5000,0),MATCH(N$4,指定日期分位点!$B$1:$M$1,0))),OFFSET(指定日期分位点!$A$1,MATCH($B76,指定日期分位点!$C$2:$C$4000,0),MATCH(N$4,指定日期分位点!$B$1:$M$1,0)),"")</f>
        <v/>
      </c>
      <c r="O76" s="25"/>
    </row>
    <row r="77" hidden="1" spans="1:15">
      <c r="A77" s="137"/>
      <c r="B77" s="137" t="str">
        <f ca="1">IF(ISTEXT(OFFSET(#REF!,MATCH($A77,#REF!,0),MATCH(B$4,#REF!,0))),OFFSET(#REF!,MATCH($A77,#REF!,0),MATCH(B$4,#REF!,0)),"")</f>
        <v/>
      </c>
      <c r="C77" s="137" t="str">
        <f ca="1">IF(ISTEXT(OFFSET(#REF!,MATCH($A77,#REF!,0),MATCH(C$4,#REF!,0))),OFFSET(#REF!,MATCH($A77,#REF!,0),MATCH(C$4,#REF!,0)),"")</f>
        <v/>
      </c>
      <c r="D77" s="137" t="str">
        <f ca="1">IF(ISNUMBER(OFFSET(#REF!,MATCH($A77,#REF!,0),MATCH(D$4,#REF!,0))),OFFSET(#REF!,MATCH($A77,#REF!,0),MATCH(D$4,#REF!,0)),"")</f>
        <v/>
      </c>
      <c r="E77" s="137" t="str">
        <f ca="1">IF(ISNUMBER(OFFSET(#REF!,MATCH($A77,#REF!,0),MATCH(E$4,#REF!,0))),OFFSET(#REF!,MATCH($A77,#REF!,0),MATCH(E$4,#REF!,0)),"")</f>
        <v/>
      </c>
      <c r="F77" s="137" t="str">
        <f ca="1">IF(ISNUMBER(OFFSET(#REF!,MATCH($A77,#REF!,0),MATCH(F$4,#REF!,0))),OFFSET(#REF!,MATCH($A77,#REF!,0),MATCH(F$4,#REF!,0)),"")</f>
        <v/>
      </c>
      <c r="G77" s="137" t="str">
        <f ca="1">IF(ISNUMBER(OFFSET(#REF!,MATCH($A77,#REF!,0),MATCH(G$4,#REF!,0))),OFFSET(#REF!,MATCH($A77,#REF!,0),MATCH(G$4,#REF!,0)),"")</f>
        <v/>
      </c>
      <c r="H77" s="132" t="str">
        <f ca="1">IF(ISERROR(VLOOKUP(C77,'周期表（不要动）'!A:B,2,FALSE)),"",VLOOKUP(C77,'周期表（不要动）'!A:B,2,FALSE))</f>
        <v/>
      </c>
      <c r="I77" s="146">
        <f ca="1" t="shared" si="0"/>
        <v>0</v>
      </c>
      <c r="J77" s="147" t="e">
        <f ca="1">VLOOKUP(B77,小熊定理判定!A:D,2,FALSE)</f>
        <v>#N/A</v>
      </c>
      <c r="K77" s="147" t="e">
        <f ca="1">VLOOKUP(B77,小熊定理判定!A:D,3,FALSE)</f>
        <v>#N/A</v>
      </c>
      <c r="L77" s="147" t="e">
        <f ca="1">VLOOKUP(B77,小熊定理判定!A:D,4,FALSE)</f>
        <v>#N/A</v>
      </c>
      <c r="M77" s="148" t="e">
        <f ca="1">IF(ISNUMBER(OFFSET(指定日期分位点!$A$1,MATCH($B77,指定日期分位点!$C$2:$C$5000,0),MATCH(M$4,指定日期分位点!$B$1:$M$1,0))),OFFSET(指定日期分位点!$A$1,MATCH($B77,指定日期分位点!$C$2:$C$4000,0),MATCH(M$4,指定日期分位点!$B$1:$M$1,0)),"")/100</f>
        <v>#VALUE!</v>
      </c>
      <c r="N77" s="148" t="str">
        <f ca="1">IF(ISNUMBER(OFFSET(指定日期分位点!$A$1,MATCH($B77,指定日期分位点!$C$2:$C$5000,0),MATCH(N$4,指定日期分位点!$B$1:$M$1,0))),OFFSET(指定日期分位点!$A$1,MATCH($B77,指定日期分位点!$C$2:$C$4000,0),MATCH(N$4,指定日期分位点!$B$1:$M$1,0)),"")</f>
        <v/>
      </c>
      <c r="O77" s="25"/>
    </row>
    <row r="78" hidden="1" spans="1:15">
      <c r="A78" s="137"/>
      <c r="B78" s="137" t="str">
        <f ca="1">IF(ISTEXT(OFFSET(#REF!,MATCH($A78,#REF!,0),MATCH(B$4,#REF!,0))),OFFSET(#REF!,MATCH($A78,#REF!,0),MATCH(B$4,#REF!,0)),"")</f>
        <v/>
      </c>
      <c r="C78" s="137" t="str">
        <f ca="1">IF(ISTEXT(OFFSET(#REF!,MATCH($A78,#REF!,0),MATCH(C$4,#REF!,0))),OFFSET(#REF!,MATCH($A78,#REF!,0),MATCH(C$4,#REF!,0)),"")</f>
        <v/>
      </c>
      <c r="D78" s="137" t="str">
        <f ca="1">IF(ISNUMBER(OFFSET(#REF!,MATCH($A78,#REF!,0),MATCH(D$4,#REF!,0))),OFFSET(#REF!,MATCH($A78,#REF!,0),MATCH(D$4,#REF!,0)),"")</f>
        <v/>
      </c>
      <c r="E78" s="137" t="str">
        <f ca="1">IF(ISNUMBER(OFFSET(#REF!,MATCH($A78,#REF!,0),MATCH(E$4,#REF!,0))),OFFSET(#REF!,MATCH($A78,#REF!,0),MATCH(E$4,#REF!,0)),"")</f>
        <v/>
      </c>
      <c r="F78" s="137" t="str">
        <f ca="1">IF(ISNUMBER(OFFSET(#REF!,MATCH($A78,#REF!,0),MATCH(F$4,#REF!,0))),OFFSET(#REF!,MATCH($A78,#REF!,0),MATCH(F$4,#REF!,0)),"")</f>
        <v/>
      </c>
      <c r="G78" s="137" t="str">
        <f ca="1">IF(ISNUMBER(OFFSET(#REF!,MATCH($A78,#REF!,0),MATCH(G$4,#REF!,0))),OFFSET(#REF!,MATCH($A78,#REF!,0),MATCH(G$4,#REF!,0)),"")</f>
        <v/>
      </c>
      <c r="H78" s="132" t="str">
        <f ca="1">IF(ISERROR(VLOOKUP(C78,'周期表（不要动）'!A:B,2,FALSE)),"",VLOOKUP(C78,'周期表（不要动）'!A:B,2,FALSE))</f>
        <v/>
      </c>
      <c r="I78" s="146">
        <f ca="1" t="shared" si="0"/>
        <v>0</v>
      </c>
      <c r="J78" s="147" t="e">
        <f ca="1">VLOOKUP(B78,小熊定理判定!A:D,2,FALSE)</f>
        <v>#N/A</v>
      </c>
      <c r="K78" s="147" t="e">
        <f ca="1">VLOOKUP(B78,小熊定理判定!A:D,3,FALSE)</f>
        <v>#N/A</v>
      </c>
      <c r="L78" s="147" t="e">
        <f ca="1">VLOOKUP(B78,小熊定理判定!A:D,4,FALSE)</f>
        <v>#N/A</v>
      </c>
      <c r="M78" s="148" t="e">
        <f ca="1">IF(ISNUMBER(OFFSET(指定日期分位点!$A$1,MATCH($B78,指定日期分位点!$C$2:$C$5000,0),MATCH(M$4,指定日期分位点!$B$1:$M$1,0))),OFFSET(指定日期分位点!$A$1,MATCH($B78,指定日期分位点!$C$2:$C$4000,0),MATCH(M$4,指定日期分位点!$B$1:$M$1,0)),"")/100</f>
        <v>#VALUE!</v>
      </c>
      <c r="N78" s="148" t="str">
        <f ca="1">IF(ISNUMBER(OFFSET(指定日期分位点!$A$1,MATCH($B78,指定日期分位点!$C$2:$C$5000,0),MATCH(N$4,指定日期分位点!$B$1:$M$1,0))),OFFSET(指定日期分位点!$A$1,MATCH($B78,指定日期分位点!$C$2:$C$4000,0),MATCH(N$4,指定日期分位点!$B$1:$M$1,0)),"")</f>
        <v/>
      </c>
      <c r="O78" s="25"/>
    </row>
    <row r="79" hidden="1" spans="1:15">
      <c r="A79" s="137"/>
      <c r="B79" s="137" t="str">
        <f ca="1">IF(ISTEXT(OFFSET(#REF!,MATCH($A79,#REF!,0),MATCH(B$4,#REF!,0))),OFFSET(#REF!,MATCH($A79,#REF!,0),MATCH(B$4,#REF!,0)),"")</f>
        <v/>
      </c>
      <c r="C79" s="137" t="str">
        <f ca="1">IF(ISTEXT(OFFSET(#REF!,MATCH($A79,#REF!,0),MATCH(C$4,#REF!,0))),OFFSET(#REF!,MATCH($A79,#REF!,0),MATCH(C$4,#REF!,0)),"")</f>
        <v/>
      </c>
      <c r="D79" s="137" t="str">
        <f ca="1">IF(ISNUMBER(OFFSET(#REF!,MATCH($A79,#REF!,0),MATCH(D$4,#REF!,0))),OFFSET(#REF!,MATCH($A79,#REF!,0),MATCH(D$4,#REF!,0)),"")</f>
        <v/>
      </c>
      <c r="E79" s="137" t="str">
        <f ca="1">IF(ISNUMBER(OFFSET(#REF!,MATCH($A79,#REF!,0),MATCH(E$4,#REF!,0))),OFFSET(#REF!,MATCH($A79,#REF!,0),MATCH(E$4,#REF!,0)),"")</f>
        <v/>
      </c>
      <c r="F79" s="137" t="str">
        <f ca="1">IF(ISNUMBER(OFFSET(#REF!,MATCH($A79,#REF!,0),MATCH(F$4,#REF!,0))),OFFSET(#REF!,MATCH($A79,#REF!,0),MATCH(F$4,#REF!,0)),"")</f>
        <v/>
      </c>
      <c r="G79" s="137" t="str">
        <f ca="1">IF(ISNUMBER(OFFSET(#REF!,MATCH($A79,#REF!,0),MATCH(G$4,#REF!,0))),OFFSET(#REF!,MATCH($A79,#REF!,0),MATCH(G$4,#REF!,0)),"")</f>
        <v/>
      </c>
      <c r="H79" s="132" t="str">
        <f ca="1">IF(ISERROR(VLOOKUP(C79,'周期表（不要动）'!A:B,2,FALSE)),"",VLOOKUP(C79,'周期表（不要动）'!A:B,2,FALSE))</f>
        <v/>
      </c>
      <c r="I79" s="146">
        <f ca="1" t="shared" si="0"/>
        <v>0</v>
      </c>
      <c r="J79" s="147" t="e">
        <f ca="1">VLOOKUP(B79,小熊定理判定!A:D,2,FALSE)</f>
        <v>#N/A</v>
      </c>
      <c r="K79" s="147" t="e">
        <f ca="1">VLOOKUP(B79,小熊定理判定!A:D,3,FALSE)</f>
        <v>#N/A</v>
      </c>
      <c r="L79" s="147" t="e">
        <f ca="1">VLOOKUP(B79,小熊定理判定!A:D,4,FALSE)</f>
        <v>#N/A</v>
      </c>
      <c r="M79" s="148" t="e">
        <f ca="1">IF(ISNUMBER(OFFSET(指定日期分位点!$A$1,MATCH($B79,指定日期分位点!$C$2:$C$5000,0),MATCH(M$4,指定日期分位点!$B$1:$M$1,0))),OFFSET(指定日期分位点!$A$1,MATCH($B79,指定日期分位点!$C$2:$C$4000,0),MATCH(M$4,指定日期分位点!$B$1:$M$1,0)),"")/100</f>
        <v>#VALUE!</v>
      </c>
      <c r="N79" s="148" t="str">
        <f ca="1">IF(ISNUMBER(OFFSET(指定日期分位点!$A$1,MATCH($B79,指定日期分位点!$C$2:$C$5000,0),MATCH(N$4,指定日期分位点!$B$1:$M$1,0))),OFFSET(指定日期分位点!$A$1,MATCH($B79,指定日期分位点!$C$2:$C$4000,0),MATCH(N$4,指定日期分位点!$B$1:$M$1,0)),"")</f>
        <v/>
      </c>
      <c r="O79" s="25"/>
    </row>
    <row r="80" hidden="1" spans="1:15">
      <c r="A80" s="137"/>
      <c r="B80" s="137" t="str">
        <f ca="1">IF(ISTEXT(OFFSET(#REF!,MATCH($A80,#REF!,0),MATCH(B$4,#REF!,0))),OFFSET(#REF!,MATCH($A80,#REF!,0),MATCH(B$4,#REF!,0)),"")</f>
        <v/>
      </c>
      <c r="C80" s="137" t="str">
        <f ca="1">IF(ISTEXT(OFFSET(#REF!,MATCH($A80,#REF!,0),MATCH(C$4,#REF!,0))),OFFSET(#REF!,MATCH($A80,#REF!,0),MATCH(C$4,#REF!,0)),"")</f>
        <v/>
      </c>
      <c r="D80" s="137" t="str">
        <f ca="1">IF(ISNUMBER(OFFSET(#REF!,MATCH($A80,#REF!,0),MATCH(D$4,#REF!,0))),OFFSET(#REF!,MATCH($A80,#REF!,0),MATCH(D$4,#REF!,0)),"")</f>
        <v/>
      </c>
      <c r="E80" s="137" t="str">
        <f ca="1">IF(ISNUMBER(OFFSET(#REF!,MATCH($A80,#REF!,0),MATCH(E$4,#REF!,0))),OFFSET(#REF!,MATCH($A80,#REF!,0),MATCH(E$4,#REF!,0)),"")</f>
        <v/>
      </c>
      <c r="F80" s="137" t="str">
        <f ca="1">IF(ISNUMBER(OFFSET(#REF!,MATCH($A80,#REF!,0),MATCH(F$4,#REF!,0))),OFFSET(#REF!,MATCH($A80,#REF!,0),MATCH(F$4,#REF!,0)),"")</f>
        <v/>
      </c>
      <c r="G80" s="137" t="str">
        <f ca="1">IF(ISNUMBER(OFFSET(#REF!,MATCH($A80,#REF!,0),MATCH(G$4,#REF!,0))),OFFSET(#REF!,MATCH($A80,#REF!,0),MATCH(G$4,#REF!,0)),"")</f>
        <v/>
      </c>
      <c r="H80" s="132" t="str">
        <f ca="1">IF(ISERROR(VLOOKUP(C80,'周期表（不要动）'!A:B,2,FALSE)),"",VLOOKUP(C80,'周期表（不要动）'!A:B,2,FALSE))</f>
        <v/>
      </c>
      <c r="I80" s="146">
        <f ca="1" t="shared" si="0"/>
        <v>0</v>
      </c>
      <c r="J80" s="147" t="e">
        <f ca="1">VLOOKUP(B80,小熊定理判定!A:D,2,FALSE)</f>
        <v>#N/A</v>
      </c>
      <c r="K80" s="147" t="e">
        <f ca="1">VLOOKUP(B80,小熊定理判定!A:D,3,FALSE)</f>
        <v>#N/A</v>
      </c>
      <c r="L80" s="147" t="e">
        <f ca="1">VLOOKUP(B80,小熊定理判定!A:D,4,FALSE)</f>
        <v>#N/A</v>
      </c>
      <c r="M80" s="148" t="e">
        <f ca="1">IF(ISNUMBER(OFFSET(指定日期分位点!$A$1,MATCH($B80,指定日期分位点!$C$2:$C$5000,0),MATCH(M$4,指定日期分位点!$B$1:$M$1,0))),OFFSET(指定日期分位点!$A$1,MATCH($B80,指定日期分位点!$C$2:$C$4000,0),MATCH(M$4,指定日期分位点!$B$1:$M$1,0)),"")/100</f>
        <v>#VALUE!</v>
      </c>
      <c r="N80" s="148" t="str">
        <f ca="1">IF(ISNUMBER(OFFSET(指定日期分位点!$A$1,MATCH($B80,指定日期分位点!$C$2:$C$5000,0),MATCH(N$4,指定日期分位点!$B$1:$M$1,0))),OFFSET(指定日期分位点!$A$1,MATCH($B80,指定日期分位点!$C$2:$C$4000,0),MATCH(N$4,指定日期分位点!$B$1:$M$1,0)),"")</f>
        <v/>
      </c>
      <c r="O80" s="25"/>
    </row>
    <row r="81" hidden="1" spans="1:15">
      <c r="A81" s="137"/>
      <c r="B81" s="137" t="str">
        <f ca="1">IF(ISTEXT(OFFSET(#REF!,MATCH($A81,#REF!,0),MATCH(B$4,#REF!,0))),OFFSET(#REF!,MATCH($A81,#REF!,0),MATCH(B$4,#REF!,0)),"")</f>
        <v/>
      </c>
      <c r="C81" s="137" t="str">
        <f ca="1">IF(ISTEXT(OFFSET(#REF!,MATCH($A81,#REF!,0),MATCH(C$4,#REF!,0))),OFFSET(#REF!,MATCH($A81,#REF!,0),MATCH(C$4,#REF!,0)),"")</f>
        <v/>
      </c>
      <c r="D81" s="137" t="str">
        <f ca="1">IF(ISNUMBER(OFFSET(#REF!,MATCH($A81,#REF!,0),MATCH(D$4,#REF!,0))),OFFSET(#REF!,MATCH($A81,#REF!,0),MATCH(D$4,#REF!,0)),"")</f>
        <v/>
      </c>
      <c r="E81" s="137" t="str">
        <f ca="1">IF(ISNUMBER(OFFSET(#REF!,MATCH($A81,#REF!,0),MATCH(E$4,#REF!,0))),OFFSET(#REF!,MATCH($A81,#REF!,0),MATCH(E$4,#REF!,0)),"")</f>
        <v/>
      </c>
      <c r="F81" s="137" t="str">
        <f ca="1">IF(ISNUMBER(OFFSET(#REF!,MATCH($A81,#REF!,0),MATCH(F$4,#REF!,0))),OFFSET(#REF!,MATCH($A81,#REF!,0),MATCH(F$4,#REF!,0)),"")</f>
        <v/>
      </c>
      <c r="G81" s="137" t="str">
        <f ca="1">IF(ISNUMBER(OFFSET(#REF!,MATCH($A81,#REF!,0),MATCH(G$4,#REF!,0))),OFFSET(#REF!,MATCH($A81,#REF!,0),MATCH(G$4,#REF!,0)),"")</f>
        <v/>
      </c>
      <c r="H81" s="132" t="str">
        <f ca="1">IF(ISERROR(VLOOKUP(C81,'周期表（不要动）'!A:B,2,FALSE)),"",VLOOKUP(C81,'周期表（不要动）'!A:B,2,FALSE))</f>
        <v/>
      </c>
      <c r="I81" s="146">
        <f ca="1" t="shared" si="0"/>
        <v>0</v>
      </c>
      <c r="J81" s="147" t="e">
        <f ca="1">VLOOKUP(B81,小熊定理判定!A:D,2,FALSE)</f>
        <v>#N/A</v>
      </c>
      <c r="K81" s="147" t="e">
        <f ca="1">VLOOKUP(B81,小熊定理判定!A:D,3,FALSE)</f>
        <v>#N/A</v>
      </c>
      <c r="L81" s="147" t="e">
        <f ca="1">VLOOKUP(B81,小熊定理判定!A:D,4,FALSE)</f>
        <v>#N/A</v>
      </c>
      <c r="M81" s="148" t="e">
        <f ca="1">IF(ISNUMBER(OFFSET(指定日期分位点!$A$1,MATCH($B81,指定日期分位点!$C$2:$C$5000,0),MATCH(M$4,指定日期分位点!$B$1:$M$1,0))),OFFSET(指定日期分位点!$A$1,MATCH($B81,指定日期分位点!$C$2:$C$4000,0),MATCH(M$4,指定日期分位点!$B$1:$M$1,0)),"")/100</f>
        <v>#VALUE!</v>
      </c>
      <c r="N81" s="148" t="str">
        <f ca="1">IF(ISNUMBER(OFFSET(指定日期分位点!$A$1,MATCH($B81,指定日期分位点!$C$2:$C$5000,0),MATCH(N$4,指定日期分位点!$B$1:$M$1,0))),OFFSET(指定日期分位点!$A$1,MATCH($B81,指定日期分位点!$C$2:$C$4000,0),MATCH(N$4,指定日期分位点!$B$1:$M$1,0)),"")</f>
        <v/>
      </c>
      <c r="O81" s="25"/>
    </row>
    <row r="82" hidden="1" spans="1:15">
      <c r="A82" s="137"/>
      <c r="B82" s="137" t="str">
        <f ca="1">IF(ISTEXT(OFFSET(#REF!,MATCH($A82,#REF!,0),MATCH(B$4,#REF!,0))),OFFSET(#REF!,MATCH($A82,#REF!,0),MATCH(B$4,#REF!,0)),"")</f>
        <v/>
      </c>
      <c r="C82" s="137" t="str">
        <f ca="1">IF(ISTEXT(OFFSET(#REF!,MATCH($A82,#REF!,0),MATCH(C$4,#REF!,0))),OFFSET(#REF!,MATCH($A82,#REF!,0),MATCH(C$4,#REF!,0)),"")</f>
        <v/>
      </c>
      <c r="D82" s="137" t="str">
        <f ca="1">IF(ISNUMBER(OFFSET(#REF!,MATCH($A82,#REF!,0),MATCH(D$4,#REF!,0))),OFFSET(#REF!,MATCH($A82,#REF!,0),MATCH(D$4,#REF!,0)),"")</f>
        <v/>
      </c>
      <c r="E82" s="137" t="str">
        <f ca="1">IF(ISNUMBER(OFFSET(#REF!,MATCH($A82,#REF!,0),MATCH(E$4,#REF!,0))),OFFSET(#REF!,MATCH($A82,#REF!,0),MATCH(E$4,#REF!,0)),"")</f>
        <v/>
      </c>
      <c r="F82" s="137" t="str">
        <f ca="1">IF(ISNUMBER(OFFSET(#REF!,MATCH($A82,#REF!,0),MATCH(F$4,#REF!,0))),OFFSET(#REF!,MATCH($A82,#REF!,0),MATCH(F$4,#REF!,0)),"")</f>
        <v/>
      </c>
      <c r="G82" s="137" t="str">
        <f ca="1">IF(ISNUMBER(OFFSET(#REF!,MATCH($A82,#REF!,0),MATCH(G$4,#REF!,0))),OFFSET(#REF!,MATCH($A82,#REF!,0),MATCH(G$4,#REF!,0)),"")</f>
        <v/>
      </c>
      <c r="H82" s="132" t="str">
        <f ca="1">IF(ISERROR(VLOOKUP(C82,'周期表（不要动）'!A:B,2,FALSE)),"",VLOOKUP(C82,'周期表（不要动）'!A:B,2,FALSE))</f>
        <v/>
      </c>
      <c r="I82" s="146">
        <f ca="1" t="shared" si="0"/>
        <v>0</v>
      </c>
      <c r="J82" s="147" t="e">
        <f ca="1">VLOOKUP(B82,小熊定理判定!A:D,2,FALSE)</f>
        <v>#N/A</v>
      </c>
      <c r="K82" s="147" t="e">
        <f ca="1">VLOOKUP(B82,小熊定理判定!A:D,3,FALSE)</f>
        <v>#N/A</v>
      </c>
      <c r="L82" s="147" t="e">
        <f ca="1">VLOOKUP(B82,小熊定理判定!A:D,4,FALSE)</f>
        <v>#N/A</v>
      </c>
      <c r="M82" s="148" t="e">
        <f ca="1">IF(ISNUMBER(OFFSET(指定日期分位点!$A$1,MATCH($B82,指定日期分位点!$C$2:$C$5000,0),MATCH(M$4,指定日期分位点!$B$1:$M$1,0))),OFFSET(指定日期分位点!$A$1,MATCH($B82,指定日期分位点!$C$2:$C$4000,0),MATCH(M$4,指定日期分位点!$B$1:$M$1,0)),"")/100</f>
        <v>#VALUE!</v>
      </c>
      <c r="N82" s="148" t="str">
        <f ca="1">IF(ISNUMBER(OFFSET(指定日期分位点!$A$1,MATCH($B82,指定日期分位点!$C$2:$C$5000,0),MATCH(N$4,指定日期分位点!$B$1:$M$1,0))),OFFSET(指定日期分位点!$A$1,MATCH($B82,指定日期分位点!$C$2:$C$4000,0),MATCH(N$4,指定日期分位点!$B$1:$M$1,0)),"")</f>
        <v/>
      </c>
      <c r="O82" s="25"/>
    </row>
    <row r="83" hidden="1" spans="1:15">
      <c r="A83" s="137"/>
      <c r="B83" s="137" t="str">
        <f ca="1">IF(ISTEXT(OFFSET(#REF!,MATCH($A83,#REF!,0),MATCH(B$4,#REF!,0))),OFFSET(#REF!,MATCH($A83,#REF!,0),MATCH(B$4,#REF!,0)),"")</f>
        <v/>
      </c>
      <c r="C83" s="137" t="str">
        <f ca="1">IF(ISTEXT(OFFSET(#REF!,MATCH($A83,#REF!,0),MATCH(C$4,#REF!,0))),OFFSET(#REF!,MATCH($A83,#REF!,0),MATCH(C$4,#REF!,0)),"")</f>
        <v/>
      </c>
      <c r="D83" s="137" t="str">
        <f ca="1">IF(ISNUMBER(OFFSET(#REF!,MATCH($A83,#REF!,0),MATCH(D$4,#REF!,0))),OFFSET(#REF!,MATCH($A83,#REF!,0),MATCH(D$4,#REF!,0)),"")</f>
        <v/>
      </c>
      <c r="E83" s="137" t="str">
        <f ca="1">IF(ISNUMBER(OFFSET(#REF!,MATCH($A83,#REF!,0),MATCH(E$4,#REF!,0))),OFFSET(#REF!,MATCH($A83,#REF!,0),MATCH(E$4,#REF!,0)),"")</f>
        <v/>
      </c>
      <c r="F83" s="137" t="str">
        <f ca="1">IF(ISNUMBER(OFFSET(#REF!,MATCH($A83,#REF!,0),MATCH(F$4,#REF!,0))),OFFSET(#REF!,MATCH($A83,#REF!,0),MATCH(F$4,#REF!,0)),"")</f>
        <v/>
      </c>
      <c r="G83" s="137" t="str">
        <f ca="1">IF(ISNUMBER(OFFSET(#REF!,MATCH($A83,#REF!,0),MATCH(G$4,#REF!,0))),OFFSET(#REF!,MATCH($A83,#REF!,0),MATCH(G$4,#REF!,0)),"")</f>
        <v/>
      </c>
      <c r="H83" s="132" t="str">
        <f ca="1">IF(ISERROR(VLOOKUP(C83,'周期表（不要动）'!A:B,2,FALSE)),"",VLOOKUP(C83,'周期表（不要动）'!A:B,2,FALSE))</f>
        <v/>
      </c>
      <c r="I83" s="146">
        <f ca="1" t="shared" ref="I83:I100" si="1">IF(D83&gt;0,IF(E83&gt;0,IF(F83&gt;0,IF(G83&gt;0,0,1),1),1),1)</f>
        <v>0</v>
      </c>
      <c r="J83" s="147" t="e">
        <f ca="1">VLOOKUP(B83,小熊定理判定!A:D,2,FALSE)</f>
        <v>#N/A</v>
      </c>
      <c r="K83" s="147" t="e">
        <f ca="1">VLOOKUP(B83,小熊定理判定!A:D,3,FALSE)</f>
        <v>#N/A</v>
      </c>
      <c r="L83" s="147" t="e">
        <f ca="1">VLOOKUP(B83,小熊定理判定!A:D,4,FALSE)</f>
        <v>#N/A</v>
      </c>
      <c r="M83" s="148" t="e">
        <f ca="1">IF(ISNUMBER(OFFSET(指定日期分位点!$A$1,MATCH($B83,指定日期分位点!$C$2:$C$5000,0),MATCH(M$4,指定日期分位点!$B$1:$M$1,0))),OFFSET(指定日期分位点!$A$1,MATCH($B83,指定日期分位点!$C$2:$C$4000,0),MATCH(M$4,指定日期分位点!$B$1:$M$1,0)),"")/100</f>
        <v>#VALUE!</v>
      </c>
      <c r="N83" s="148" t="str">
        <f ca="1">IF(ISNUMBER(OFFSET(指定日期分位点!$A$1,MATCH($B83,指定日期分位点!$C$2:$C$5000,0),MATCH(N$4,指定日期分位点!$B$1:$M$1,0))),OFFSET(指定日期分位点!$A$1,MATCH($B83,指定日期分位点!$C$2:$C$4000,0),MATCH(N$4,指定日期分位点!$B$1:$M$1,0)),"")</f>
        <v/>
      </c>
      <c r="O83" s="25"/>
    </row>
    <row r="84" hidden="1" spans="1:15">
      <c r="A84" s="137"/>
      <c r="B84" s="137" t="str">
        <f ca="1">IF(ISTEXT(OFFSET(#REF!,MATCH($A84,#REF!,0),MATCH(B$4,#REF!,0))),OFFSET(#REF!,MATCH($A84,#REF!,0),MATCH(B$4,#REF!,0)),"")</f>
        <v/>
      </c>
      <c r="C84" s="137" t="str">
        <f ca="1">IF(ISTEXT(OFFSET(#REF!,MATCH($A84,#REF!,0),MATCH(C$4,#REF!,0))),OFFSET(#REF!,MATCH($A84,#REF!,0),MATCH(C$4,#REF!,0)),"")</f>
        <v/>
      </c>
      <c r="D84" s="137" t="str">
        <f ca="1">IF(ISNUMBER(OFFSET(#REF!,MATCH($A84,#REF!,0),MATCH(D$4,#REF!,0))),OFFSET(#REF!,MATCH($A84,#REF!,0),MATCH(D$4,#REF!,0)),"")</f>
        <v/>
      </c>
      <c r="E84" s="137" t="str">
        <f ca="1">IF(ISNUMBER(OFFSET(#REF!,MATCH($A84,#REF!,0),MATCH(E$4,#REF!,0))),OFFSET(#REF!,MATCH($A84,#REF!,0),MATCH(E$4,#REF!,0)),"")</f>
        <v/>
      </c>
      <c r="F84" s="137" t="str">
        <f ca="1">IF(ISNUMBER(OFFSET(#REF!,MATCH($A84,#REF!,0),MATCH(F$4,#REF!,0))),OFFSET(#REF!,MATCH($A84,#REF!,0),MATCH(F$4,#REF!,0)),"")</f>
        <v/>
      </c>
      <c r="G84" s="137" t="str">
        <f ca="1">IF(ISNUMBER(OFFSET(#REF!,MATCH($A84,#REF!,0),MATCH(G$4,#REF!,0))),OFFSET(#REF!,MATCH($A84,#REF!,0),MATCH(G$4,#REF!,0)),"")</f>
        <v/>
      </c>
      <c r="H84" s="132" t="str">
        <f ca="1">IF(ISERROR(VLOOKUP(C84,'周期表（不要动）'!A:B,2,FALSE)),"",VLOOKUP(C84,'周期表（不要动）'!A:B,2,FALSE))</f>
        <v/>
      </c>
      <c r="I84" s="146">
        <f ca="1" t="shared" si="1"/>
        <v>0</v>
      </c>
      <c r="J84" s="147" t="e">
        <f ca="1">VLOOKUP(B84,小熊定理判定!A:D,2,FALSE)</f>
        <v>#N/A</v>
      </c>
      <c r="K84" s="147" t="e">
        <f ca="1">VLOOKUP(B84,小熊定理判定!A:D,3,FALSE)</f>
        <v>#N/A</v>
      </c>
      <c r="L84" s="147" t="e">
        <f ca="1">VLOOKUP(B84,小熊定理判定!A:D,4,FALSE)</f>
        <v>#N/A</v>
      </c>
      <c r="M84" s="148" t="e">
        <f ca="1">IF(ISNUMBER(OFFSET(指定日期分位点!$A$1,MATCH($B84,指定日期分位点!$C$2:$C$5000,0),MATCH(M$4,指定日期分位点!$B$1:$M$1,0))),OFFSET(指定日期分位点!$A$1,MATCH($B84,指定日期分位点!$C$2:$C$4000,0),MATCH(M$4,指定日期分位点!$B$1:$M$1,0)),"")/100</f>
        <v>#VALUE!</v>
      </c>
      <c r="N84" s="148" t="str">
        <f ca="1">IF(ISNUMBER(OFFSET(指定日期分位点!$A$1,MATCH($B84,指定日期分位点!$C$2:$C$5000,0),MATCH(N$4,指定日期分位点!$B$1:$M$1,0))),OFFSET(指定日期分位点!$A$1,MATCH($B84,指定日期分位点!$C$2:$C$4000,0),MATCH(N$4,指定日期分位点!$B$1:$M$1,0)),"")</f>
        <v/>
      </c>
      <c r="O84" s="25"/>
    </row>
    <row r="85" hidden="1" spans="1:15">
      <c r="A85" s="137"/>
      <c r="B85" s="137" t="str">
        <f ca="1">IF(ISTEXT(OFFSET(#REF!,MATCH($A85,#REF!,0),MATCH(B$4,#REF!,0))),OFFSET(#REF!,MATCH($A85,#REF!,0),MATCH(B$4,#REF!,0)),"")</f>
        <v/>
      </c>
      <c r="C85" s="137" t="str">
        <f ca="1">IF(ISTEXT(OFFSET(#REF!,MATCH($A85,#REF!,0),MATCH(C$4,#REF!,0))),OFFSET(#REF!,MATCH($A85,#REF!,0),MATCH(C$4,#REF!,0)),"")</f>
        <v/>
      </c>
      <c r="D85" s="137" t="str">
        <f ca="1">IF(ISNUMBER(OFFSET(#REF!,MATCH($A85,#REF!,0),MATCH(D$4,#REF!,0))),OFFSET(#REF!,MATCH($A85,#REF!,0),MATCH(D$4,#REF!,0)),"")</f>
        <v/>
      </c>
      <c r="E85" s="137" t="str">
        <f ca="1">IF(ISNUMBER(OFFSET(#REF!,MATCH($A85,#REF!,0),MATCH(E$4,#REF!,0))),OFFSET(#REF!,MATCH($A85,#REF!,0),MATCH(E$4,#REF!,0)),"")</f>
        <v/>
      </c>
      <c r="F85" s="137" t="str">
        <f ca="1">IF(ISNUMBER(OFFSET(#REF!,MATCH($A85,#REF!,0),MATCH(F$4,#REF!,0))),OFFSET(#REF!,MATCH($A85,#REF!,0),MATCH(F$4,#REF!,0)),"")</f>
        <v/>
      </c>
      <c r="G85" s="137" t="str">
        <f ca="1">IF(ISNUMBER(OFFSET(#REF!,MATCH($A85,#REF!,0),MATCH(G$4,#REF!,0))),OFFSET(#REF!,MATCH($A85,#REF!,0),MATCH(G$4,#REF!,0)),"")</f>
        <v/>
      </c>
      <c r="H85" s="132" t="str">
        <f ca="1">IF(ISERROR(VLOOKUP(C85,'周期表（不要动）'!A:B,2,FALSE)),"",VLOOKUP(C85,'周期表（不要动）'!A:B,2,FALSE))</f>
        <v/>
      </c>
      <c r="I85" s="146">
        <f ca="1" t="shared" si="1"/>
        <v>0</v>
      </c>
      <c r="J85" s="147" t="e">
        <f ca="1">VLOOKUP(B85,小熊定理判定!A:D,2,FALSE)</f>
        <v>#N/A</v>
      </c>
      <c r="K85" s="147" t="e">
        <f ca="1">VLOOKUP(B85,小熊定理判定!A:D,3,FALSE)</f>
        <v>#N/A</v>
      </c>
      <c r="L85" s="147" t="e">
        <f ca="1">VLOOKUP(B85,小熊定理判定!A:D,4,FALSE)</f>
        <v>#N/A</v>
      </c>
      <c r="M85" s="148" t="e">
        <f ca="1">IF(ISNUMBER(OFFSET(指定日期分位点!$A$1,MATCH($B85,指定日期分位点!$C$2:$C$5000,0),MATCH(M$4,指定日期分位点!$B$1:$M$1,0))),OFFSET(指定日期分位点!$A$1,MATCH($B85,指定日期分位点!$C$2:$C$4000,0),MATCH(M$4,指定日期分位点!$B$1:$M$1,0)),"")/100</f>
        <v>#VALUE!</v>
      </c>
      <c r="N85" s="148" t="str">
        <f ca="1">IF(ISNUMBER(OFFSET(指定日期分位点!$A$1,MATCH($B85,指定日期分位点!$C$2:$C$5000,0),MATCH(N$4,指定日期分位点!$B$1:$M$1,0))),OFFSET(指定日期分位点!$A$1,MATCH($B85,指定日期分位点!$C$2:$C$4000,0),MATCH(N$4,指定日期分位点!$B$1:$M$1,0)),"")</f>
        <v/>
      </c>
      <c r="O85" s="25"/>
    </row>
    <row r="86" hidden="1" spans="1:15">
      <c r="A86" s="137"/>
      <c r="B86" s="137" t="str">
        <f ca="1">IF(ISTEXT(OFFSET(#REF!,MATCH($A86,#REF!,0),MATCH(B$4,#REF!,0))),OFFSET(#REF!,MATCH($A86,#REF!,0),MATCH(B$4,#REF!,0)),"")</f>
        <v/>
      </c>
      <c r="C86" s="137" t="str">
        <f ca="1">IF(ISTEXT(OFFSET(#REF!,MATCH($A86,#REF!,0),MATCH(C$4,#REF!,0))),OFFSET(#REF!,MATCH($A86,#REF!,0),MATCH(C$4,#REF!,0)),"")</f>
        <v/>
      </c>
      <c r="D86" s="137" t="str">
        <f ca="1">IF(ISNUMBER(OFFSET(#REF!,MATCH($A86,#REF!,0),MATCH(D$4,#REF!,0))),OFFSET(#REF!,MATCH($A86,#REF!,0),MATCH(D$4,#REF!,0)),"")</f>
        <v/>
      </c>
      <c r="E86" s="137" t="str">
        <f ca="1">IF(ISNUMBER(OFFSET(#REF!,MATCH($A86,#REF!,0),MATCH(E$4,#REF!,0))),OFFSET(#REF!,MATCH($A86,#REF!,0),MATCH(E$4,#REF!,0)),"")</f>
        <v/>
      </c>
      <c r="F86" s="137" t="str">
        <f ca="1">IF(ISNUMBER(OFFSET(#REF!,MATCH($A86,#REF!,0),MATCH(F$4,#REF!,0))),OFFSET(#REF!,MATCH($A86,#REF!,0),MATCH(F$4,#REF!,0)),"")</f>
        <v/>
      </c>
      <c r="G86" s="137" t="str">
        <f ca="1">IF(ISNUMBER(OFFSET(#REF!,MATCH($A86,#REF!,0),MATCH(G$4,#REF!,0))),OFFSET(#REF!,MATCH($A86,#REF!,0),MATCH(G$4,#REF!,0)),"")</f>
        <v/>
      </c>
      <c r="H86" s="132" t="str">
        <f ca="1">IF(ISERROR(VLOOKUP(C86,'周期表（不要动）'!A:B,2,FALSE)),"",VLOOKUP(C86,'周期表（不要动）'!A:B,2,FALSE))</f>
        <v/>
      </c>
      <c r="I86" s="146">
        <f ca="1" t="shared" si="1"/>
        <v>0</v>
      </c>
      <c r="J86" s="147" t="e">
        <f ca="1">VLOOKUP(B86,小熊定理判定!A:D,2,FALSE)</f>
        <v>#N/A</v>
      </c>
      <c r="K86" s="147" t="e">
        <f ca="1">VLOOKUP(B86,小熊定理判定!A:D,3,FALSE)</f>
        <v>#N/A</v>
      </c>
      <c r="L86" s="147" t="e">
        <f ca="1">VLOOKUP(B86,小熊定理判定!A:D,4,FALSE)</f>
        <v>#N/A</v>
      </c>
      <c r="M86" s="148" t="e">
        <f ca="1">IF(ISNUMBER(OFFSET(指定日期分位点!$A$1,MATCH($B86,指定日期分位点!$C$2:$C$5000,0),MATCH(M$4,指定日期分位点!$B$1:$M$1,0))),OFFSET(指定日期分位点!$A$1,MATCH($B86,指定日期分位点!$C$2:$C$4000,0),MATCH(M$4,指定日期分位点!$B$1:$M$1,0)),"")/100</f>
        <v>#VALUE!</v>
      </c>
      <c r="N86" s="148" t="str">
        <f ca="1">IF(ISNUMBER(OFFSET(指定日期分位点!$A$1,MATCH($B86,指定日期分位点!$C$2:$C$5000,0),MATCH(N$4,指定日期分位点!$B$1:$M$1,0))),OFFSET(指定日期分位点!$A$1,MATCH($B86,指定日期分位点!$C$2:$C$4000,0),MATCH(N$4,指定日期分位点!$B$1:$M$1,0)),"")</f>
        <v/>
      </c>
      <c r="O86" s="25"/>
    </row>
    <row r="87" hidden="1" spans="1:15">
      <c r="A87" s="137"/>
      <c r="B87" s="137" t="str">
        <f ca="1">IF(ISTEXT(OFFSET(#REF!,MATCH($A87,#REF!,0),MATCH(B$4,#REF!,0))),OFFSET(#REF!,MATCH($A87,#REF!,0),MATCH(B$4,#REF!,0)),"")</f>
        <v/>
      </c>
      <c r="C87" s="137" t="str">
        <f ca="1">IF(ISTEXT(OFFSET(#REF!,MATCH($A87,#REF!,0),MATCH(C$4,#REF!,0))),OFFSET(#REF!,MATCH($A87,#REF!,0),MATCH(C$4,#REF!,0)),"")</f>
        <v/>
      </c>
      <c r="D87" s="137" t="str">
        <f ca="1">IF(ISNUMBER(OFFSET(#REF!,MATCH($A87,#REF!,0),MATCH(D$4,#REF!,0))),OFFSET(#REF!,MATCH($A87,#REF!,0),MATCH(D$4,#REF!,0)),"")</f>
        <v/>
      </c>
      <c r="E87" s="137" t="str">
        <f ca="1">IF(ISNUMBER(OFFSET(#REF!,MATCH($A87,#REF!,0),MATCH(E$4,#REF!,0))),OFFSET(#REF!,MATCH($A87,#REF!,0),MATCH(E$4,#REF!,0)),"")</f>
        <v/>
      </c>
      <c r="F87" s="137" t="str">
        <f ca="1">IF(ISNUMBER(OFFSET(#REF!,MATCH($A87,#REF!,0),MATCH(F$4,#REF!,0))),OFFSET(#REF!,MATCH($A87,#REF!,0),MATCH(F$4,#REF!,0)),"")</f>
        <v/>
      </c>
      <c r="G87" s="137" t="str">
        <f ca="1">IF(ISNUMBER(OFFSET(#REF!,MATCH($A87,#REF!,0),MATCH(G$4,#REF!,0))),OFFSET(#REF!,MATCH($A87,#REF!,0),MATCH(G$4,#REF!,0)),"")</f>
        <v/>
      </c>
      <c r="H87" s="132" t="str">
        <f ca="1">IF(ISERROR(VLOOKUP(C87,'周期表（不要动）'!A:B,2,FALSE)),"",VLOOKUP(C87,'周期表（不要动）'!A:B,2,FALSE))</f>
        <v/>
      </c>
      <c r="I87" s="146">
        <f ca="1" t="shared" si="1"/>
        <v>0</v>
      </c>
      <c r="J87" s="147" t="e">
        <f ca="1">VLOOKUP(B87,小熊定理判定!A:D,2,FALSE)</f>
        <v>#N/A</v>
      </c>
      <c r="K87" s="147" t="e">
        <f ca="1">VLOOKUP(B87,小熊定理判定!A:D,3,FALSE)</f>
        <v>#N/A</v>
      </c>
      <c r="L87" s="147" t="e">
        <f ca="1">VLOOKUP(B87,小熊定理判定!A:D,4,FALSE)</f>
        <v>#N/A</v>
      </c>
      <c r="M87" s="148" t="e">
        <f ca="1">IF(ISNUMBER(OFFSET(指定日期分位点!$A$1,MATCH($B87,指定日期分位点!$C$2:$C$5000,0),MATCH(M$4,指定日期分位点!$B$1:$M$1,0))),OFFSET(指定日期分位点!$A$1,MATCH($B87,指定日期分位点!$C$2:$C$4000,0),MATCH(M$4,指定日期分位点!$B$1:$M$1,0)),"")/100</f>
        <v>#VALUE!</v>
      </c>
      <c r="N87" s="148" t="str">
        <f ca="1">IF(ISNUMBER(OFFSET(指定日期分位点!$A$1,MATCH($B87,指定日期分位点!$C$2:$C$5000,0),MATCH(N$4,指定日期分位点!$B$1:$M$1,0))),OFFSET(指定日期分位点!$A$1,MATCH($B87,指定日期分位点!$C$2:$C$4000,0),MATCH(N$4,指定日期分位点!$B$1:$M$1,0)),"")</f>
        <v/>
      </c>
      <c r="O87" s="25"/>
    </row>
    <row r="88" hidden="1" spans="1:15">
      <c r="A88" s="137"/>
      <c r="B88" s="137" t="str">
        <f ca="1">IF(ISTEXT(OFFSET(#REF!,MATCH($A88,#REF!,0),MATCH(B$4,#REF!,0))),OFFSET(#REF!,MATCH($A88,#REF!,0),MATCH(B$4,#REF!,0)),"")</f>
        <v/>
      </c>
      <c r="C88" s="137" t="str">
        <f ca="1">IF(ISTEXT(OFFSET(#REF!,MATCH($A88,#REF!,0),MATCH(C$4,#REF!,0))),OFFSET(#REF!,MATCH($A88,#REF!,0),MATCH(C$4,#REF!,0)),"")</f>
        <v/>
      </c>
      <c r="D88" s="137" t="str">
        <f ca="1">IF(ISNUMBER(OFFSET(#REF!,MATCH($A88,#REF!,0),MATCH(D$4,#REF!,0))),OFFSET(#REF!,MATCH($A88,#REF!,0),MATCH(D$4,#REF!,0)),"")</f>
        <v/>
      </c>
      <c r="E88" s="137" t="str">
        <f ca="1">IF(ISNUMBER(OFFSET(#REF!,MATCH($A88,#REF!,0),MATCH(E$4,#REF!,0))),OFFSET(#REF!,MATCH($A88,#REF!,0),MATCH(E$4,#REF!,0)),"")</f>
        <v/>
      </c>
      <c r="F88" s="137" t="str">
        <f ca="1">IF(ISNUMBER(OFFSET(#REF!,MATCH($A88,#REF!,0),MATCH(F$4,#REF!,0))),OFFSET(#REF!,MATCH($A88,#REF!,0),MATCH(F$4,#REF!,0)),"")</f>
        <v/>
      </c>
      <c r="G88" s="137" t="str">
        <f ca="1">IF(ISNUMBER(OFFSET(#REF!,MATCH($A88,#REF!,0),MATCH(G$4,#REF!,0))),OFFSET(#REF!,MATCH($A88,#REF!,0),MATCH(G$4,#REF!,0)),"")</f>
        <v/>
      </c>
      <c r="H88" s="132" t="str">
        <f ca="1">IF(ISERROR(VLOOKUP(C88,'周期表（不要动）'!A:B,2,FALSE)),"",VLOOKUP(C88,'周期表（不要动）'!A:B,2,FALSE))</f>
        <v/>
      </c>
      <c r="I88" s="146">
        <f ca="1" t="shared" si="1"/>
        <v>0</v>
      </c>
      <c r="J88" s="147" t="e">
        <f ca="1">VLOOKUP(B88,小熊定理判定!A:D,2,FALSE)</f>
        <v>#N/A</v>
      </c>
      <c r="K88" s="147" t="e">
        <f ca="1">VLOOKUP(B88,小熊定理判定!A:D,3,FALSE)</f>
        <v>#N/A</v>
      </c>
      <c r="L88" s="147" t="e">
        <f ca="1">VLOOKUP(B88,小熊定理判定!A:D,4,FALSE)</f>
        <v>#N/A</v>
      </c>
      <c r="M88" s="148" t="e">
        <f ca="1">IF(ISNUMBER(OFFSET(指定日期分位点!$A$1,MATCH($B88,指定日期分位点!$C$2:$C$5000,0),MATCH(M$4,指定日期分位点!$B$1:$M$1,0))),OFFSET(指定日期分位点!$A$1,MATCH($B88,指定日期分位点!$C$2:$C$4000,0),MATCH(M$4,指定日期分位点!$B$1:$M$1,0)),"")/100</f>
        <v>#VALUE!</v>
      </c>
      <c r="N88" s="148" t="str">
        <f ca="1">IF(ISNUMBER(OFFSET(指定日期分位点!$A$1,MATCH($B88,指定日期分位点!$C$2:$C$5000,0),MATCH(N$4,指定日期分位点!$B$1:$M$1,0))),OFFSET(指定日期分位点!$A$1,MATCH($B88,指定日期分位点!$C$2:$C$4000,0),MATCH(N$4,指定日期分位点!$B$1:$M$1,0)),"")</f>
        <v/>
      </c>
      <c r="O88" s="25"/>
    </row>
    <row r="89" hidden="1" spans="1:15">
      <c r="A89" s="137"/>
      <c r="B89" s="137" t="str">
        <f ca="1">IF(ISTEXT(OFFSET(#REF!,MATCH($A89,#REF!,0),MATCH(B$4,#REF!,0))),OFFSET(#REF!,MATCH($A89,#REF!,0),MATCH(B$4,#REF!,0)),"")</f>
        <v/>
      </c>
      <c r="C89" s="137" t="str">
        <f ca="1">IF(ISTEXT(OFFSET(#REF!,MATCH($A89,#REF!,0),MATCH(C$4,#REF!,0))),OFFSET(#REF!,MATCH($A89,#REF!,0),MATCH(C$4,#REF!,0)),"")</f>
        <v/>
      </c>
      <c r="D89" s="137" t="str">
        <f ca="1">IF(ISNUMBER(OFFSET(#REF!,MATCH($A89,#REF!,0),MATCH(D$4,#REF!,0))),OFFSET(#REF!,MATCH($A89,#REF!,0),MATCH(D$4,#REF!,0)),"")</f>
        <v/>
      </c>
      <c r="E89" s="137" t="str">
        <f ca="1">IF(ISNUMBER(OFFSET(#REF!,MATCH($A89,#REF!,0),MATCH(E$4,#REF!,0))),OFFSET(#REF!,MATCH($A89,#REF!,0),MATCH(E$4,#REF!,0)),"")</f>
        <v/>
      </c>
      <c r="F89" s="137" t="str">
        <f ca="1">IF(ISNUMBER(OFFSET(#REF!,MATCH($A89,#REF!,0),MATCH(F$4,#REF!,0))),OFFSET(#REF!,MATCH($A89,#REF!,0),MATCH(F$4,#REF!,0)),"")</f>
        <v/>
      </c>
      <c r="G89" s="137" t="str">
        <f ca="1">IF(ISNUMBER(OFFSET(#REF!,MATCH($A89,#REF!,0),MATCH(G$4,#REF!,0))),OFFSET(#REF!,MATCH($A89,#REF!,0),MATCH(G$4,#REF!,0)),"")</f>
        <v/>
      </c>
      <c r="H89" s="132" t="str">
        <f ca="1">IF(ISERROR(VLOOKUP(C89,'周期表（不要动）'!A:B,2,FALSE)),"",VLOOKUP(C89,'周期表（不要动）'!A:B,2,FALSE))</f>
        <v/>
      </c>
      <c r="I89" s="146">
        <f ca="1" t="shared" si="1"/>
        <v>0</v>
      </c>
      <c r="J89" s="147" t="e">
        <f ca="1">VLOOKUP(B89,小熊定理判定!A:D,2,FALSE)</f>
        <v>#N/A</v>
      </c>
      <c r="K89" s="147" t="e">
        <f ca="1">VLOOKUP(B89,小熊定理判定!A:D,3,FALSE)</f>
        <v>#N/A</v>
      </c>
      <c r="L89" s="147" t="e">
        <f ca="1">VLOOKUP(B89,小熊定理判定!A:D,4,FALSE)</f>
        <v>#N/A</v>
      </c>
      <c r="M89" s="148" t="e">
        <f ca="1">IF(ISNUMBER(OFFSET(指定日期分位点!$A$1,MATCH($B89,指定日期分位点!$C$2:$C$5000,0),MATCH(M$4,指定日期分位点!$B$1:$M$1,0))),OFFSET(指定日期分位点!$A$1,MATCH($B89,指定日期分位点!$C$2:$C$4000,0),MATCH(M$4,指定日期分位点!$B$1:$M$1,0)),"")/100</f>
        <v>#VALUE!</v>
      </c>
      <c r="N89" s="148" t="str">
        <f ca="1">IF(ISNUMBER(OFFSET(指定日期分位点!$A$1,MATCH($B89,指定日期分位点!$C$2:$C$5000,0),MATCH(N$4,指定日期分位点!$B$1:$M$1,0))),OFFSET(指定日期分位点!$A$1,MATCH($B89,指定日期分位点!$C$2:$C$4000,0),MATCH(N$4,指定日期分位点!$B$1:$M$1,0)),"")</f>
        <v/>
      </c>
      <c r="O89" s="25"/>
    </row>
    <row r="90" hidden="1" spans="1:15">
      <c r="A90" s="137"/>
      <c r="B90" s="137" t="str">
        <f ca="1">IF(ISTEXT(OFFSET(#REF!,MATCH($A90,#REF!,0),MATCH(B$4,#REF!,0))),OFFSET(#REF!,MATCH($A90,#REF!,0),MATCH(B$4,#REF!,0)),"")</f>
        <v/>
      </c>
      <c r="C90" s="137" t="str">
        <f ca="1">IF(ISTEXT(OFFSET(#REF!,MATCH($A90,#REF!,0),MATCH(C$4,#REF!,0))),OFFSET(#REF!,MATCH($A90,#REF!,0),MATCH(C$4,#REF!,0)),"")</f>
        <v/>
      </c>
      <c r="D90" s="137" t="str">
        <f ca="1">IF(ISNUMBER(OFFSET(#REF!,MATCH($A90,#REF!,0),MATCH(D$4,#REF!,0))),OFFSET(#REF!,MATCH($A90,#REF!,0),MATCH(D$4,#REF!,0)),"")</f>
        <v/>
      </c>
      <c r="E90" s="137" t="str">
        <f ca="1">IF(ISNUMBER(OFFSET(#REF!,MATCH($A90,#REF!,0),MATCH(E$4,#REF!,0))),OFFSET(#REF!,MATCH($A90,#REF!,0),MATCH(E$4,#REF!,0)),"")</f>
        <v/>
      </c>
      <c r="F90" s="137" t="str">
        <f ca="1">IF(ISNUMBER(OFFSET(#REF!,MATCH($A90,#REF!,0),MATCH(F$4,#REF!,0))),OFFSET(#REF!,MATCH($A90,#REF!,0),MATCH(F$4,#REF!,0)),"")</f>
        <v/>
      </c>
      <c r="G90" s="137" t="str">
        <f ca="1">IF(ISNUMBER(OFFSET(#REF!,MATCH($A90,#REF!,0),MATCH(G$4,#REF!,0))),OFFSET(#REF!,MATCH($A90,#REF!,0),MATCH(G$4,#REF!,0)),"")</f>
        <v/>
      </c>
      <c r="H90" s="132" t="str">
        <f ca="1">IF(ISERROR(VLOOKUP(C90,'周期表（不要动）'!A:B,2,FALSE)),"",VLOOKUP(C90,'周期表（不要动）'!A:B,2,FALSE))</f>
        <v/>
      </c>
      <c r="I90" s="146">
        <f ca="1" t="shared" si="1"/>
        <v>0</v>
      </c>
      <c r="J90" s="147" t="e">
        <f ca="1">VLOOKUP(B90,小熊定理判定!A:D,2,FALSE)</f>
        <v>#N/A</v>
      </c>
      <c r="K90" s="147" t="e">
        <f ca="1">VLOOKUP(B90,小熊定理判定!A:D,3,FALSE)</f>
        <v>#N/A</v>
      </c>
      <c r="L90" s="147" t="e">
        <f ca="1">VLOOKUP(B90,小熊定理判定!A:D,4,FALSE)</f>
        <v>#N/A</v>
      </c>
      <c r="M90" s="148" t="e">
        <f ca="1">IF(ISNUMBER(OFFSET(指定日期分位点!$A$1,MATCH($B90,指定日期分位点!$C$2:$C$5000,0),MATCH(M$4,指定日期分位点!$B$1:$M$1,0))),OFFSET(指定日期分位点!$A$1,MATCH($B90,指定日期分位点!$C$2:$C$4000,0),MATCH(M$4,指定日期分位点!$B$1:$M$1,0)),"")/100</f>
        <v>#VALUE!</v>
      </c>
      <c r="N90" s="148" t="str">
        <f ca="1">IF(ISNUMBER(OFFSET(指定日期分位点!$A$1,MATCH($B90,指定日期分位点!$C$2:$C$5000,0),MATCH(N$4,指定日期分位点!$B$1:$M$1,0))),OFFSET(指定日期分位点!$A$1,MATCH($B90,指定日期分位点!$C$2:$C$4000,0),MATCH(N$4,指定日期分位点!$B$1:$M$1,0)),"")</f>
        <v/>
      </c>
      <c r="O90" s="25"/>
    </row>
    <row r="91" hidden="1" spans="1:15">
      <c r="A91" s="137"/>
      <c r="B91" s="137" t="str">
        <f ca="1">IF(ISTEXT(OFFSET(#REF!,MATCH($A91,#REF!,0),MATCH(B$4,#REF!,0))),OFFSET(#REF!,MATCH($A91,#REF!,0),MATCH(B$4,#REF!,0)),"")</f>
        <v/>
      </c>
      <c r="C91" s="137" t="str">
        <f ca="1">IF(ISTEXT(OFFSET(#REF!,MATCH($A91,#REF!,0),MATCH(C$4,#REF!,0))),OFFSET(#REF!,MATCH($A91,#REF!,0),MATCH(C$4,#REF!,0)),"")</f>
        <v/>
      </c>
      <c r="D91" s="137" t="str">
        <f ca="1">IF(ISNUMBER(OFFSET(#REF!,MATCH($A91,#REF!,0),MATCH(D$4,#REF!,0))),OFFSET(#REF!,MATCH($A91,#REF!,0),MATCH(D$4,#REF!,0)),"")</f>
        <v/>
      </c>
      <c r="E91" s="137" t="str">
        <f ca="1">IF(ISNUMBER(OFFSET(#REF!,MATCH($A91,#REF!,0),MATCH(E$4,#REF!,0))),OFFSET(#REF!,MATCH($A91,#REF!,0),MATCH(E$4,#REF!,0)),"")</f>
        <v/>
      </c>
      <c r="F91" s="137" t="str">
        <f ca="1">IF(ISNUMBER(OFFSET(#REF!,MATCH($A91,#REF!,0),MATCH(F$4,#REF!,0))),OFFSET(#REF!,MATCH($A91,#REF!,0),MATCH(F$4,#REF!,0)),"")</f>
        <v/>
      </c>
      <c r="G91" s="137" t="str">
        <f ca="1">IF(ISNUMBER(OFFSET(#REF!,MATCH($A91,#REF!,0),MATCH(G$4,#REF!,0))),OFFSET(#REF!,MATCH($A91,#REF!,0),MATCH(G$4,#REF!,0)),"")</f>
        <v/>
      </c>
      <c r="H91" s="132" t="str">
        <f ca="1">IF(ISERROR(VLOOKUP(C91,'周期表（不要动）'!A:B,2,FALSE)),"",VLOOKUP(C91,'周期表（不要动）'!A:B,2,FALSE))</f>
        <v/>
      </c>
      <c r="I91" s="146">
        <f ca="1" t="shared" si="1"/>
        <v>0</v>
      </c>
      <c r="J91" s="147" t="e">
        <f ca="1">VLOOKUP(B91,小熊定理判定!A:D,2,FALSE)</f>
        <v>#N/A</v>
      </c>
      <c r="K91" s="147" t="e">
        <f ca="1">VLOOKUP(B91,小熊定理判定!A:D,3,FALSE)</f>
        <v>#N/A</v>
      </c>
      <c r="L91" s="147" t="e">
        <f ca="1">VLOOKUP(B91,小熊定理判定!A:D,4,FALSE)</f>
        <v>#N/A</v>
      </c>
      <c r="M91" s="148" t="e">
        <f ca="1">IF(ISNUMBER(OFFSET(指定日期分位点!$A$1,MATCH($B91,指定日期分位点!$C$2:$C$5000,0),MATCH(M$4,指定日期分位点!$B$1:$M$1,0))),OFFSET(指定日期分位点!$A$1,MATCH($B91,指定日期分位点!$C$2:$C$4000,0),MATCH(M$4,指定日期分位点!$B$1:$M$1,0)),"")/100</f>
        <v>#VALUE!</v>
      </c>
      <c r="N91" s="148" t="str">
        <f ca="1">IF(ISNUMBER(OFFSET(指定日期分位点!$A$1,MATCH($B91,指定日期分位点!$C$2:$C$5000,0),MATCH(N$4,指定日期分位点!$B$1:$M$1,0))),OFFSET(指定日期分位点!$A$1,MATCH($B91,指定日期分位点!$C$2:$C$4000,0),MATCH(N$4,指定日期分位点!$B$1:$M$1,0)),"")</f>
        <v/>
      </c>
      <c r="O91" s="25"/>
    </row>
    <row r="92" hidden="1" spans="1:15">
      <c r="A92" s="137"/>
      <c r="B92" s="137" t="str">
        <f ca="1">IF(ISTEXT(OFFSET(#REF!,MATCH($A92,#REF!,0),MATCH(B$4,#REF!,0))),OFFSET(#REF!,MATCH($A92,#REF!,0),MATCH(B$4,#REF!,0)),"")</f>
        <v/>
      </c>
      <c r="C92" s="137" t="str">
        <f ca="1">IF(ISTEXT(OFFSET(#REF!,MATCH($A92,#REF!,0),MATCH(C$4,#REF!,0))),OFFSET(#REF!,MATCH($A92,#REF!,0),MATCH(C$4,#REF!,0)),"")</f>
        <v/>
      </c>
      <c r="D92" s="137" t="str">
        <f ca="1">IF(ISNUMBER(OFFSET(#REF!,MATCH($A92,#REF!,0),MATCH(D$4,#REF!,0))),OFFSET(#REF!,MATCH($A92,#REF!,0),MATCH(D$4,#REF!,0)),"")</f>
        <v/>
      </c>
      <c r="E92" s="137" t="str">
        <f ca="1">IF(ISNUMBER(OFFSET(#REF!,MATCH($A92,#REF!,0),MATCH(E$4,#REF!,0))),OFFSET(#REF!,MATCH($A92,#REF!,0),MATCH(E$4,#REF!,0)),"")</f>
        <v/>
      </c>
      <c r="F92" s="137" t="str">
        <f ca="1">IF(ISNUMBER(OFFSET(#REF!,MATCH($A92,#REF!,0),MATCH(F$4,#REF!,0))),OFFSET(#REF!,MATCH($A92,#REF!,0),MATCH(F$4,#REF!,0)),"")</f>
        <v/>
      </c>
      <c r="G92" s="137" t="str">
        <f ca="1">IF(ISNUMBER(OFFSET(#REF!,MATCH($A92,#REF!,0),MATCH(G$4,#REF!,0))),OFFSET(#REF!,MATCH($A92,#REF!,0),MATCH(G$4,#REF!,0)),"")</f>
        <v/>
      </c>
      <c r="H92" s="132" t="str">
        <f ca="1">IF(ISERROR(VLOOKUP(C92,'周期表（不要动）'!A:B,2,FALSE)),"",VLOOKUP(C92,'周期表（不要动）'!A:B,2,FALSE))</f>
        <v/>
      </c>
      <c r="I92" s="146">
        <f ca="1" t="shared" si="1"/>
        <v>0</v>
      </c>
      <c r="J92" s="147" t="e">
        <f ca="1">VLOOKUP(B92,小熊定理判定!A:D,2,FALSE)</f>
        <v>#N/A</v>
      </c>
      <c r="K92" s="147" t="e">
        <f ca="1">VLOOKUP(B92,小熊定理判定!A:D,3,FALSE)</f>
        <v>#N/A</v>
      </c>
      <c r="L92" s="147" t="e">
        <f ca="1">VLOOKUP(B92,小熊定理判定!A:D,4,FALSE)</f>
        <v>#N/A</v>
      </c>
      <c r="M92" s="148" t="e">
        <f ca="1">IF(ISNUMBER(OFFSET(指定日期分位点!$A$1,MATCH($B92,指定日期分位点!$C$2:$C$5000,0),MATCH(M$4,指定日期分位点!$B$1:$M$1,0))),OFFSET(指定日期分位点!$A$1,MATCH($B92,指定日期分位点!$C$2:$C$4000,0),MATCH(M$4,指定日期分位点!$B$1:$M$1,0)),"")/100</f>
        <v>#VALUE!</v>
      </c>
      <c r="N92" s="148" t="str">
        <f ca="1">IF(ISNUMBER(OFFSET(指定日期分位点!$A$1,MATCH($B92,指定日期分位点!$C$2:$C$5000,0),MATCH(N$4,指定日期分位点!$B$1:$M$1,0))),OFFSET(指定日期分位点!$A$1,MATCH($B92,指定日期分位点!$C$2:$C$4000,0),MATCH(N$4,指定日期分位点!$B$1:$M$1,0)),"")</f>
        <v/>
      </c>
      <c r="O92" s="25"/>
    </row>
    <row r="93" hidden="1" spans="1:15">
      <c r="A93" s="137"/>
      <c r="B93" s="137" t="str">
        <f ca="1">IF(ISTEXT(OFFSET(#REF!,MATCH($A93,#REF!,0),MATCH(B$4,#REF!,0))),OFFSET(#REF!,MATCH($A93,#REF!,0),MATCH(B$4,#REF!,0)),"")</f>
        <v/>
      </c>
      <c r="C93" s="137" t="str">
        <f ca="1">IF(ISTEXT(OFFSET(#REF!,MATCH($A93,#REF!,0),MATCH(C$4,#REF!,0))),OFFSET(#REF!,MATCH($A93,#REF!,0),MATCH(C$4,#REF!,0)),"")</f>
        <v/>
      </c>
      <c r="D93" s="137" t="str">
        <f ca="1">IF(ISNUMBER(OFFSET(#REF!,MATCH($A93,#REF!,0),MATCH(D$4,#REF!,0))),OFFSET(#REF!,MATCH($A93,#REF!,0),MATCH(D$4,#REF!,0)),"")</f>
        <v/>
      </c>
      <c r="E93" s="137" t="str">
        <f ca="1">IF(ISNUMBER(OFFSET(#REF!,MATCH($A93,#REF!,0),MATCH(E$4,#REF!,0))),OFFSET(#REF!,MATCH($A93,#REF!,0),MATCH(E$4,#REF!,0)),"")</f>
        <v/>
      </c>
      <c r="F93" s="137" t="str">
        <f ca="1">IF(ISNUMBER(OFFSET(#REF!,MATCH($A93,#REF!,0),MATCH(F$4,#REF!,0))),OFFSET(#REF!,MATCH($A93,#REF!,0),MATCH(F$4,#REF!,0)),"")</f>
        <v/>
      </c>
      <c r="G93" s="137" t="str">
        <f ca="1">IF(ISNUMBER(OFFSET(#REF!,MATCH($A93,#REF!,0),MATCH(G$4,#REF!,0))),OFFSET(#REF!,MATCH($A93,#REF!,0),MATCH(G$4,#REF!,0)),"")</f>
        <v/>
      </c>
      <c r="H93" s="132" t="str">
        <f ca="1">IF(ISERROR(VLOOKUP(C93,'周期表（不要动）'!A:B,2,FALSE)),"",VLOOKUP(C93,'周期表（不要动）'!A:B,2,FALSE))</f>
        <v/>
      </c>
      <c r="I93" s="146">
        <f ca="1" t="shared" si="1"/>
        <v>0</v>
      </c>
      <c r="J93" s="147" t="e">
        <f ca="1">VLOOKUP(B93,小熊定理判定!A:D,2,FALSE)</f>
        <v>#N/A</v>
      </c>
      <c r="K93" s="147" t="e">
        <f ca="1">VLOOKUP(B93,小熊定理判定!A:D,3,FALSE)</f>
        <v>#N/A</v>
      </c>
      <c r="L93" s="147" t="e">
        <f ca="1">VLOOKUP(B93,小熊定理判定!A:D,4,FALSE)</f>
        <v>#N/A</v>
      </c>
      <c r="M93" s="148" t="e">
        <f ca="1">IF(ISNUMBER(OFFSET(指定日期分位点!$A$1,MATCH($B93,指定日期分位点!$C$2:$C$5000,0),MATCH(M$4,指定日期分位点!$B$1:$M$1,0))),OFFSET(指定日期分位点!$A$1,MATCH($B93,指定日期分位点!$C$2:$C$4000,0),MATCH(M$4,指定日期分位点!$B$1:$M$1,0)),"")/100</f>
        <v>#VALUE!</v>
      </c>
      <c r="N93" s="148" t="str">
        <f ca="1">IF(ISNUMBER(OFFSET(指定日期分位点!$A$1,MATCH($B93,指定日期分位点!$C$2:$C$5000,0),MATCH(N$4,指定日期分位点!$B$1:$M$1,0))),OFFSET(指定日期分位点!$A$1,MATCH($B93,指定日期分位点!$C$2:$C$4000,0),MATCH(N$4,指定日期分位点!$B$1:$M$1,0)),"")</f>
        <v/>
      </c>
      <c r="O93" s="25"/>
    </row>
    <row r="94" hidden="1" spans="1:15">
      <c r="A94" s="137"/>
      <c r="B94" s="137" t="str">
        <f ca="1">IF(ISTEXT(OFFSET(#REF!,MATCH($A94,#REF!,0),MATCH(B$4,#REF!,0))),OFFSET(#REF!,MATCH($A94,#REF!,0),MATCH(B$4,#REF!,0)),"")</f>
        <v/>
      </c>
      <c r="C94" s="137" t="str">
        <f ca="1">IF(ISTEXT(OFFSET(#REF!,MATCH($A94,#REF!,0),MATCH(C$4,#REF!,0))),OFFSET(#REF!,MATCH($A94,#REF!,0),MATCH(C$4,#REF!,0)),"")</f>
        <v/>
      </c>
      <c r="D94" s="137" t="str">
        <f ca="1">IF(ISNUMBER(OFFSET(#REF!,MATCH($A94,#REF!,0),MATCH(D$4,#REF!,0))),OFFSET(#REF!,MATCH($A94,#REF!,0),MATCH(D$4,#REF!,0)),"")</f>
        <v/>
      </c>
      <c r="E94" s="137" t="str">
        <f ca="1">IF(ISNUMBER(OFFSET(#REF!,MATCH($A94,#REF!,0),MATCH(E$4,#REF!,0))),OFFSET(#REF!,MATCH($A94,#REF!,0),MATCH(E$4,#REF!,0)),"")</f>
        <v/>
      </c>
      <c r="F94" s="137" t="str">
        <f ca="1">IF(ISNUMBER(OFFSET(#REF!,MATCH($A94,#REF!,0),MATCH(F$4,#REF!,0))),OFFSET(#REF!,MATCH($A94,#REF!,0),MATCH(F$4,#REF!,0)),"")</f>
        <v/>
      </c>
      <c r="G94" s="137" t="str">
        <f ca="1">IF(ISNUMBER(OFFSET(#REF!,MATCH($A94,#REF!,0),MATCH(G$4,#REF!,0))),OFFSET(#REF!,MATCH($A94,#REF!,0),MATCH(G$4,#REF!,0)),"")</f>
        <v/>
      </c>
      <c r="H94" s="132" t="str">
        <f ca="1">IF(ISERROR(VLOOKUP(C94,'周期表（不要动）'!A:B,2,FALSE)),"",VLOOKUP(C94,'周期表（不要动）'!A:B,2,FALSE))</f>
        <v/>
      </c>
      <c r="I94" s="146">
        <f ca="1" t="shared" si="1"/>
        <v>0</v>
      </c>
      <c r="J94" s="147" t="e">
        <f ca="1">VLOOKUP(B94,小熊定理判定!A:D,2,FALSE)</f>
        <v>#N/A</v>
      </c>
      <c r="K94" s="147" t="e">
        <f ca="1">VLOOKUP(B94,小熊定理判定!A:D,3,FALSE)</f>
        <v>#N/A</v>
      </c>
      <c r="L94" s="147" t="e">
        <f ca="1">VLOOKUP(B94,小熊定理判定!A:D,4,FALSE)</f>
        <v>#N/A</v>
      </c>
      <c r="M94" s="148" t="e">
        <f ca="1">IF(ISNUMBER(OFFSET(指定日期分位点!$A$1,MATCH($B94,指定日期分位点!$C$2:$C$5000,0),MATCH(M$4,指定日期分位点!$B$1:$M$1,0))),OFFSET(指定日期分位点!$A$1,MATCH($B94,指定日期分位点!$C$2:$C$4000,0),MATCH(M$4,指定日期分位点!$B$1:$M$1,0)),"")/100</f>
        <v>#VALUE!</v>
      </c>
      <c r="N94" s="148" t="str">
        <f ca="1">IF(ISNUMBER(OFFSET(指定日期分位点!$A$1,MATCH($B94,指定日期分位点!$C$2:$C$5000,0),MATCH(N$4,指定日期分位点!$B$1:$M$1,0))),OFFSET(指定日期分位点!$A$1,MATCH($B94,指定日期分位点!$C$2:$C$4000,0),MATCH(N$4,指定日期分位点!$B$1:$M$1,0)),"")</f>
        <v/>
      </c>
      <c r="O94" s="25"/>
    </row>
    <row r="95" hidden="1" spans="1:15">
      <c r="A95" s="137"/>
      <c r="B95" s="137" t="str">
        <f ca="1">IF(ISTEXT(OFFSET(#REF!,MATCH($A95,#REF!,0),MATCH(B$4,#REF!,0))),OFFSET(#REF!,MATCH($A95,#REF!,0),MATCH(B$4,#REF!,0)),"")</f>
        <v/>
      </c>
      <c r="C95" s="137" t="str">
        <f ca="1">IF(ISTEXT(OFFSET(#REF!,MATCH($A95,#REF!,0),MATCH(C$4,#REF!,0))),OFFSET(#REF!,MATCH($A95,#REF!,0),MATCH(C$4,#REF!,0)),"")</f>
        <v/>
      </c>
      <c r="D95" s="137" t="str">
        <f ca="1">IF(ISNUMBER(OFFSET(#REF!,MATCH($A95,#REF!,0),MATCH(D$4,#REF!,0))),OFFSET(#REF!,MATCH($A95,#REF!,0),MATCH(D$4,#REF!,0)),"")</f>
        <v/>
      </c>
      <c r="E95" s="137" t="str">
        <f ca="1">IF(ISNUMBER(OFFSET(#REF!,MATCH($A95,#REF!,0),MATCH(E$4,#REF!,0))),OFFSET(#REF!,MATCH($A95,#REF!,0),MATCH(E$4,#REF!,0)),"")</f>
        <v/>
      </c>
      <c r="F95" s="137" t="str">
        <f ca="1">IF(ISNUMBER(OFFSET(#REF!,MATCH($A95,#REF!,0),MATCH(F$4,#REF!,0))),OFFSET(#REF!,MATCH($A95,#REF!,0),MATCH(F$4,#REF!,0)),"")</f>
        <v/>
      </c>
      <c r="G95" s="137" t="str">
        <f ca="1">IF(ISNUMBER(OFFSET(#REF!,MATCH($A95,#REF!,0),MATCH(G$4,#REF!,0))),OFFSET(#REF!,MATCH($A95,#REF!,0),MATCH(G$4,#REF!,0)),"")</f>
        <v/>
      </c>
      <c r="H95" s="132" t="str">
        <f ca="1">IF(ISERROR(VLOOKUP(C95,'周期表（不要动）'!A:B,2,FALSE)),"",VLOOKUP(C95,'周期表（不要动）'!A:B,2,FALSE))</f>
        <v/>
      </c>
      <c r="I95" s="146">
        <f ca="1" t="shared" si="1"/>
        <v>0</v>
      </c>
      <c r="J95" s="147" t="e">
        <f ca="1">VLOOKUP(B95,小熊定理判定!A:D,2,FALSE)</f>
        <v>#N/A</v>
      </c>
      <c r="K95" s="147" t="e">
        <f ca="1">VLOOKUP(B95,小熊定理判定!A:D,3,FALSE)</f>
        <v>#N/A</v>
      </c>
      <c r="L95" s="147" t="e">
        <f ca="1">VLOOKUP(B95,小熊定理判定!A:D,4,FALSE)</f>
        <v>#N/A</v>
      </c>
      <c r="M95" s="148" t="e">
        <f ca="1">IF(ISNUMBER(OFFSET(指定日期分位点!$A$1,MATCH($B95,指定日期分位点!$C$2:$C$5000,0),MATCH(M$4,指定日期分位点!$B$1:$M$1,0))),OFFSET(指定日期分位点!$A$1,MATCH($B95,指定日期分位点!$C$2:$C$4000,0),MATCH(M$4,指定日期分位点!$B$1:$M$1,0)),"")/100</f>
        <v>#VALUE!</v>
      </c>
      <c r="N95" s="148" t="str">
        <f ca="1">IF(ISNUMBER(OFFSET(指定日期分位点!$A$1,MATCH($B95,指定日期分位点!$C$2:$C$5000,0),MATCH(N$4,指定日期分位点!$B$1:$M$1,0))),OFFSET(指定日期分位点!$A$1,MATCH($B95,指定日期分位点!$C$2:$C$4000,0),MATCH(N$4,指定日期分位点!$B$1:$M$1,0)),"")</f>
        <v/>
      </c>
      <c r="O95" s="25"/>
    </row>
    <row r="96" hidden="1" spans="1:15">
      <c r="A96" s="137"/>
      <c r="B96" s="137" t="str">
        <f ca="1">IF(ISTEXT(OFFSET(#REF!,MATCH($A96,#REF!,0),MATCH(B$4,#REF!,0))),OFFSET(#REF!,MATCH($A96,#REF!,0),MATCH(B$4,#REF!,0)),"")</f>
        <v/>
      </c>
      <c r="C96" s="137" t="str">
        <f ca="1">IF(ISTEXT(OFFSET(#REF!,MATCH($A96,#REF!,0),MATCH(C$4,#REF!,0))),OFFSET(#REF!,MATCH($A96,#REF!,0),MATCH(C$4,#REF!,0)),"")</f>
        <v/>
      </c>
      <c r="D96" s="137" t="str">
        <f ca="1">IF(ISNUMBER(OFFSET(#REF!,MATCH($A96,#REF!,0),MATCH(D$4,#REF!,0))),OFFSET(#REF!,MATCH($A96,#REF!,0),MATCH(D$4,#REF!,0)),"")</f>
        <v/>
      </c>
      <c r="E96" s="137" t="str">
        <f ca="1">IF(ISNUMBER(OFFSET(#REF!,MATCH($A96,#REF!,0),MATCH(E$4,#REF!,0))),OFFSET(#REF!,MATCH($A96,#REF!,0),MATCH(E$4,#REF!,0)),"")</f>
        <v/>
      </c>
      <c r="F96" s="137" t="str">
        <f ca="1">IF(ISNUMBER(OFFSET(#REF!,MATCH($A96,#REF!,0),MATCH(F$4,#REF!,0))),OFFSET(#REF!,MATCH($A96,#REF!,0),MATCH(F$4,#REF!,0)),"")</f>
        <v/>
      </c>
      <c r="G96" s="137" t="str">
        <f ca="1">IF(ISNUMBER(OFFSET(#REF!,MATCH($A96,#REF!,0),MATCH(G$4,#REF!,0))),OFFSET(#REF!,MATCH($A96,#REF!,0),MATCH(G$4,#REF!,0)),"")</f>
        <v/>
      </c>
      <c r="H96" s="132" t="str">
        <f ca="1">IF(ISERROR(VLOOKUP(C96,'周期表（不要动）'!A:B,2,FALSE)),"",VLOOKUP(C96,'周期表（不要动）'!A:B,2,FALSE))</f>
        <v/>
      </c>
      <c r="I96" s="146">
        <f ca="1" t="shared" si="1"/>
        <v>0</v>
      </c>
      <c r="J96" s="147" t="e">
        <f ca="1">VLOOKUP(B96,小熊定理判定!A:D,2,FALSE)</f>
        <v>#N/A</v>
      </c>
      <c r="K96" s="147" t="e">
        <f ca="1">VLOOKUP(B96,小熊定理判定!A:D,3,FALSE)</f>
        <v>#N/A</v>
      </c>
      <c r="L96" s="147" t="e">
        <f ca="1">VLOOKUP(B96,小熊定理判定!A:D,4,FALSE)</f>
        <v>#N/A</v>
      </c>
      <c r="M96" s="148" t="e">
        <f ca="1">IF(ISNUMBER(OFFSET(指定日期分位点!$A$1,MATCH($B96,指定日期分位点!$C$2:$C$5000,0),MATCH(M$4,指定日期分位点!$B$1:$M$1,0))),OFFSET(指定日期分位点!$A$1,MATCH($B96,指定日期分位点!$C$2:$C$4000,0),MATCH(M$4,指定日期分位点!$B$1:$M$1,0)),"")/100</f>
        <v>#VALUE!</v>
      </c>
      <c r="N96" s="148" t="str">
        <f ca="1">IF(ISNUMBER(OFFSET(指定日期分位点!$A$1,MATCH($B96,指定日期分位点!$C$2:$C$5000,0),MATCH(N$4,指定日期分位点!$B$1:$M$1,0))),OFFSET(指定日期分位点!$A$1,MATCH($B96,指定日期分位点!$C$2:$C$4000,0),MATCH(N$4,指定日期分位点!$B$1:$M$1,0)),"")</f>
        <v/>
      </c>
      <c r="O96" s="25"/>
    </row>
    <row r="97" hidden="1" spans="1:15">
      <c r="A97" s="137"/>
      <c r="B97" s="137" t="str">
        <f ca="1">IF(ISTEXT(OFFSET(#REF!,MATCH($A97,#REF!,0),MATCH(B$4,#REF!,0))),OFFSET(#REF!,MATCH($A97,#REF!,0),MATCH(B$4,#REF!,0)),"")</f>
        <v/>
      </c>
      <c r="C97" s="137" t="str">
        <f ca="1">IF(ISTEXT(OFFSET(#REF!,MATCH($A97,#REF!,0),MATCH(C$4,#REF!,0))),OFFSET(#REF!,MATCH($A97,#REF!,0),MATCH(C$4,#REF!,0)),"")</f>
        <v/>
      </c>
      <c r="D97" s="137" t="str">
        <f ca="1">IF(ISNUMBER(OFFSET(#REF!,MATCH($A97,#REF!,0),MATCH(D$4,#REF!,0))),OFFSET(#REF!,MATCH($A97,#REF!,0),MATCH(D$4,#REF!,0)),"")</f>
        <v/>
      </c>
      <c r="E97" s="137" t="str">
        <f ca="1">IF(ISNUMBER(OFFSET(#REF!,MATCH($A97,#REF!,0),MATCH(E$4,#REF!,0))),OFFSET(#REF!,MATCH($A97,#REF!,0),MATCH(E$4,#REF!,0)),"")</f>
        <v/>
      </c>
      <c r="F97" s="137" t="str">
        <f ca="1">IF(ISNUMBER(OFFSET(#REF!,MATCH($A97,#REF!,0),MATCH(F$4,#REF!,0))),OFFSET(#REF!,MATCH($A97,#REF!,0),MATCH(F$4,#REF!,0)),"")</f>
        <v/>
      </c>
      <c r="G97" s="137" t="str">
        <f ca="1">IF(ISNUMBER(OFFSET(#REF!,MATCH($A97,#REF!,0),MATCH(G$4,#REF!,0))),OFFSET(#REF!,MATCH($A97,#REF!,0),MATCH(G$4,#REF!,0)),"")</f>
        <v/>
      </c>
      <c r="H97" s="132" t="str">
        <f ca="1">IF(ISERROR(VLOOKUP(C97,'周期表（不要动）'!A:B,2,FALSE)),"",VLOOKUP(C97,'周期表（不要动）'!A:B,2,FALSE))</f>
        <v/>
      </c>
      <c r="I97" s="146">
        <f ca="1" t="shared" si="1"/>
        <v>0</v>
      </c>
      <c r="J97" s="147" t="e">
        <f ca="1">VLOOKUP(B97,小熊定理判定!A:D,2,FALSE)</f>
        <v>#N/A</v>
      </c>
      <c r="K97" s="147" t="e">
        <f ca="1">VLOOKUP(B97,小熊定理判定!A:D,3,FALSE)</f>
        <v>#N/A</v>
      </c>
      <c r="L97" s="147" t="e">
        <f ca="1">VLOOKUP(B97,小熊定理判定!A:D,4,FALSE)</f>
        <v>#N/A</v>
      </c>
      <c r="M97" s="148" t="e">
        <f ca="1">IF(ISNUMBER(OFFSET(指定日期分位点!$A$1,MATCH($B97,指定日期分位点!$C$2:$C$5000,0),MATCH(M$4,指定日期分位点!$B$1:$M$1,0))),OFFSET(指定日期分位点!$A$1,MATCH($B97,指定日期分位点!$C$2:$C$4000,0),MATCH(M$4,指定日期分位点!$B$1:$M$1,0)),"")/100</f>
        <v>#VALUE!</v>
      </c>
      <c r="N97" s="148" t="str">
        <f ca="1">IF(ISNUMBER(OFFSET(指定日期分位点!$A$1,MATCH($B97,指定日期分位点!$C$2:$C$5000,0),MATCH(N$4,指定日期分位点!$B$1:$M$1,0))),OFFSET(指定日期分位点!$A$1,MATCH($B97,指定日期分位点!$C$2:$C$4000,0),MATCH(N$4,指定日期分位点!$B$1:$M$1,0)),"")</f>
        <v/>
      </c>
      <c r="O97" s="25"/>
    </row>
    <row r="98" hidden="1" spans="1:15">
      <c r="A98" s="137"/>
      <c r="B98" s="137" t="str">
        <f ca="1">IF(ISTEXT(OFFSET(#REF!,MATCH($A98,#REF!,0),MATCH(B$4,#REF!,0))),OFFSET(#REF!,MATCH($A98,#REF!,0),MATCH(B$4,#REF!,0)),"")</f>
        <v/>
      </c>
      <c r="C98" s="137" t="str">
        <f ca="1">IF(ISTEXT(OFFSET(#REF!,MATCH($A98,#REF!,0),MATCH(C$4,#REF!,0))),OFFSET(#REF!,MATCH($A98,#REF!,0),MATCH(C$4,#REF!,0)),"")</f>
        <v/>
      </c>
      <c r="D98" s="137" t="str">
        <f ca="1">IF(ISNUMBER(OFFSET(#REF!,MATCH($A98,#REF!,0),MATCH(D$4,#REF!,0))),OFFSET(#REF!,MATCH($A98,#REF!,0),MATCH(D$4,#REF!,0)),"")</f>
        <v/>
      </c>
      <c r="E98" s="137" t="str">
        <f ca="1">IF(ISNUMBER(OFFSET(#REF!,MATCH($A98,#REF!,0),MATCH(E$4,#REF!,0))),OFFSET(#REF!,MATCH($A98,#REF!,0),MATCH(E$4,#REF!,0)),"")</f>
        <v/>
      </c>
      <c r="F98" s="137" t="str">
        <f ca="1">IF(ISNUMBER(OFFSET(#REF!,MATCH($A98,#REF!,0),MATCH(F$4,#REF!,0))),OFFSET(#REF!,MATCH($A98,#REF!,0),MATCH(F$4,#REF!,0)),"")</f>
        <v/>
      </c>
      <c r="G98" s="137" t="str">
        <f ca="1">IF(ISNUMBER(OFFSET(#REF!,MATCH($A98,#REF!,0),MATCH(G$4,#REF!,0))),OFFSET(#REF!,MATCH($A98,#REF!,0),MATCH(G$4,#REF!,0)),"")</f>
        <v/>
      </c>
      <c r="H98" s="132" t="str">
        <f ca="1">IF(ISERROR(VLOOKUP(C98,'周期表（不要动）'!A:B,2,FALSE)),"",VLOOKUP(C98,'周期表（不要动）'!A:B,2,FALSE))</f>
        <v/>
      </c>
      <c r="I98" s="146">
        <f ca="1" t="shared" si="1"/>
        <v>0</v>
      </c>
      <c r="J98" s="147" t="e">
        <f ca="1">VLOOKUP(B98,小熊定理判定!A:D,2,FALSE)</f>
        <v>#N/A</v>
      </c>
      <c r="K98" s="147" t="e">
        <f ca="1">VLOOKUP(B98,小熊定理判定!A:D,3,FALSE)</f>
        <v>#N/A</v>
      </c>
      <c r="L98" s="147" t="e">
        <f ca="1">VLOOKUP(B98,小熊定理判定!A:D,4,FALSE)</f>
        <v>#N/A</v>
      </c>
      <c r="M98" s="148" t="e">
        <f ca="1">IF(ISNUMBER(OFFSET(指定日期分位点!$A$1,MATCH($B98,指定日期分位点!$C$2:$C$5000,0),MATCH(M$4,指定日期分位点!$B$1:$M$1,0))),OFFSET(指定日期分位点!$A$1,MATCH($B98,指定日期分位点!$C$2:$C$4000,0),MATCH(M$4,指定日期分位点!$B$1:$M$1,0)),"")/100</f>
        <v>#VALUE!</v>
      </c>
      <c r="N98" s="148" t="str">
        <f ca="1">IF(ISNUMBER(OFFSET(指定日期分位点!$A$1,MATCH($B98,指定日期分位点!$C$2:$C$5000,0),MATCH(N$4,指定日期分位点!$B$1:$M$1,0))),OFFSET(指定日期分位点!$A$1,MATCH($B98,指定日期分位点!$C$2:$C$4000,0),MATCH(N$4,指定日期分位点!$B$1:$M$1,0)),"")</f>
        <v/>
      </c>
      <c r="O98" s="25"/>
    </row>
    <row r="99" hidden="1" spans="1:15">
      <c r="A99" s="137"/>
      <c r="B99" s="137" t="str">
        <f ca="1">IF(ISTEXT(OFFSET(#REF!,MATCH($A99,#REF!,0),MATCH(B$4,#REF!,0))),OFFSET(#REF!,MATCH($A99,#REF!,0),MATCH(B$4,#REF!,0)),"")</f>
        <v/>
      </c>
      <c r="C99" s="137" t="str">
        <f ca="1">IF(ISTEXT(OFFSET(#REF!,MATCH($A99,#REF!,0),MATCH(C$4,#REF!,0))),OFFSET(#REF!,MATCH($A99,#REF!,0),MATCH(C$4,#REF!,0)),"")</f>
        <v/>
      </c>
      <c r="D99" s="137" t="str">
        <f ca="1">IF(ISNUMBER(OFFSET(#REF!,MATCH($A99,#REF!,0),MATCH(D$4,#REF!,0))),OFFSET(#REF!,MATCH($A99,#REF!,0),MATCH(D$4,#REF!,0)),"")</f>
        <v/>
      </c>
      <c r="E99" s="137" t="str">
        <f ca="1">IF(ISNUMBER(OFFSET(#REF!,MATCH($A99,#REF!,0),MATCH(E$4,#REF!,0))),OFFSET(#REF!,MATCH($A99,#REF!,0),MATCH(E$4,#REF!,0)),"")</f>
        <v/>
      </c>
      <c r="F99" s="137" t="str">
        <f ca="1">IF(ISNUMBER(OFFSET(#REF!,MATCH($A99,#REF!,0),MATCH(F$4,#REF!,0))),OFFSET(#REF!,MATCH($A99,#REF!,0),MATCH(F$4,#REF!,0)),"")</f>
        <v/>
      </c>
      <c r="G99" s="137" t="str">
        <f ca="1">IF(ISNUMBER(OFFSET(#REF!,MATCH($A99,#REF!,0),MATCH(G$4,#REF!,0))),OFFSET(#REF!,MATCH($A99,#REF!,0),MATCH(G$4,#REF!,0)),"")</f>
        <v/>
      </c>
      <c r="H99" s="132" t="str">
        <f ca="1">IF(ISERROR(VLOOKUP(C99,'周期表（不要动）'!A:B,2,FALSE)),"",VLOOKUP(C99,'周期表（不要动）'!A:B,2,FALSE))</f>
        <v/>
      </c>
      <c r="I99" s="146">
        <f ca="1" t="shared" si="1"/>
        <v>0</v>
      </c>
      <c r="J99" s="147" t="e">
        <f ca="1">VLOOKUP(B99,小熊定理判定!A:D,2,FALSE)</f>
        <v>#N/A</v>
      </c>
      <c r="K99" s="147" t="e">
        <f ca="1">VLOOKUP(B99,小熊定理判定!A:D,3,FALSE)</f>
        <v>#N/A</v>
      </c>
      <c r="L99" s="147" t="e">
        <f ca="1">VLOOKUP(B99,小熊定理判定!A:D,4,FALSE)</f>
        <v>#N/A</v>
      </c>
      <c r="M99" s="148" t="e">
        <f ca="1">IF(ISNUMBER(OFFSET(指定日期分位点!$A$1,MATCH($B99,指定日期分位点!$C$2:$C$5000,0),MATCH(M$4,指定日期分位点!$B$1:$M$1,0))),OFFSET(指定日期分位点!$A$1,MATCH($B99,指定日期分位点!$C$2:$C$4000,0),MATCH(M$4,指定日期分位点!$B$1:$M$1,0)),"")/100</f>
        <v>#VALUE!</v>
      </c>
      <c r="N99" s="148" t="str">
        <f ca="1">IF(ISNUMBER(OFFSET(指定日期分位点!$A$1,MATCH($B99,指定日期分位点!$C$2:$C$5000,0),MATCH(N$4,指定日期分位点!$B$1:$M$1,0))),OFFSET(指定日期分位点!$A$1,MATCH($B99,指定日期分位点!$C$2:$C$4000,0),MATCH(N$4,指定日期分位点!$B$1:$M$1,0)),"")</f>
        <v/>
      </c>
      <c r="O99" s="25"/>
    </row>
    <row r="100" hidden="1" spans="1:15">
      <c r="A100" s="137"/>
      <c r="B100" s="137" t="str">
        <f ca="1">IF(ISTEXT(OFFSET(#REF!,MATCH($A100,#REF!,0),MATCH(B$4,#REF!,0))),OFFSET(#REF!,MATCH($A100,#REF!,0),MATCH(B$4,#REF!,0)),"")</f>
        <v/>
      </c>
      <c r="C100" s="137" t="str">
        <f ca="1">IF(ISTEXT(OFFSET(#REF!,MATCH($A100,#REF!,0),MATCH(C$4,#REF!,0))),OFFSET(#REF!,MATCH($A100,#REF!,0),MATCH(C$4,#REF!,0)),"")</f>
        <v/>
      </c>
      <c r="D100" s="137" t="str">
        <f ca="1">IF(ISNUMBER(OFFSET(#REF!,MATCH($A100,#REF!,0),MATCH(D$4,#REF!,0))),OFFSET(#REF!,MATCH($A100,#REF!,0),MATCH(D$4,#REF!,0)),"")</f>
        <v/>
      </c>
      <c r="E100" s="137" t="str">
        <f ca="1">IF(ISNUMBER(OFFSET(#REF!,MATCH($A100,#REF!,0),MATCH(E$4,#REF!,0))),OFFSET(#REF!,MATCH($A100,#REF!,0),MATCH(E$4,#REF!,0)),"")</f>
        <v/>
      </c>
      <c r="F100" s="137" t="str">
        <f ca="1">IF(ISNUMBER(OFFSET(#REF!,MATCH($A100,#REF!,0),MATCH(F$4,#REF!,0))),OFFSET(#REF!,MATCH($A100,#REF!,0),MATCH(F$4,#REF!,0)),"")</f>
        <v/>
      </c>
      <c r="G100" s="137" t="str">
        <f ca="1">IF(ISNUMBER(OFFSET(#REF!,MATCH($A100,#REF!,0),MATCH(G$4,#REF!,0))),OFFSET(#REF!,MATCH($A100,#REF!,0),MATCH(G$4,#REF!,0)),"")</f>
        <v/>
      </c>
      <c r="H100" s="132" t="str">
        <f ca="1">IF(ISERROR(VLOOKUP(C100,'周期表（不要动）'!A:B,2,FALSE)),"",VLOOKUP(C100,'周期表（不要动）'!A:B,2,FALSE))</f>
        <v/>
      </c>
      <c r="I100" s="146">
        <f ca="1" t="shared" si="1"/>
        <v>0</v>
      </c>
      <c r="J100" s="147" t="e">
        <f ca="1">VLOOKUP(B100,小熊定理判定!A:D,2,FALSE)</f>
        <v>#N/A</v>
      </c>
      <c r="K100" s="147" t="e">
        <f ca="1">VLOOKUP(B100,小熊定理判定!A:D,3,FALSE)</f>
        <v>#N/A</v>
      </c>
      <c r="L100" s="147" t="e">
        <f ca="1">VLOOKUP(B100,小熊定理判定!A:D,4,FALSE)</f>
        <v>#N/A</v>
      </c>
      <c r="M100" s="148" t="e">
        <f ca="1">IF(ISNUMBER(OFFSET(指定日期分位点!$A$1,MATCH($B100,指定日期分位点!$C$2:$C$5000,0),MATCH(M$4,指定日期分位点!$B$1:$M$1,0))),OFFSET(指定日期分位点!$A$1,MATCH($B100,指定日期分位点!$C$2:$C$4000,0),MATCH(M$4,指定日期分位点!$B$1:$M$1,0)),"")/100</f>
        <v>#VALUE!</v>
      </c>
      <c r="N100" s="148" t="str">
        <f ca="1">IF(ISNUMBER(OFFSET(指定日期分位点!$A$1,MATCH($B100,指定日期分位点!$C$2:$C$5000,0),MATCH(N$4,指定日期分位点!$B$1:$M$1,0))),OFFSET(指定日期分位点!$A$1,MATCH($B100,指定日期分位点!$C$2:$C$4000,0),MATCH(N$4,指定日期分位点!$B$1:$M$1,0)),"")</f>
        <v/>
      </c>
      <c r="O100" s="25"/>
    </row>
    <row r="101" hidden="1" spans="1:15">
      <c r="A101" s="137"/>
      <c r="B101" s="137" t="str">
        <f ca="1">IF(ISTEXT(OFFSET(#REF!,MATCH($A101,#REF!,0),MATCH(B$4,#REF!,0))),OFFSET(#REF!,MATCH($A101,#REF!,0),MATCH(B$4,#REF!,0)),"")</f>
        <v/>
      </c>
      <c r="C101" s="137" t="str">
        <f ca="1">IF(ISTEXT(OFFSET(#REF!,MATCH($A101,#REF!,0),MATCH(C$4,#REF!,0))),OFFSET(#REF!,MATCH($A101,#REF!,0),MATCH(C$4,#REF!,0)),"")</f>
        <v/>
      </c>
      <c r="D101" s="137" t="str">
        <f ca="1">IF(ISNUMBER(OFFSET(#REF!,MATCH($A101,#REF!,0),MATCH(D$4,#REF!,0))),OFFSET(#REF!,MATCH($A101,#REF!,0),MATCH(D$4,#REF!,0)),"")</f>
        <v/>
      </c>
      <c r="E101" s="137" t="str">
        <f ca="1">IF(ISNUMBER(OFFSET(#REF!,MATCH($A101,#REF!,0),MATCH(E$4,#REF!,0))),OFFSET(#REF!,MATCH($A101,#REF!,0),MATCH(E$4,#REF!,0)),"")</f>
        <v/>
      </c>
      <c r="F101" s="137" t="str">
        <f ca="1">IF(ISNUMBER(OFFSET(#REF!,MATCH($A101,#REF!,0),MATCH(F$4,#REF!,0))),OFFSET(#REF!,MATCH($A101,#REF!,0),MATCH(F$4,#REF!,0)),"")</f>
        <v/>
      </c>
      <c r="G101" s="137" t="str">
        <f ca="1">IF(ISNUMBER(OFFSET(#REF!,MATCH($A101,#REF!,0),MATCH(G$4,#REF!,0))),OFFSET(#REF!,MATCH($A101,#REF!,0),MATCH(G$4,#REF!,0)),"")</f>
        <v/>
      </c>
      <c r="H101" s="132" t="str">
        <f ca="1">IF(ISERROR(VLOOKUP(C101,'周期表（不要动）'!A:B,2,FALSE)),"",VLOOKUP(C101,'周期表（不要动）'!A:B,2,FALSE))</f>
        <v/>
      </c>
      <c r="I101" s="155"/>
      <c r="J101" s="147" t="e">
        <f ca="1">VLOOKUP(B101,小熊定理判定!A:D,2,FALSE)</f>
        <v>#N/A</v>
      </c>
      <c r="K101" s="147" t="e">
        <f ca="1">VLOOKUP(B101,小熊定理判定!A:D,3,FALSE)</f>
        <v>#N/A</v>
      </c>
      <c r="L101" s="147" t="e">
        <f ca="1">VLOOKUP(B101,小熊定理判定!A:D,4,FALSE)</f>
        <v>#N/A</v>
      </c>
      <c r="M101" s="148" t="e">
        <f ca="1">IF(ISNUMBER(OFFSET(指定日期分位点!$A$1,MATCH($B101,指定日期分位点!$C$2:$C$5000,0),MATCH(M$4,指定日期分位点!$B$1:$M$1,0))),OFFSET(指定日期分位点!$A$1,MATCH($B101,指定日期分位点!$C$2:$C$4000,0),MATCH(M$4,指定日期分位点!$B$1:$M$1,0)),"")/100</f>
        <v>#VALUE!</v>
      </c>
      <c r="N101" s="156" t="str">
        <f ca="1">IF(ISNUMBER(OFFSET(指定日期分位点!$A$1,MATCH($B101,指定日期分位点!$C$2:$C$5000,0),MATCH(N$4,指定日期分位点!$B$1:$M$1,0))),OFFSET(指定日期分位点!$A$1,MATCH($B101,指定日期分位点!$C$2:$C$4000,0),MATCH(N$4,指定日期分位点!$B$1:$M$1,0)),"")</f>
        <v/>
      </c>
      <c r="O101" s="25"/>
    </row>
    <row r="102" hidden="1" spans="1:15">
      <c r="A102" s="137"/>
      <c r="B102" s="137" t="str">
        <f ca="1">IF(ISTEXT(OFFSET(#REF!,MATCH($A102,#REF!,0),MATCH(B$4,#REF!,0))),OFFSET(#REF!,MATCH($A102,#REF!,0),MATCH(B$4,#REF!,0)),"")</f>
        <v/>
      </c>
      <c r="C102" s="137" t="str">
        <f ca="1">IF(ISTEXT(OFFSET(#REF!,MATCH($A102,#REF!,0),MATCH(C$4,#REF!,0))),OFFSET(#REF!,MATCH($A102,#REF!,0),MATCH(C$4,#REF!,0)),"")</f>
        <v/>
      </c>
      <c r="D102" s="137" t="str">
        <f ca="1">IF(ISNUMBER(OFFSET(#REF!,MATCH($A102,#REF!,0),MATCH(D$4,#REF!,0))),OFFSET(#REF!,MATCH($A102,#REF!,0),MATCH(D$4,#REF!,0)),"")</f>
        <v/>
      </c>
      <c r="E102" s="137" t="str">
        <f ca="1">IF(ISNUMBER(OFFSET(#REF!,MATCH($A102,#REF!,0),MATCH(E$4,#REF!,0))),OFFSET(#REF!,MATCH($A102,#REF!,0),MATCH(E$4,#REF!,0)),"")</f>
        <v/>
      </c>
      <c r="F102" s="137" t="str">
        <f ca="1">IF(ISNUMBER(OFFSET(#REF!,MATCH($A102,#REF!,0),MATCH(F$4,#REF!,0))),OFFSET(#REF!,MATCH($A102,#REF!,0),MATCH(F$4,#REF!,0)),"")</f>
        <v/>
      </c>
      <c r="G102" s="137" t="str">
        <f ca="1">IF(ISNUMBER(OFFSET(#REF!,MATCH($A102,#REF!,0),MATCH(G$4,#REF!,0))),OFFSET(#REF!,MATCH($A102,#REF!,0),MATCH(G$4,#REF!,0)),"")</f>
        <v/>
      </c>
      <c r="H102" s="132" t="str">
        <f ca="1">IF(ISERROR(VLOOKUP(C102,'周期表（不要动）'!A:B,2,FALSE)),"",VLOOKUP(C102,'周期表（不要动）'!A:B,2,FALSE))</f>
        <v/>
      </c>
      <c r="I102" s="155"/>
      <c r="J102" s="147" t="e">
        <f ca="1">VLOOKUP(B102,小熊定理判定!A:D,2,FALSE)</f>
        <v>#N/A</v>
      </c>
      <c r="K102" s="147" t="e">
        <f ca="1">VLOOKUP(B102,小熊定理判定!A:D,3,FALSE)</f>
        <v>#N/A</v>
      </c>
      <c r="L102" s="147" t="e">
        <f ca="1">VLOOKUP(B102,小熊定理判定!A:D,4,FALSE)</f>
        <v>#N/A</v>
      </c>
      <c r="M102" s="148" t="e">
        <f ca="1">IF(ISNUMBER(OFFSET(指定日期分位点!$A$1,MATCH($B102,指定日期分位点!$C$2:$C$5000,0),MATCH(M$4,指定日期分位点!$B$1:$M$1,0))),OFFSET(指定日期分位点!$A$1,MATCH($B102,指定日期分位点!$C$2:$C$4000,0),MATCH(M$4,指定日期分位点!$B$1:$M$1,0)),"")/100</f>
        <v>#VALUE!</v>
      </c>
      <c r="N102" s="156" t="str">
        <f ca="1">IF(ISNUMBER(OFFSET(指定日期分位点!$A$1,MATCH($B102,指定日期分位点!$C$2:$C$5000,0),MATCH(N$4,指定日期分位点!$B$1:$M$1,0))),OFFSET(指定日期分位点!$A$1,MATCH($B102,指定日期分位点!$C$2:$C$4000,0),MATCH(N$4,指定日期分位点!$B$1:$M$1,0)),"")</f>
        <v/>
      </c>
      <c r="O102" s="25"/>
    </row>
    <row r="103" hidden="1" spans="1:15">
      <c r="A103" s="137"/>
      <c r="B103" s="137" t="str">
        <f ca="1">IF(ISTEXT(OFFSET(#REF!,MATCH($A103,#REF!,0),MATCH(B$4,#REF!,0))),OFFSET(#REF!,MATCH($A103,#REF!,0),MATCH(B$4,#REF!,0)),"")</f>
        <v/>
      </c>
      <c r="C103" s="137" t="str">
        <f ca="1">IF(ISTEXT(OFFSET(#REF!,MATCH($A103,#REF!,0),MATCH(C$4,#REF!,0))),OFFSET(#REF!,MATCH($A103,#REF!,0),MATCH(C$4,#REF!,0)),"")</f>
        <v/>
      </c>
      <c r="D103" s="137" t="str">
        <f ca="1">IF(ISNUMBER(OFFSET(#REF!,MATCH($A103,#REF!,0),MATCH(D$4,#REF!,0))),OFFSET(#REF!,MATCH($A103,#REF!,0),MATCH(D$4,#REF!,0)),"")</f>
        <v/>
      </c>
      <c r="E103" s="137" t="str">
        <f ca="1">IF(ISNUMBER(OFFSET(#REF!,MATCH($A103,#REF!,0),MATCH(E$4,#REF!,0))),OFFSET(#REF!,MATCH($A103,#REF!,0),MATCH(E$4,#REF!,0)),"")</f>
        <v/>
      </c>
      <c r="F103" s="137" t="str">
        <f ca="1">IF(ISNUMBER(OFFSET(#REF!,MATCH($A103,#REF!,0),MATCH(F$4,#REF!,0))),OFFSET(#REF!,MATCH($A103,#REF!,0),MATCH(F$4,#REF!,0)),"")</f>
        <v/>
      </c>
      <c r="G103" s="137" t="str">
        <f ca="1">IF(ISNUMBER(OFFSET(#REF!,MATCH($A103,#REF!,0),MATCH(G$4,#REF!,0))),OFFSET(#REF!,MATCH($A103,#REF!,0),MATCH(G$4,#REF!,0)),"")</f>
        <v/>
      </c>
      <c r="H103" s="132" t="str">
        <f ca="1">IF(ISERROR(VLOOKUP(C103,'周期表（不要动）'!A:B,2,FALSE)),"",VLOOKUP(C103,'周期表（不要动）'!A:B,2,FALSE))</f>
        <v/>
      </c>
      <c r="I103" s="155"/>
      <c r="J103" s="147" t="e">
        <f ca="1">VLOOKUP(B103,小熊定理判定!A:D,2,FALSE)</f>
        <v>#N/A</v>
      </c>
      <c r="K103" s="147" t="e">
        <f ca="1">VLOOKUP(B103,小熊定理判定!A:D,3,FALSE)</f>
        <v>#N/A</v>
      </c>
      <c r="L103" s="147" t="e">
        <f ca="1">VLOOKUP(B103,小熊定理判定!A:D,4,FALSE)</f>
        <v>#N/A</v>
      </c>
      <c r="M103" s="148" t="e">
        <f ca="1">IF(ISNUMBER(OFFSET(指定日期分位点!$A$1,MATCH($B103,指定日期分位点!$C$2:$C$5000,0),MATCH(M$4,指定日期分位点!$B$1:$M$1,0))),OFFSET(指定日期分位点!$A$1,MATCH($B103,指定日期分位点!$C$2:$C$4000,0),MATCH(M$4,指定日期分位点!$B$1:$M$1,0)),"")/100</f>
        <v>#VALUE!</v>
      </c>
      <c r="N103" s="156" t="str">
        <f ca="1">IF(ISNUMBER(OFFSET(指定日期分位点!$A$1,MATCH($B103,指定日期分位点!$C$2:$C$5000,0),MATCH(N$4,指定日期分位点!$B$1:$M$1,0))),OFFSET(指定日期分位点!$A$1,MATCH($B103,指定日期分位点!$C$2:$C$4000,0),MATCH(N$4,指定日期分位点!$B$1:$M$1,0)),"")</f>
        <v/>
      </c>
      <c r="O103" s="25"/>
    </row>
    <row r="104" hidden="1" spans="1:15">
      <c r="A104" s="137"/>
      <c r="B104" s="137" t="str">
        <f ca="1">IF(ISTEXT(OFFSET(#REF!,MATCH($A104,#REF!,0),MATCH(B$4,#REF!,0))),OFFSET(#REF!,MATCH($A104,#REF!,0),MATCH(B$4,#REF!,0)),"")</f>
        <v/>
      </c>
      <c r="C104" s="137" t="str">
        <f ca="1">IF(ISTEXT(OFFSET(#REF!,MATCH($A104,#REF!,0),MATCH(C$4,#REF!,0))),OFFSET(#REF!,MATCH($A104,#REF!,0),MATCH(C$4,#REF!,0)),"")</f>
        <v/>
      </c>
      <c r="D104" s="137" t="str">
        <f ca="1">IF(ISNUMBER(OFFSET(#REF!,MATCH($A104,#REF!,0),MATCH(D$4,#REF!,0))),OFFSET(#REF!,MATCH($A104,#REF!,0),MATCH(D$4,#REF!,0)),"")</f>
        <v/>
      </c>
      <c r="E104" s="137" t="str">
        <f ca="1">IF(ISNUMBER(OFFSET(#REF!,MATCH($A104,#REF!,0),MATCH(E$4,#REF!,0))),OFFSET(#REF!,MATCH($A104,#REF!,0),MATCH(E$4,#REF!,0)),"")</f>
        <v/>
      </c>
      <c r="F104" s="137" t="str">
        <f ca="1">IF(ISNUMBER(OFFSET(#REF!,MATCH($A104,#REF!,0),MATCH(F$4,#REF!,0))),OFFSET(#REF!,MATCH($A104,#REF!,0),MATCH(F$4,#REF!,0)),"")</f>
        <v/>
      </c>
      <c r="G104" s="137" t="str">
        <f ca="1">IF(ISNUMBER(OFFSET(#REF!,MATCH($A104,#REF!,0),MATCH(G$4,#REF!,0))),OFFSET(#REF!,MATCH($A104,#REF!,0),MATCH(G$4,#REF!,0)),"")</f>
        <v/>
      </c>
      <c r="H104" s="132" t="str">
        <f ca="1">IF(ISERROR(VLOOKUP(C104,'周期表（不要动）'!A:B,2,FALSE)),"",VLOOKUP(C104,'周期表（不要动）'!A:B,2,FALSE))</f>
        <v/>
      </c>
      <c r="I104" s="155"/>
      <c r="J104" s="147" t="e">
        <f ca="1">VLOOKUP(B104,小熊定理判定!A:D,2,FALSE)</f>
        <v>#N/A</v>
      </c>
      <c r="K104" s="147" t="e">
        <f ca="1">VLOOKUP(B104,小熊定理判定!A:D,3,FALSE)</f>
        <v>#N/A</v>
      </c>
      <c r="L104" s="147" t="e">
        <f ca="1">VLOOKUP(B104,小熊定理判定!A:D,4,FALSE)</f>
        <v>#N/A</v>
      </c>
      <c r="M104" s="148" t="e">
        <f ca="1">IF(ISNUMBER(OFFSET(指定日期分位点!$A$1,MATCH($B104,指定日期分位点!$C$2:$C$5000,0),MATCH(M$4,指定日期分位点!$B$1:$M$1,0))),OFFSET(指定日期分位点!$A$1,MATCH($B104,指定日期分位点!$C$2:$C$4000,0),MATCH(M$4,指定日期分位点!$B$1:$M$1,0)),"")/100</f>
        <v>#VALUE!</v>
      </c>
      <c r="N104" s="156" t="str">
        <f ca="1">IF(ISNUMBER(OFFSET(指定日期分位点!$A$1,MATCH($B104,指定日期分位点!$C$2:$C$5000,0),MATCH(N$4,指定日期分位点!$B$1:$M$1,0))),OFFSET(指定日期分位点!$A$1,MATCH($B104,指定日期分位点!$C$2:$C$4000,0),MATCH(N$4,指定日期分位点!$B$1:$M$1,0)),"")</f>
        <v/>
      </c>
      <c r="O104" s="25"/>
    </row>
    <row r="105" hidden="1" spans="1:15">
      <c r="A105" s="137"/>
      <c r="B105" s="137" t="str">
        <f ca="1">IF(ISTEXT(OFFSET(#REF!,MATCH($A105,#REF!,0),MATCH(B$4,#REF!,0))),OFFSET(#REF!,MATCH($A105,#REF!,0),MATCH(B$4,#REF!,0)),"")</f>
        <v/>
      </c>
      <c r="C105" s="137" t="str">
        <f ca="1">IF(ISTEXT(OFFSET(#REF!,MATCH($A105,#REF!,0),MATCH(C$4,#REF!,0))),OFFSET(#REF!,MATCH($A105,#REF!,0),MATCH(C$4,#REF!,0)),"")</f>
        <v/>
      </c>
      <c r="D105" s="137" t="str">
        <f ca="1">IF(ISNUMBER(OFFSET(#REF!,MATCH($A105,#REF!,0),MATCH(D$4,#REF!,0))),OFFSET(#REF!,MATCH($A105,#REF!,0),MATCH(D$4,#REF!,0)),"")</f>
        <v/>
      </c>
      <c r="E105" s="137" t="str">
        <f ca="1">IF(ISNUMBER(OFFSET(#REF!,MATCH($A105,#REF!,0),MATCH(E$4,#REF!,0))),OFFSET(#REF!,MATCH($A105,#REF!,0),MATCH(E$4,#REF!,0)),"")</f>
        <v/>
      </c>
      <c r="F105" s="137" t="str">
        <f ca="1">IF(ISNUMBER(OFFSET(#REF!,MATCH($A105,#REF!,0),MATCH(F$4,#REF!,0))),OFFSET(#REF!,MATCH($A105,#REF!,0),MATCH(F$4,#REF!,0)),"")</f>
        <v/>
      </c>
      <c r="G105" s="137" t="str">
        <f ca="1">IF(ISNUMBER(OFFSET(#REF!,MATCH($A105,#REF!,0),MATCH(G$4,#REF!,0))),OFFSET(#REF!,MATCH($A105,#REF!,0),MATCH(G$4,#REF!,0)),"")</f>
        <v/>
      </c>
      <c r="H105" s="132" t="str">
        <f ca="1">IF(ISERROR(VLOOKUP(C105,'周期表（不要动）'!A:B,2,FALSE)),"",VLOOKUP(C105,'周期表（不要动）'!A:B,2,FALSE))</f>
        <v/>
      </c>
      <c r="I105" s="155"/>
      <c r="J105" s="147" t="e">
        <f ca="1">VLOOKUP(B105,小熊定理判定!A:D,2,FALSE)</f>
        <v>#N/A</v>
      </c>
      <c r="K105" s="147" t="e">
        <f ca="1">VLOOKUP(B105,小熊定理判定!A:D,3,FALSE)</f>
        <v>#N/A</v>
      </c>
      <c r="L105" s="147" t="e">
        <f ca="1">VLOOKUP(B105,小熊定理判定!A:D,4,FALSE)</f>
        <v>#N/A</v>
      </c>
      <c r="M105" s="148" t="e">
        <f ca="1">IF(ISNUMBER(OFFSET(指定日期分位点!$A$1,MATCH($B105,指定日期分位点!$C$2:$C$5000,0),MATCH(M$4,指定日期分位点!$B$1:$M$1,0))),OFFSET(指定日期分位点!$A$1,MATCH($B105,指定日期分位点!$C$2:$C$4000,0),MATCH(M$4,指定日期分位点!$B$1:$M$1,0)),"")/100</f>
        <v>#VALUE!</v>
      </c>
      <c r="N105" s="156" t="str">
        <f ca="1">IF(ISNUMBER(OFFSET(指定日期分位点!$A$1,MATCH($B105,指定日期分位点!$C$2:$C$5000,0),MATCH(N$4,指定日期分位点!$B$1:$M$1,0))),OFFSET(指定日期分位点!$A$1,MATCH($B105,指定日期分位点!$C$2:$C$4000,0),MATCH(N$4,指定日期分位点!$B$1:$M$1,0)),"")</f>
        <v/>
      </c>
      <c r="O105" s="25"/>
    </row>
    <row r="106" hidden="1" spans="1:15">
      <c r="A106" s="137"/>
      <c r="B106" s="137" t="str">
        <f ca="1">IF(ISTEXT(OFFSET(#REF!,MATCH($A106,#REF!,0),MATCH(B$4,#REF!,0))),OFFSET(#REF!,MATCH($A106,#REF!,0),MATCH(B$4,#REF!,0)),"")</f>
        <v/>
      </c>
      <c r="C106" s="137" t="str">
        <f ca="1">IF(ISTEXT(OFFSET(#REF!,MATCH($A106,#REF!,0),MATCH(C$4,#REF!,0))),OFFSET(#REF!,MATCH($A106,#REF!,0),MATCH(C$4,#REF!,0)),"")</f>
        <v/>
      </c>
      <c r="D106" s="137" t="str">
        <f ca="1">IF(ISNUMBER(OFFSET(#REF!,MATCH($A106,#REF!,0),MATCH(D$4,#REF!,0))),OFFSET(#REF!,MATCH($A106,#REF!,0),MATCH(D$4,#REF!,0)),"")</f>
        <v/>
      </c>
      <c r="E106" s="137" t="str">
        <f ca="1">IF(ISNUMBER(OFFSET(#REF!,MATCH($A106,#REF!,0),MATCH(E$4,#REF!,0))),OFFSET(#REF!,MATCH($A106,#REF!,0),MATCH(E$4,#REF!,0)),"")</f>
        <v/>
      </c>
      <c r="F106" s="137" t="str">
        <f ca="1">IF(ISNUMBER(OFFSET(#REF!,MATCH($A106,#REF!,0),MATCH(F$4,#REF!,0))),OFFSET(#REF!,MATCH($A106,#REF!,0),MATCH(F$4,#REF!,0)),"")</f>
        <v/>
      </c>
      <c r="G106" s="137" t="str">
        <f ca="1">IF(ISNUMBER(OFFSET(#REF!,MATCH($A106,#REF!,0),MATCH(G$4,#REF!,0))),OFFSET(#REF!,MATCH($A106,#REF!,0),MATCH(G$4,#REF!,0)),"")</f>
        <v/>
      </c>
      <c r="H106" s="132" t="str">
        <f ca="1">IF(ISERROR(VLOOKUP(C106,'周期表（不要动）'!A:B,2,FALSE)),"",VLOOKUP(C106,'周期表（不要动）'!A:B,2,FALSE))</f>
        <v/>
      </c>
      <c r="I106" s="155"/>
      <c r="J106" s="147" t="e">
        <f ca="1">VLOOKUP(B106,小熊定理判定!A:D,2,FALSE)</f>
        <v>#N/A</v>
      </c>
      <c r="K106" s="147" t="e">
        <f ca="1">VLOOKUP(B106,小熊定理判定!A:D,3,FALSE)</f>
        <v>#N/A</v>
      </c>
      <c r="L106" s="147" t="e">
        <f ca="1">VLOOKUP(B106,小熊定理判定!A:D,4,FALSE)</f>
        <v>#N/A</v>
      </c>
      <c r="M106" s="148" t="e">
        <f ca="1">IF(ISNUMBER(OFFSET(指定日期分位点!$A$1,MATCH($B106,指定日期分位点!$C$2:$C$5000,0),MATCH(M$4,指定日期分位点!$B$1:$M$1,0))),OFFSET(指定日期分位点!$A$1,MATCH($B106,指定日期分位点!$C$2:$C$4000,0),MATCH(M$4,指定日期分位点!$B$1:$M$1,0)),"")/100</f>
        <v>#VALUE!</v>
      </c>
      <c r="N106" s="156" t="str">
        <f ca="1">IF(ISNUMBER(OFFSET(指定日期分位点!$A$1,MATCH($B106,指定日期分位点!$C$2:$C$5000,0),MATCH(N$4,指定日期分位点!$B$1:$M$1,0))),OFFSET(指定日期分位点!$A$1,MATCH($B106,指定日期分位点!$C$2:$C$4000,0),MATCH(N$4,指定日期分位点!$B$1:$M$1,0)),"")</f>
        <v/>
      </c>
      <c r="O106" s="25"/>
    </row>
    <row r="107" hidden="1" spans="1:15">
      <c r="A107" s="137"/>
      <c r="B107" s="137" t="str">
        <f ca="1">IF(ISTEXT(OFFSET(#REF!,MATCH($A107,#REF!,0),MATCH(B$4,#REF!,0))),OFFSET(#REF!,MATCH($A107,#REF!,0),MATCH(B$4,#REF!,0)),"")</f>
        <v/>
      </c>
      <c r="C107" s="137" t="str">
        <f ca="1">IF(ISTEXT(OFFSET(#REF!,MATCH($A107,#REF!,0),MATCH(C$4,#REF!,0))),OFFSET(#REF!,MATCH($A107,#REF!,0),MATCH(C$4,#REF!,0)),"")</f>
        <v/>
      </c>
      <c r="D107" s="137" t="str">
        <f ca="1">IF(ISNUMBER(OFFSET(#REF!,MATCH($A107,#REF!,0),MATCH(D$4,#REF!,0))),OFFSET(#REF!,MATCH($A107,#REF!,0),MATCH(D$4,#REF!,0)),"")</f>
        <v/>
      </c>
      <c r="E107" s="137" t="str">
        <f ca="1">IF(ISNUMBER(OFFSET(#REF!,MATCH($A107,#REF!,0),MATCH(E$4,#REF!,0))),OFFSET(#REF!,MATCH($A107,#REF!,0),MATCH(E$4,#REF!,0)),"")</f>
        <v/>
      </c>
      <c r="F107" s="137" t="str">
        <f ca="1">IF(ISNUMBER(OFFSET(#REF!,MATCH($A107,#REF!,0),MATCH(F$4,#REF!,0))),OFFSET(#REF!,MATCH($A107,#REF!,0),MATCH(F$4,#REF!,0)),"")</f>
        <v/>
      </c>
      <c r="G107" s="137" t="str">
        <f ca="1">IF(ISNUMBER(OFFSET(#REF!,MATCH($A107,#REF!,0),MATCH(G$4,#REF!,0))),OFFSET(#REF!,MATCH($A107,#REF!,0),MATCH(G$4,#REF!,0)),"")</f>
        <v/>
      </c>
      <c r="H107" s="132" t="str">
        <f ca="1">IF(ISERROR(VLOOKUP(C107,'周期表（不要动）'!A:B,2,FALSE)),"",VLOOKUP(C107,'周期表（不要动）'!A:B,2,FALSE))</f>
        <v/>
      </c>
      <c r="I107" s="155"/>
      <c r="J107" s="147" t="e">
        <f ca="1">VLOOKUP(B107,小熊定理判定!A:D,2,FALSE)</f>
        <v>#N/A</v>
      </c>
      <c r="K107" s="147" t="e">
        <f ca="1">VLOOKUP(B107,小熊定理判定!A:D,3,FALSE)</f>
        <v>#N/A</v>
      </c>
      <c r="L107" s="147" t="e">
        <f ca="1">VLOOKUP(B107,小熊定理判定!A:D,4,FALSE)</f>
        <v>#N/A</v>
      </c>
      <c r="M107" s="148" t="e">
        <f ca="1">IF(ISNUMBER(OFFSET(指定日期分位点!$A$1,MATCH($B107,指定日期分位点!$C$2:$C$5000,0),MATCH(M$4,指定日期分位点!$B$1:$M$1,0))),OFFSET(指定日期分位点!$A$1,MATCH($B107,指定日期分位点!$C$2:$C$4000,0),MATCH(M$4,指定日期分位点!$B$1:$M$1,0)),"")/100</f>
        <v>#VALUE!</v>
      </c>
      <c r="N107" s="156" t="str">
        <f ca="1">IF(ISNUMBER(OFFSET(指定日期分位点!$A$1,MATCH($B107,指定日期分位点!$C$2:$C$5000,0),MATCH(N$4,指定日期分位点!$B$1:$M$1,0))),OFFSET(指定日期分位点!$A$1,MATCH($B107,指定日期分位点!$C$2:$C$4000,0),MATCH(N$4,指定日期分位点!$B$1:$M$1,0)),"")</f>
        <v/>
      </c>
      <c r="O107" s="25"/>
    </row>
    <row r="108" hidden="1" spans="1:15">
      <c r="A108" s="137"/>
      <c r="B108" s="137" t="str">
        <f ca="1">IF(ISTEXT(OFFSET(#REF!,MATCH($A108,#REF!,0),MATCH(B$4,#REF!,0))),OFFSET(#REF!,MATCH($A108,#REF!,0),MATCH(B$4,#REF!,0)),"")</f>
        <v/>
      </c>
      <c r="C108" s="137" t="str">
        <f ca="1">IF(ISTEXT(OFFSET(#REF!,MATCH($A108,#REF!,0),MATCH(C$4,#REF!,0))),OFFSET(#REF!,MATCH($A108,#REF!,0),MATCH(C$4,#REF!,0)),"")</f>
        <v/>
      </c>
      <c r="D108" s="137" t="str">
        <f ca="1">IF(ISNUMBER(OFFSET(#REF!,MATCH($A108,#REF!,0),MATCH(D$4,#REF!,0))),OFFSET(#REF!,MATCH($A108,#REF!,0),MATCH(D$4,#REF!,0)),"")</f>
        <v/>
      </c>
      <c r="E108" s="137" t="str">
        <f ca="1">IF(ISNUMBER(OFFSET(#REF!,MATCH($A108,#REF!,0),MATCH(E$4,#REF!,0))),OFFSET(#REF!,MATCH($A108,#REF!,0),MATCH(E$4,#REF!,0)),"")</f>
        <v/>
      </c>
      <c r="F108" s="137" t="str">
        <f ca="1">IF(ISNUMBER(OFFSET(#REF!,MATCH($A108,#REF!,0),MATCH(F$4,#REF!,0))),OFFSET(#REF!,MATCH($A108,#REF!,0),MATCH(F$4,#REF!,0)),"")</f>
        <v/>
      </c>
      <c r="G108" s="137" t="str">
        <f ca="1">IF(ISNUMBER(OFFSET(#REF!,MATCH($A108,#REF!,0),MATCH(G$4,#REF!,0))),OFFSET(#REF!,MATCH($A108,#REF!,0),MATCH(G$4,#REF!,0)),"")</f>
        <v/>
      </c>
      <c r="H108" s="132" t="str">
        <f ca="1">IF(ISERROR(VLOOKUP(C108,'周期表（不要动）'!A:B,2,FALSE)),"",VLOOKUP(C108,'周期表（不要动）'!A:B,2,FALSE))</f>
        <v/>
      </c>
      <c r="I108" s="155"/>
      <c r="J108" s="147" t="e">
        <f ca="1">VLOOKUP(B108,小熊定理判定!A:D,2,FALSE)</f>
        <v>#N/A</v>
      </c>
      <c r="K108" s="147" t="e">
        <f ca="1">VLOOKUP(B108,小熊定理判定!A:D,3,FALSE)</f>
        <v>#N/A</v>
      </c>
      <c r="L108" s="147" t="e">
        <f ca="1">VLOOKUP(B108,小熊定理判定!A:D,4,FALSE)</f>
        <v>#N/A</v>
      </c>
      <c r="M108" s="148" t="e">
        <f ca="1">IF(ISNUMBER(OFFSET(指定日期分位点!$A$1,MATCH($B108,指定日期分位点!$C$2:$C$5000,0),MATCH(M$4,指定日期分位点!$B$1:$M$1,0))),OFFSET(指定日期分位点!$A$1,MATCH($B108,指定日期分位点!$C$2:$C$4000,0),MATCH(M$4,指定日期分位点!$B$1:$M$1,0)),"")/100</f>
        <v>#VALUE!</v>
      </c>
      <c r="N108" s="156" t="str">
        <f ca="1">IF(ISNUMBER(OFFSET(指定日期分位点!$A$1,MATCH($B108,指定日期分位点!$C$2:$C$5000,0),MATCH(N$4,指定日期分位点!$B$1:$M$1,0))),OFFSET(指定日期分位点!$A$1,MATCH($B108,指定日期分位点!$C$2:$C$4000,0),MATCH(N$4,指定日期分位点!$B$1:$M$1,0)),"")</f>
        <v/>
      </c>
      <c r="O108" s="25"/>
    </row>
    <row r="109" hidden="1" spans="1:15">
      <c r="A109" s="137"/>
      <c r="B109" s="137" t="str">
        <f ca="1">IF(ISTEXT(OFFSET(#REF!,MATCH($A109,#REF!,0),MATCH(B$4,#REF!,0))),OFFSET(#REF!,MATCH($A109,#REF!,0),MATCH(B$4,#REF!,0)),"")</f>
        <v/>
      </c>
      <c r="C109" s="137" t="str">
        <f ca="1">IF(ISTEXT(OFFSET(#REF!,MATCH($A109,#REF!,0),MATCH(C$4,#REF!,0))),OFFSET(#REF!,MATCH($A109,#REF!,0),MATCH(C$4,#REF!,0)),"")</f>
        <v/>
      </c>
      <c r="D109" s="137" t="str">
        <f ca="1">IF(ISNUMBER(OFFSET(#REF!,MATCH($A109,#REF!,0),MATCH(D$4,#REF!,0))),OFFSET(#REF!,MATCH($A109,#REF!,0),MATCH(D$4,#REF!,0)),"")</f>
        <v/>
      </c>
      <c r="E109" s="137" t="str">
        <f ca="1">IF(ISNUMBER(OFFSET(#REF!,MATCH($A109,#REF!,0),MATCH(E$4,#REF!,0))),OFFSET(#REF!,MATCH($A109,#REF!,0),MATCH(E$4,#REF!,0)),"")</f>
        <v/>
      </c>
      <c r="F109" s="137" t="str">
        <f ca="1">IF(ISNUMBER(OFFSET(#REF!,MATCH($A109,#REF!,0),MATCH(F$4,#REF!,0))),OFFSET(#REF!,MATCH($A109,#REF!,0),MATCH(F$4,#REF!,0)),"")</f>
        <v/>
      </c>
      <c r="G109" s="137" t="str">
        <f ca="1">IF(ISNUMBER(OFFSET(#REF!,MATCH($A109,#REF!,0),MATCH(G$4,#REF!,0))),OFFSET(#REF!,MATCH($A109,#REF!,0),MATCH(G$4,#REF!,0)),"")</f>
        <v/>
      </c>
      <c r="H109" s="132" t="str">
        <f ca="1">IF(ISERROR(VLOOKUP(C109,'周期表（不要动）'!A:B,2,FALSE)),"",VLOOKUP(C109,'周期表（不要动）'!A:B,2,FALSE))</f>
        <v/>
      </c>
      <c r="I109" s="155"/>
      <c r="J109" s="147" t="e">
        <f ca="1">VLOOKUP(B109,小熊定理判定!A:D,2,FALSE)</f>
        <v>#N/A</v>
      </c>
      <c r="K109" s="147" t="e">
        <f ca="1">VLOOKUP(B109,小熊定理判定!A:D,3,FALSE)</f>
        <v>#N/A</v>
      </c>
      <c r="L109" s="147" t="e">
        <f ca="1">VLOOKUP(B109,小熊定理判定!A:D,4,FALSE)</f>
        <v>#N/A</v>
      </c>
      <c r="M109" s="148" t="e">
        <f ca="1">IF(ISNUMBER(OFFSET(指定日期分位点!$A$1,MATCH($B109,指定日期分位点!$C$2:$C$5000,0),MATCH(M$4,指定日期分位点!$B$1:$M$1,0))),OFFSET(指定日期分位点!$A$1,MATCH($B109,指定日期分位点!$C$2:$C$4000,0),MATCH(M$4,指定日期分位点!$B$1:$M$1,0)),"")/100</f>
        <v>#VALUE!</v>
      </c>
      <c r="N109" s="156" t="str">
        <f ca="1">IF(ISNUMBER(OFFSET(指定日期分位点!$A$1,MATCH($B109,指定日期分位点!$C$2:$C$5000,0),MATCH(N$4,指定日期分位点!$B$1:$M$1,0))),OFFSET(指定日期分位点!$A$1,MATCH($B109,指定日期分位点!$C$2:$C$4000,0),MATCH(N$4,指定日期分位点!$B$1:$M$1,0)),"")</f>
        <v/>
      </c>
      <c r="O109" s="25"/>
    </row>
    <row r="110" hidden="1" spans="1:15">
      <c r="A110" s="137"/>
      <c r="B110" s="137" t="str">
        <f ca="1">IF(ISTEXT(OFFSET(#REF!,MATCH($A110,#REF!,0),MATCH(B$4,#REF!,0))),OFFSET(#REF!,MATCH($A110,#REF!,0),MATCH(B$4,#REF!,0)),"")</f>
        <v/>
      </c>
      <c r="C110" s="137" t="str">
        <f ca="1">IF(ISTEXT(OFFSET(#REF!,MATCH($A110,#REF!,0),MATCH(C$4,#REF!,0))),OFFSET(#REF!,MATCH($A110,#REF!,0),MATCH(C$4,#REF!,0)),"")</f>
        <v/>
      </c>
      <c r="D110" s="137" t="str">
        <f ca="1">IF(ISNUMBER(OFFSET(#REF!,MATCH($A110,#REF!,0),MATCH(D$4,#REF!,0))),OFFSET(#REF!,MATCH($A110,#REF!,0),MATCH(D$4,#REF!,0)),"")</f>
        <v/>
      </c>
      <c r="E110" s="137" t="str">
        <f ca="1">IF(ISNUMBER(OFFSET(#REF!,MATCH($A110,#REF!,0),MATCH(E$4,#REF!,0))),OFFSET(#REF!,MATCH($A110,#REF!,0),MATCH(E$4,#REF!,0)),"")</f>
        <v/>
      </c>
      <c r="F110" s="137" t="str">
        <f ca="1">IF(ISNUMBER(OFFSET(#REF!,MATCH($A110,#REF!,0),MATCH(F$4,#REF!,0))),OFFSET(#REF!,MATCH($A110,#REF!,0),MATCH(F$4,#REF!,0)),"")</f>
        <v/>
      </c>
      <c r="G110" s="137" t="str">
        <f ca="1">IF(ISNUMBER(OFFSET(#REF!,MATCH($A110,#REF!,0),MATCH(G$4,#REF!,0))),OFFSET(#REF!,MATCH($A110,#REF!,0),MATCH(G$4,#REF!,0)),"")</f>
        <v/>
      </c>
      <c r="H110" s="132" t="str">
        <f ca="1">IF(ISERROR(VLOOKUP(C110,'周期表（不要动）'!A:B,2,FALSE)),"",VLOOKUP(C110,'周期表（不要动）'!A:B,2,FALSE))</f>
        <v/>
      </c>
      <c r="I110" s="155"/>
      <c r="J110" s="147" t="e">
        <f ca="1">VLOOKUP(B110,小熊定理判定!A:D,2,FALSE)</f>
        <v>#N/A</v>
      </c>
      <c r="K110" s="147" t="e">
        <f ca="1">VLOOKUP(B110,小熊定理判定!A:D,3,FALSE)</f>
        <v>#N/A</v>
      </c>
      <c r="L110" s="147" t="e">
        <f ca="1">VLOOKUP(B110,小熊定理判定!A:D,4,FALSE)</f>
        <v>#N/A</v>
      </c>
      <c r="M110" s="148" t="e">
        <f ca="1">IF(ISNUMBER(OFFSET(指定日期分位点!$A$1,MATCH($B110,指定日期分位点!$C$2:$C$5000,0),MATCH(M$4,指定日期分位点!$B$1:$M$1,0))),OFFSET(指定日期分位点!$A$1,MATCH($B110,指定日期分位点!$C$2:$C$4000,0),MATCH(M$4,指定日期分位点!$B$1:$M$1,0)),"")/100</f>
        <v>#VALUE!</v>
      </c>
      <c r="N110" s="156" t="str">
        <f ca="1">IF(ISNUMBER(OFFSET(指定日期分位点!$A$1,MATCH($B110,指定日期分位点!$C$2:$C$5000,0),MATCH(N$4,指定日期分位点!$B$1:$M$1,0))),OFFSET(指定日期分位点!$A$1,MATCH($B110,指定日期分位点!$C$2:$C$4000,0),MATCH(N$4,指定日期分位点!$B$1:$M$1,0)),"")</f>
        <v/>
      </c>
      <c r="O110" s="25"/>
    </row>
    <row r="111" hidden="1" spans="1:15">
      <c r="A111" s="137"/>
      <c r="B111" s="137" t="str">
        <f ca="1">IF(ISTEXT(OFFSET(#REF!,MATCH($A111,#REF!,0),MATCH(B$4,#REF!,0))),OFFSET(#REF!,MATCH($A111,#REF!,0),MATCH(B$4,#REF!,0)),"")</f>
        <v/>
      </c>
      <c r="C111" s="137" t="str">
        <f ca="1">IF(ISTEXT(OFFSET(#REF!,MATCH($A111,#REF!,0),MATCH(C$4,#REF!,0))),OFFSET(#REF!,MATCH($A111,#REF!,0),MATCH(C$4,#REF!,0)),"")</f>
        <v/>
      </c>
      <c r="D111" s="137" t="str">
        <f ca="1">IF(ISNUMBER(OFFSET(#REF!,MATCH($A111,#REF!,0),MATCH(D$4,#REF!,0))),OFFSET(#REF!,MATCH($A111,#REF!,0),MATCH(D$4,#REF!,0)),"")</f>
        <v/>
      </c>
      <c r="E111" s="137" t="str">
        <f ca="1">IF(ISNUMBER(OFFSET(#REF!,MATCH($A111,#REF!,0),MATCH(E$4,#REF!,0))),OFFSET(#REF!,MATCH($A111,#REF!,0),MATCH(E$4,#REF!,0)),"")</f>
        <v/>
      </c>
      <c r="F111" s="137" t="str">
        <f ca="1">IF(ISNUMBER(OFFSET(#REF!,MATCH($A111,#REF!,0),MATCH(F$4,#REF!,0))),OFFSET(#REF!,MATCH($A111,#REF!,0),MATCH(F$4,#REF!,0)),"")</f>
        <v/>
      </c>
      <c r="G111" s="137" t="str">
        <f ca="1">IF(ISNUMBER(OFFSET(#REF!,MATCH($A111,#REF!,0),MATCH(G$4,#REF!,0))),OFFSET(#REF!,MATCH($A111,#REF!,0),MATCH(G$4,#REF!,0)),"")</f>
        <v/>
      </c>
      <c r="H111" s="132" t="str">
        <f ca="1">IF(ISERROR(VLOOKUP(C111,'周期表（不要动）'!A:B,2,FALSE)),"",VLOOKUP(C111,'周期表（不要动）'!A:B,2,FALSE))</f>
        <v/>
      </c>
      <c r="I111" s="155"/>
      <c r="J111" s="147" t="e">
        <f ca="1">VLOOKUP(B111,小熊定理判定!A:D,2,FALSE)</f>
        <v>#N/A</v>
      </c>
      <c r="K111" s="147" t="e">
        <f ca="1">VLOOKUP(B111,小熊定理判定!A:D,3,FALSE)</f>
        <v>#N/A</v>
      </c>
      <c r="L111" s="147" t="e">
        <f ca="1">VLOOKUP(B111,小熊定理判定!A:D,4,FALSE)</f>
        <v>#N/A</v>
      </c>
      <c r="M111" s="148" t="e">
        <f ca="1">IF(ISNUMBER(OFFSET(指定日期分位点!$A$1,MATCH($B111,指定日期分位点!$C$2:$C$5000,0),MATCH(M$4,指定日期分位点!$B$1:$M$1,0))),OFFSET(指定日期分位点!$A$1,MATCH($B111,指定日期分位点!$C$2:$C$4000,0),MATCH(M$4,指定日期分位点!$B$1:$M$1,0)),"")/100</f>
        <v>#VALUE!</v>
      </c>
      <c r="N111" s="156" t="str">
        <f ca="1">IF(ISNUMBER(OFFSET(指定日期分位点!$A$1,MATCH($B111,指定日期分位点!$C$2:$C$5000,0),MATCH(N$4,指定日期分位点!$B$1:$M$1,0))),OFFSET(指定日期分位点!$A$1,MATCH($B111,指定日期分位点!$C$2:$C$4000,0),MATCH(N$4,指定日期分位点!$B$1:$M$1,0)),"")</f>
        <v/>
      </c>
      <c r="O111" s="25"/>
    </row>
    <row r="112" hidden="1" spans="1:15">
      <c r="A112" s="137"/>
      <c r="B112" s="137" t="str">
        <f ca="1">IF(ISTEXT(OFFSET(#REF!,MATCH($A112,#REF!,0),MATCH(B$4,#REF!,0))),OFFSET(#REF!,MATCH($A112,#REF!,0),MATCH(B$4,#REF!,0)),"")</f>
        <v/>
      </c>
      <c r="C112" s="137" t="str">
        <f ca="1">IF(ISTEXT(OFFSET(#REF!,MATCH($A112,#REF!,0),MATCH(C$4,#REF!,0))),OFFSET(#REF!,MATCH($A112,#REF!,0),MATCH(C$4,#REF!,0)),"")</f>
        <v/>
      </c>
      <c r="D112" s="137" t="str">
        <f ca="1">IF(ISNUMBER(OFFSET(#REF!,MATCH($A112,#REF!,0),MATCH(D$4,#REF!,0))),OFFSET(#REF!,MATCH($A112,#REF!,0),MATCH(D$4,#REF!,0)),"")</f>
        <v/>
      </c>
      <c r="E112" s="137" t="str">
        <f ca="1">IF(ISNUMBER(OFFSET(#REF!,MATCH($A112,#REF!,0),MATCH(E$4,#REF!,0))),OFFSET(#REF!,MATCH($A112,#REF!,0),MATCH(E$4,#REF!,0)),"")</f>
        <v/>
      </c>
      <c r="F112" s="137" t="str">
        <f ca="1">IF(ISNUMBER(OFFSET(#REF!,MATCH($A112,#REF!,0),MATCH(F$4,#REF!,0))),OFFSET(#REF!,MATCH($A112,#REF!,0),MATCH(F$4,#REF!,0)),"")</f>
        <v/>
      </c>
      <c r="G112" s="137" t="str">
        <f ca="1">IF(ISNUMBER(OFFSET(#REF!,MATCH($A112,#REF!,0),MATCH(G$4,#REF!,0))),OFFSET(#REF!,MATCH($A112,#REF!,0),MATCH(G$4,#REF!,0)),"")</f>
        <v/>
      </c>
      <c r="H112" s="132" t="str">
        <f ca="1">IF(ISERROR(VLOOKUP(C112,'周期表（不要动）'!A:B,2,FALSE)),"",VLOOKUP(C112,'周期表（不要动）'!A:B,2,FALSE))</f>
        <v/>
      </c>
      <c r="I112" s="155"/>
      <c r="J112" s="147" t="e">
        <f ca="1">VLOOKUP(B112,小熊定理判定!A:D,2,FALSE)</f>
        <v>#N/A</v>
      </c>
      <c r="K112" s="147" t="e">
        <f ca="1">VLOOKUP(B112,小熊定理判定!A:D,3,FALSE)</f>
        <v>#N/A</v>
      </c>
      <c r="L112" s="147" t="e">
        <f ca="1">VLOOKUP(B112,小熊定理判定!A:D,4,FALSE)</f>
        <v>#N/A</v>
      </c>
      <c r="M112" s="148" t="e">
        <f ca="1">IF(ISNUMBER(OFFSET(指定日期分位点!$A$1,MATCH($B112,指定日期分位点!$C$2:$C$5000,0),MATCH(M$4,指定日期分位点!$B$1:$M$1,0))),OFFSET(指定日期分位点!$A$1,MATCH($B112,指定日期分位点!$C$2:$C$4000,0),MATCH(M$4,指定日期分位点!$B$1:$M$1,0)),"")/100</f>
        <v>#VALUE!</v>
      </c>
      <c r="N112" s="156" t="str">
        <f ca="1">IF(ISNUMBER(OFFSET(指定日期分位点!$A$1,MATCH($B112,指定日期分位点!$C$2:$C$5000,0),MATCH(N$4,指定日期分位点!$B$1:$M$1,0))),OFFSET(指定日期分位点!$A$1,MATCH($B112,指定日期分位点!$C$2:$C$4000,0),MATCH(N$4,指定日期分位点!$B$1:$M$1,0)),"")</f>
        <v/>
      </c>
      <c r="O112" s="25"/>
    </row>
    <row r="113" hidden="1" spans="1:15">
      <c r="A113" s="137"/>
      <c r="B113" s="137" t="str">
        <f ca="1">IF(ISTEXT(OFFSET(#REF!,MATCH($A113,#REF!,0),MATCH(B$4,#REF!,0))),OFFSET(#REF!,MATCH($A113,#REF!,0),MATCH(B$4,#REF!,0)),"")</f>
        <v/>
      </c>
      <c r="C113" s="137" t="str">
        <f ca="1">IF(ISTEXT(OFFSET(#REF!,MATCH($A113,#REF!,0),MATCH(C$4,#REF!,0))),OFFSET(#REF!,MATCH($A113,#REF!,0),MATCH(C$4,#REF!,0)),"")</f>
        <v/>
      </c>
      <c r="D113" s="137" t="str">
        <f ca="1">IF(ISNUMBER(OFFSET(#REF!,MATCH($A113,#REF!,0),MATCH(D$4,#REF!,0))),OFFSET(#REF!,MATCH($A113,#REF!,0),MATCH(D$4,#REF!,0)),"")</f>
        <v/>
      </c>
      <c r="E113" s="137" t="str">
        <f ca="1">IF(ISNUMBER(OFFSET(#REF!,MATCH($A113,#REF!,0),MATCH(E$4,#REF!,0))),OFFSET(#REF!,MATCH($A113,#REF!,0),MATCH(E$4,#REF!,0)),"")</f>
        <v/>
      </c>
      <c r="F113" s="137" t="str">
        <f ca="1">IF(ISNUMBER(OFFSET(#REF!,MATCH($A113,#REF!,0),MATCH(F$4,#REF!,0))),OFFSET(#REF!,MATCH($A113,#REF!,0),MATCH(F$4,#REF!,0)),"")</f>
        <v/>
      </c>
      <c r="G113" s="137" t="str">
        <f ca="1">IF(ISNUMBER(OFFSET(#REF!,MATCH($A113,#REF!,0),MATCH(G$4,#REF!,0))),OFFSET(#REF!,MATCH($A113,#REF!,0),MATCH(G$4,#REF!,0)),"")</f>
        <v/>
      </c>
      <c r="H113" s="132" t="str">
        <f ca="1">IF(ISERROR(VLOOKUP(C113,'周期表（不要动）'!A:B,2,FALSE)),"",VLOOKUP(C113,'周期表（不要动）'!A:B,2,FALSE))</f>
        <v/>
      </c>
      <c r="I113" s="155"/>
      <c r="J113" s="147" t="e">
        <f ca="1">VLOOKUP(B113,小熊定理判定!A:D,2,FALSE)</f>
        <v>#N/A</v>
      </c>
      <c r="K113" s="147" t="e">
        <f ca="1">VLOOKUP(B113,小熊定理判定!A:D,3,FALSE)</f>
        <v>#N/A</v>
      </c>
      <c r="L113" s="147" t="e">
        <f ca="1">VLOOKUP(B113,小熊定理判定!A:D,4,FALSE)</f>
        <v>#N/A</v>
      </c>
      <c r="M113" s="148" t="e">
        <f ca="1">IF(ISNUMBER(OFFSET(指定日期分位点!$A$1,MATCH($B113,指定日期分位点!$C$2:$C$5000,0),MATCH(M$4,指定日期分位点!$B$1:$M$1,0))),OFFSET(指定日期分位点!$A$1,MATCH($B113,指定日期分位点!$C$2:$C$4000,0),MATCH(M$4,指定日期分位点!$B$1:$M$1,0)),"")/100</f>
        <v>#VALUE!</v>
      </c>
      <c r="N113" s="156" t="str">
        <f ca="1">IF(ISNUMBER(OFFSET(指定日期分位点!$A$1,MATCH($B113,指定日期分位点!$C$2:$C$5000,0),MATCH(N$4,指定日期分位点!$B$1:$M$1,0))),OFFSET(指定日期分位点!$A$1,MATCH($B113,指定日期分位点!$C$2:$C$4000,0),MATCH(N$4,指定日期分位点!$B$1:$M$1,0)),"")</f>
        <v/>
      </c>
      <c r="O113" s="25"/>
    </row>
    <row r="114" hidden="1" spans="1:15">
      <c r="A114" s="137"/>
      <c r="B114" s="137" t="str">
        <f ca="1">IF(ISTEXT(OFFSET(#REF!,MATCH($A114,#REF!,0),MATCH(B$4,#REF!,0))),OFFSET(#REF!,MATCH($A114,#REF!,0),MATCH(B$4,#REF!,0)),"")</f>
        <v/>
      </c>
      <c r="C114" s="137" t="str">
        <f ca="1">IF(ISTEXT(OFFSET(#REF!,MATCH($A114,#REF!,0),MATCH(C$4,#REF!,0))),OFFSET(#REF!,MATCH($A114,#REF!,0),MATCH(C$4,#REF!,0)),"")</f>
        <v/>
      </c>
      <c r="D114" s="137" t="str">
        <f ca="1">IF(ISNUMBER(OFFSET(#REF!,MATCH($A114,#REF!,0),MATCH(D$4,#REF!,0))),OFFSET(#REF!,MATCH($A114,#REF!,0),MATCH(D$4,#REF!,0)),"")</f>
        <v/>
      </c>
      <c r="E114" s="137" t="str">
        <f ca="1">IF(ISNUMBER(OFFSET(#REF!,MATCH($A114,#REF!,0),MATCH(E$4,#REF!,0))),OFFSET(#REF!,MATCH($A114,#REF!,0),MATCH(E$4,#REF!,0)),"")</f>
        <v/>
      </c>
      <c r="F114" s="137" t="str">
        <f ca="1">IF(ISNUMBER(OFFSET(#REF!,MATCH($A114,#REF!,0),MATCH(F$4,#REF!,0))),OFFSET(#REF!,MATCH($A114,#REF!,0),MATCH(F$4,#REF!,0)),"")</f>
        <v/>
      </c>
      <c r="G114" s="137" t="str">
        <f ca="1">IF(ISNUMBER(OFFSET(#REF!,MATCH($A114,#REF!,0),MATCH(G$4,#REF!,0))),OFFSET(#REF!,MATCH($A114,#REF!,0),MATCH(G$4,#REF!,0)),"")</f>
        <v/>
      </c>
      <c r="H114" s="132" t="str">
        <f ca="1">IF(ISERROR(VLOOKUP(C114,'周期表（不要动）'!A:B,2,FALSE)),"",VLOOKUP(C114,'周期表（不要动）'!A:B,2,FALSE))</f>
        <v/>
      </c>
      <c r="I114" s="155"/>
      <c r="J114" s="147" t="e">
        <f ca="1">VLOOKUP(B114,小熊定理判定!A:D,2,FALSE)</f>
        <v>#N/A</v>
      </c>
      <c r="K114" s="147" t="e">
        <f ca="1">VLOOKUP(B114,小熊定理判定!A:D,3,FALSE)</f>
        <v>#N/A</v>
      </c>
      <c r="L114" s="147" t="e">
        <f ca="1">VLOOKUP(B114,小熊定理判定!A:D,4,FALSE)</f>
        <v>#N/A</v>
      </c>
      <c r="M114" s="148" t="e">
        <f ca="1">IF(ISNUMBER(OFFSET(指定日期分位点!$A$1,MATCH($B114,指定日期分位点!$C$2:$C$5000,0),MATCH(M$4,指定日期分位点!$B$1:$M$1,0))),OFFSET(指定日期分位点!$A$1,MATCH($B114,指定日期分位点!$C$2:$C$4000,0),MATCH(M$4,指定日期分位点!$B$1:$M$1,0)),"")/100</f>
        <v>#VALUE!</v>
      </c>
      <c r="N114" s="156" t="str">
        <f ca="1">IF(ISNUMBER(OFFSET(指定日期分位点!$A$1,MATCH($B114,指定日期分位点!$C$2:$C$5000,0),MATCH(N$4,指定日期分位点!$B$1:$M$1,0))),OFFSET(指定日期分位点!$A$1,MATCH($B114,指定日期分位点!$C$2:$C$4000,0),MATCH(N$4,指定日期分位点!$B$1:$M$1,0)),"")</f>
        <v/>
      </c>
      <c r="O114" s="25"/>
    </row>
    <row r="115" hidden="1" spans="1:15">
      <c r="A115" s="137"/>
      <c r="B115" s="137" t="str">
        <f ca="1">IF(ISTEXT(OFFSET(#REF!,MATCH($A115,#REF!,0),MATCH(B$4,#REF!,0))),OFFSET(#REF!,MATCH($A115,#REF!,0),MATCH(B$4,#REF!,0)),"")</f>
        <v/>
      </c>
      <c r="C115" s="137" t="str">
        <f ca="1">IF(ISTEXT(OFFSET(#REF!,MATCH($A115,#REF!,0),MATCH(C$4,#REF!,0))),OFFSET(#REF!,MATCH($A115,#REF!,0),MATCH(C$4,#REF!,0)),"")</f>
        <v/>
      </c>
      <c r="D115" s="154"/>
      <c r="E115" s="154"/>
      <c r="F115" s="154"/>
      <c r="G115" s="154"/>
      <c r="H115" s="132" t="str">
        <f ca="1">IF(ISERROR(VLOOKUP(C115,'周期表（不要动）'!A:B,2,FALSE)),"",VLOOKUP(C115,'周期表（不要动）'!A:B,2,FALSE))</f>
        <v/>
      </c>
      <c r="I115" s="155"/>
      <c r="J115" s="147" t="e">
        <f ca="1">VLOOKUP(B115,小熊定理判定!A:D,2,FALSE)</f>
        <v>#N/A</v>
      </c>
      <c r="K115" s="147" t="e">
        <f ca="1">VLOOKUP(B115,小熊定理判定!A:D,3,FALSE)</f>
        <v>#N/A</v>
      </c>
      <c r="L115" s="147" t="e">
        <f ca="1">VLOOKUP(B115,小熊定理判定!A:D,4,FALSE)</f>
        <v>#N/A</v>
      </c>
      <c r="M115" s="148" t="e">
        <f ca="1">IF(ISNUMBER(OFFSET(指定日期分位点!$A$1,MATCH($B115,指定日期分位点!$C$2:$C$5000,0),MATCH(M$4,指定日期分位点!$B$1:$M$1,0))),OFFSET(指定日期分位点!$A$1,MATCH($B115,指定日期分位点!$C$2:$C$4000,0),MATCH(M$4,指定日期分位点!$B$1:$M$1,0)),"")/100</f>
        <v>#VALUE!</v>
      </c>
      <c r="N115" s="156" t="str">
        <f ca="1">IF(ISNUMBER(OFFSET(指定日期分位点!$A$1,MATCH($B115,指定日期分位点!$C$2:$C$5000,0),MATCH(N$4,指定日期分位点!$B$1:$M$1,0))),OFFSET(指定日期分位点!$A$1,MATCH($B115,指定日期分位点!$C$2:$C$4000,0),MATCH(N$4,指定日期分位点!$B$1:$M$1,0)),"")</f>
        <v/>
      </c>
      <c r="O115" s="25"/>
    </row>
  </sheetData>
  <autoFilter ref="A4:W115">
    <filterColumn colId="7">
      <filters blank="1"/>
    </filterColumn>
    <filterColumn colId="8">
      <customFilters>
        <customFilter operator="equal" val=""/>
        <customFilter operator="equal" val="0"/>
      </customFilters>
    </filterColumn>
    <filterColumn colId="11">
      <customFilters>
        <customFilter operator="equal" val="0"/>
      </customFilters>
    </filterColumn>
    <filterColumn colId="12">
      <filters>
        <filter val="24.86%"/>
        <filter val="28.92%"/>
        <filter val="47.56%"/>
        <filter val="14.17%"/>
        <filter val="14.67%"/>
        <filter val="21.97%"/>
        <filter val="27.73%"/>
        <filter val="28.03%"/>
        <filter val="33.27%"/>
        <filter val="47.87%"/>
        <filter val="16.04%"/>
        <filter val="19.10%"/>
        <filter val="21.38%"/>
        <filter val="30.44%"/>
        <filter val="11.25%"/>
        <filter val="17.41%"/>
        <filter val="19.25%"/>
        <filter val="20.99%"/>
        <filter val="32.71%"/>
        <filter val="34.69%"/>
      </filters>
    </filterColumn>
    <sortState ref="A5:W115">
      <sortCondition ref="M4"/>
    </sortState>
    <extLst/>
  </autoFilter>
  <mergeCells count="6">
    <mergeCell ref="A1:N1"/>
    <mergeCell ref="A2:N2"/>
    <mergeCell ref="A3:B3"/>
    <mergeCell ref="D3:I3"/>
    <mergeCell ref="J3:L3"/>
    <mergeCell ref="M3:N3"/>
  </mergeCells>
  <conditionalFormatting sqref="H$1:H$1048576">
    <cfRule type="cellIs" dxfId="0" priority="5" operator="equal">
      <formula>"是"</formula>
    </cfRule>
  </conditionalFormatting>
  <conditionalFormatting sqref="I$1:I$1048576">
    <cfRule type="cellIs" dxfId="0" priority="1" operator="equal">
      <formula>1</formula>
    </cfRule>
  </conditionalFormatting>
  <conditionalFormatting sqref="D1:G4 D49:G1048576">
    <cfRule type="cellIs" dxfId="1" priority="8" operator="lessThan">
      <formula>0</formula>
    </cfRule>
    <cfRule type="cellIs" dxfId="2" priority="7" operator="lessThan">
      <formula>0</formula>
    </cfRule>
    <cfRule type="cellIs" dxfId="0" priority="6" operator="lessThan">
      <formula>0</formula>
    </cfRule>
    <cfRule type="cellIs" dxfId="0" priority="2" operator="lessThan">
      <formula>0</formula>
    </cfRule>
  </conditionalFormatting>
  <conditionalFormatting sqref="J$1:L$1048576">
    <cfRule type="cellIs" dxfId="0" priority="4" operator="equal">
      <formula>"NO "</formula>
    </cfRule>
    <cfRule type="cellIs" dxfId="0" priority="3" operator="equal">
      <formula>"NO"</formula>
    </cfRule>
  </conditionalFormatting>
  <pageMargins left="0.75" right="0.75" top="1" bottom="1" header="0.51" footer="0.51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0"/>
  <sheetViews>
    <sheetView workbookViewId="0">
      <pane ySplit="3" topLeftCell="A4" activePane="bottomLeft" state="frozen"/>
      <selection/>
      <selection pane="bottomLeft" activeCell="Q14" sqref="Q14"/>
    </sheetView>
  </sheetViews>
  <sheetFormatPr defaultColWidth="9" defaultRowHeight="14.25"/>
  <cols>
    <col min="1" max="1" width="11.375" style="26" customWidth="1"/>
    <col min="2" max="4" width="5.625" style="27" customWidth="1"/>
    <col min="5" max="5" width="5.625" style="28" customWidth="1"/>
    <col min="6" max="6" width="6.375" style="26" customWidth="1"/>
    <col min="7" max="7" width="1.625" style="26" customWidth="1"/>
    <col min="8" max="8" width="6.375" style="26" customWidth="1"/>
    <col min="9" max="9" width="1.625" style="26" customWidth="1"/>
    <col min="10" max="10" width="6.375" style="26" customWidth="1"/>
    <col min="11" max="11" width="1.625" style="26" customWidth="1"/>
    <col min="12" max="12" width="6.375" style="26" customWidth="1"/>
    <col min="13" max="13" width="1.625" style="26" customWidth="1"/>
    <col min="14" max="14" width="6" style="26" customWidth="1"/>
    <col min="15" max="15" width="6.375" style="26" customWidth="1"/>
    <col min="16" max="16" width="1.625" style="26" customWidth="1"/>
    <col min="17" max="17" width="6.375" style="26" customWidth="1"/>
    <col min="18" max="18" width="1.625" style="26" customWidth="1"/>
    <col min="19" max="19" width="6.375" style="26" customWidth="1"/>
    <col min="20" max="20" width="1.625" style="26" customWidth="1"/>
    <col min="21" max="21" width="6.375" style="26" customWidth="1"/>
    <col min="22" max="22" width="1.625" style="26" customWidth="1"/>
    <col min="23" max="23" width="6.25" style="26" customWidth="1"/>
    <col min="24" max="24" width="6.375" style="26" customWidth="1"/>
    <col min="25" max="25" width="1.625" style="26" customWidth="1"/>
    <col min="26" max="26" width="6.375" style="26" customWidth="1"/>
    <col min="27" max="27" width="1.625" style="26" customWidth="1"/>
    <col min="28" max="28" width="6.375" style="26" customWidth="1"/>
    <col min="29" max="29" width="1.625" style="26" customWidth="1"/>
    <col min="30" max="30" width="6.375" style="26" customWidth="1"/>
    <col min="31" max="31" width="1.625" style="26" customWidth="1"/>
    <col min="32" max="32" width="5.5" style="29" customWidth="1"/>
    <col min="33" max="33" width="6.375" style="26" customWidth="1"/>
    <col min="34" max="34" width="1.625" style="26" customWidth="1"/>
    <col min="35" max="35" width="6.375" style="26" customWidth="1"/>
    <col min="36" max="36" width="1.625" style="26" customWidth="1"/>
    <col min="37" max="37" width="6.375" style="26" customWidth="1"/>
    <col min="38" max="38" width="1.625" style="26" customWidth="1"/>
    <col min="39" max="39" width="6.375" style="26" customWidth="1"/>
    <col min="40" max="40" width="1.625" style="26" customWidth="1"/>
    <col min="41" max="16384" width="9" style="25"/>
  </cols>
  <sheetData>
    <row r="1" s="25" customFormat="1" ht="27.95" customHeight="1" spans="1:40">
      <c r="A1" s="30" t="s">
        <v>1</v>
      </c>
      <c r="B1" s="30"/>
      <c r="C1" s="30"/>
      <c r="D1" s="30"/>
      <c r="E1" s="31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92"/>
      <c r="AG1" s="30"/>
      <c r="AH1" s="30"/>
      <c r="AI1" s="30"/>
      <c r="AJ1" s="30"/>
      <c r="AK1" s="30"/>
      <c r="AL1" s="30"/>
      <c r="AM1" s="96"/>
      <c r="AN1" s="96"/>
    </row>
    <row r="2" s="25" customFormat="1" spans="1:40">
      <c r="A2" s="32" t="s">
        <v>120</v>
      </c>
      <c r="B2" s="33" t="s">
        <v>121</v>
      </c>
      <c r="C2" s="34"/>
      <c r="D2" s="34"/>
      <c r="E2" s="35" t="s">
        <v>122</v>
      </c>
      <c r="F2" s="36" t="s">
        <v>123</v>
      </c>
      <c r="G2" s="36"/>
      <c r="H2" s="36"/>
      <c r="I2" s="36"/>
      <c r="J2" s="36"/>
      <c r="K2" s="36"/>
      <c r="L2" s="36"/>
      <c r="M2" s="36"/>
      <c r="N2" s="35" t="s">
        <v>120</v>
      </c>
      <c r="O2" s="78" t="s">
        <v>124</v>
      </c>
      <c r="P2" s="78"/>
      <c r="Q2" s="78"/>
      <c r="R2" s="78"/>
      <c r="S2" s="78"/>
      <c r="T2" s="78"/>
      <c r="U2" s="78"/>
      <c r="V2" s="78"/>
      <c r="W2" s="35" t="s">
        <v>120</v>
      </c>
      <c r="X2" s="78" t="s">
        <v>125</v>
      </c>
      <c r="Y2" s="78"/>
      <c r="Z2" s="78"/>
      <c r="AA2" s="78"/>
      <c r="AB2" s="78"/>
      <c r="AC2" s="78"/>
      <c r="AD2" s="78"/>
      <c r="AE2" s="78"/>
      <c r="AF2" s="35" t="s">
        <v>120</v>
      </c>
      <c r="AG2" s="97" t="s">
        <v>126</v>
      </c>
      <c r="AH2" s="98"/>
      <c r="AI2" s="98"/>
      <c r="AJ2" s="98"/>
      <c r="AK2" s="98"/>
      <c r="AL2" s="98"/>
      <c r="AM2" s="98"/>
      <c r="AN2" s="99"/>
    </row>
    <row r="3" s="25" customFormat="1" ht="15" spans="1:40">
      <c r="A3" s="32"/>
      <c r="B3" s="37" t="s">
        <v>127</v>
      </c>
      <c r="C3" s="37" t="s">
        <v>128</v>
      </c>
      <c r="D3" s="33" t="s">
        <v>129</v>
      </c>
      <c r="E3" s="35"/>
      <c r="F3" s="36">
        <v>2018</v>
      </c>
      <c r="G3" s="36"/>
      <c r="H3" s="36">
        <v>2017</v>
      </c>
      <c r="I3" s="36"/>
      <c r="J3" s="36">
        <v>2016</v>
      </c>
      <c r="K3" s="36"/>
      <c r="L3" s="36">
        <v>2015</v>
      </c>
      <c r="M3" s="36"/>
      <c r="N3" s="35"/>
      <c r="O3" s="36">
        <v>2018</v>
      </c>
      <c r="P3" s="36"/>
      <c r="Q3" s="36">
        <v>2017</v>
      </c>
      <c r="R3" s="36"/>
      <c r="S3" s="36">
        <v>2016</v>
      </c>
      <c r="T3" s="36"/>
      <c r="U3" s="36">
        <v>2015</v>
      </c>
      <c r="V3" s="36"/>
      <c r="W3" s="35"/>
      <c r="X3" s="36">
        <v>2018</v>
      </c>
      <c r="Y3" s="36"/>
      <c r="Z3" s="36">
        <v>2017</v>
      </c>
      <c r="AA3" s="36"/>
      <c r="AB3" s="36">
        <v>2016</v>
      </c>
      <c r="AC3" s="36"/>
      <c r="AD3" s="36">
        <v>2015</v>
      </c>
      <c r="AE3" s="36"/>
      <c r="AF3" s="35"/>
      <c r="AG3" s="36">
        <v>2018</v>
      </c>
      <c r="AH3" s="36"/>
      <c r="AI3" s="36">
        <v>2017</v>
      </c>
      <c r="AJ3" s="36"/>
      <c r="AK3" s="36">
        <v>2016</v>
      </c>
      <c r="AL3" s="36"/>
      <c r="AM3" s="36">
        <v>2015</v>
      </c>
      <c r="AN3" s="36"/>
    </row>
    <row r="4" s="25" customFormat="1" ht="15" customHeight="1" spans="1:40">
      <c r="A4" s="3" t="s">
        <v>107</v>
      </c>
      <c r="B4" s="38" t="str">
        <f>IF((F4-H4)&lt;(O4-Q4),IF((H4-J4)&lt;(Q4-S4),"NO","0"),IF((H4-J4)&lt;(Q4-S4),IF((J4-L4)&lt;(S4-U4),"NO","0"),"0"))</f>
        <v>0</v>
      </c>
      <c r="C4" s="38" t="str">
        <f>IF((F4-H4)&lt;(X4-Z4),IF((H4-J4)&lt;(Z4-AB4),"NO","0"),IF((H4-J4)&lt;(Z4-AB4),IF((J4-L4)&lt;(AB4-AD4),"NO","0"),"0"))</f>
        <v>0</v>
      </c>
      <c r="D4" s="38" t="str">
        <f>IF(AG4=0,IF(AI4=0,IF(AK4=0,"0",IF(AG4&lt;1,IF(AI4&lt;1,"NO",IF(AK4&lt;1,"NO","0")),IF(AI4&lt;1,IF(AK4&lt;1,"NO","0"),"0"))),IF(AG4&lt;1,IF(AI4&lt;1,"NO",IF(AK4&lt;1,"NO","0")),IF(AI4&lt;1,IF(AK4&lt;1,"NO","0"),"0"))),IF(AG4&lt;1,IF(AI4&lt;1,"NO",IF(AK4&lt;1,"NO","0")),IF(AI4&lt;1,IF(AK4&lt;1,"NO","0"),"0")))</f>
        <v>NO</v>
      </c>
      <c r="E4" s="39" t="s">
        <v>107</v>
      </c>
      <c r="F4" s="40">
        <v>35.77</v>
      </c>
      <c r="G4" s="41">
        <v>0.041</v>
      </c>
      <c r="H4" s="40">
        <v>34.36</v>
      </c>
      <c r="I4" s="41">
        <v>0.4173</v>
      </c>
      <c r="J4" s="40">
        <v>24.25</v>
      </c>
      <c r="K4" s="41">
        <v>0.3552</v>
      </c>
      <c r="L4" s="40">
        <v>17.89</v>
      </c>
      <c r="M4" s="79">
        <v>-0.075</v>
      </c>
      <c r="N4" s="39" t="s">
        <v>107</v>
      </c>
      <c r="O4" s="40">
        <v>3.63</v>
      </c>
      <c r="P4" s="41">
        <v>-0.1148</v>
      </c>
      <c r="Q4" s="40">
        <v>4.1</v>
      </c>
      <c r="R4" s="41">
        <v>-0.2935</v>
      </c>
      <c r="S4" s="40">
        <v>5.8</v>
      </c>
      <c r="T4" s="41">
        <v>1.0102</v>
      </c>
      <c r="U4" s="40">
        <v>2.89</v>
      </c>
      <c r="V4" s="79">
        <v>0.1345</v>
      </c>
      <c r="W4" s="39" t="s">
        <v>107</v>
      </c>
      <c r="X4" s="40">
        <v>0</v>
      </c>
      <c r="Y4" s="93" t="s">
        <v>130</v>
      </c>
      <c r="Z4" s="40">
        <v>0</v>
      </c>
      <c r="AA4" s="93" t="s">
        <v>130</v>
      </c>
      <c r="AB4" s="40">
        <v>0</v>
      </c>
      <c r="AC4" s="93" t="s">
        <v>130</v>
      </c>
      <c r="AD4" s="40">
        <v>0</v>
      </c>
      <c r="AE4" s="94" t="s">
        <v>130</v>
      </c>
      <c r="AF4" s="39" t="s">
        <v>107</v>
      </c>
      <c r="AG4" s="40">
        <v>0.71</v>
      </c>
      <c r="AH4" s="93">
        <v>-0.75</v>
      </c>
      <c r="AI4" s="40">
        <v>1.46</v>
      </c>
      <c r="AJ4" s="93">
        <v>0.6</v>
      </c>
      <c r="AK4" s="40">
        <v>0.87</v>
      </c>
      <c r="AL4" s="93">
        <v>-0.71</v>
      </c>
      <c r="AM4" s="40">
        <v>1.57</v>
      </c>
      <c r="AN4" s="94">
        <v>-0.92</v>
      </c>
    </row>
    <row r="5" s="25" customFormat="1" ht="15" customHeight="1" spans="1:40">
      <c r="A5" s="3" t="s">
        <v>71</v>
      </c>
      <c r="B5" s="38" t="str">
        <f t="shared" ref="B5:B41" si="0">IF((F5-H5)&lt;(O5-Q5),IF((H5-J5)&lt;(Q5-S5),"NO","0"),IF((H5-J5)&lt;(Q5-S5),IF((J5-L5)&lt;(S5-U5),"NO","0"),"0"))</f>
        <v>0</v>
      </c>
      <c r="C5" s="38" t="str">
        <f t="shared" ref="C5:C43" si="1">IF((F5-H5)&lt;(X5-Z5),IF((H5-J5)&lt;(Z5-AB5),"NO","0"),IF((H5-J5)&lt;(Z5-AB5),IF((J5-L5)&lt;(AB5-AD5),"NO","0"),"0"))</f>
        <v>0</v>
      </c>
      <c r="D5" s="38" t="str">
        <f t="shared" ref="D5:D50" si="2">IF(AG5=0,IF(AI5=0,IF(AK5=0,"0",IF(AG5&lt;1,IF(AI5&lt;1,"NO",IF(AK5&lt;1,"NO","0")),IF(AI5&lt;1,IF(AK5&lt;1,"NO","0"),"0"))),IF(AG5&lt;1,IF(AI5&lt;1,"NO",IF(AK5&lt;1,"NO","0")),IF(AI5&lt;1,IF(AK5&lt;1,"NO","0"),"0"))),IF(AG5&lt;1,IF(AI5&lt;1,"NO",IF(AK5&lt;1,"NO","0")),IF(AI5&lt;1,IF(AK5&lt;1,"NO","0"),"0")))</f>
        <v>0</v>
      </c>
      <c r="E5" s="42" t="s">
        <v>71</v>
      </c>
      <c r="F5" s="43">
        <v>172.49</v>
      </c>
      <c r="G5" s="44">
        <v>0.3815</v>
      </c>
      <c r="H5" s="43">
        <v>124.86</v>
      </c>
      <c r="I5" s="44">
        <v>0.4312</v>
      </c>
      <c r="J5" s="43">
        <v>87.24</v>
      </c>
      <c r="K5" s="44">
        <v>0.0344</v>
      </c>
      <c r="L5" s="43">
        <v>84.34</v>
      </c>
      <c r="M5" s="80">
        <v>0.32</v>
      </c>
      <c r="N5" s="42" t="s">
        <v>71</v>
      </c>
      <c r="O5" s="43">
        <v>41.52</v>
      </c>
      <c r="P5" s="44">
        <v>0.1417</v>
      </c>
      <c r="Q5" s="43">
        <v>36.36</v>
      </c>
      <c r="R5" s="44">
        <v>0.4074</v>
      </c>
      <c r="S5" s="43">
        <v>25.84</v>
      </c>
      <c r="T5" s="44">
        <v>0.7618</v>
      </c>
      <c r="U5" s="43">
        <v>14.67</v>
      </c>
      <c r="V5" s="80">
        <v>-0.1566</v>
      </c>
      <c r="W5" s="42" t="s">
        <v>71</v>
      </c>
      <c r="X5" s="43">
        <v>25.53</v>
      </c>
      <c r="Y5" s="44">
        <v>0.3514</v>
      </c>
      <c r="Z5" s="43">
        <v>18.89</v>
      </c>
      <c r="AA5" s="44">
        <v>0.9055</v>
      </c>
      <c r="AB5" s="43">
        <v>9.91</v>
      </c>
      <c r="AC5" s="44">
        <v>0.4852</v>
      </c>
      <c r="AD5" s="43">
        <v>6.68</v>
      </c>
      <c r="AE5" s="80">
        <v>-0.0626</v>
      </c>
      <c r="AF5" s="42" t="s">
        <v>71</v>
      </c>
      <c r="AG5" s="43">
        <v>1.21</v>
      </c>
      <c r="AH5" s="100">
        <v>0.1</v>
      </c>
      <c r="AI5" s="43">
        <v>1.11</v>
      </c>
      <c r="AJ5" s="100">
        <v>-0.13</v>
      </c>
      <c r="AK5" s="43">
        <v>1.25</v>
      </c>
      <c r="AL5" s="100">
        <v>-0.14</v>
      </c>
      <c r="AM5" s="43">
        <v>1.38</v>
      </c>
      <c r="AN5" s="101">
        <v>0.19</v>
      </c>
    </row>
    <row r="6" s="25" customFormat="1" ht="15" customHeight="1" spans="1:40">
      <c r="A6" s="3" t="s">
        <v>41</v>
      </c>
      <c r="B6" s="38" t="str">
        <f t="shared" si="0"/>
        <v>0</v>
      </c>
      <c r="C6" s="38" t="str">
        <f t="shared" si="1"/>
        <v>0</v>
      </c>
      <c r="D6" s="38" t="str">
        <f t="shared" si="2"/>
        <v>0</v>
      </c>
      <c r="E6" s="45" t="s">
        <v>41</v>
      </c>
      <c r="F6" s="46">
        <v>170.34</v>
      </c>
      <c r="G6" s="47">
        <v>0.168</v>
      </c>
      <c r="H6" s="46">
        <v>145.84</v>
      </c>
      <c r="I6" s="47">
        <v>0.1706</v>
      </c>
      <c r="J6" s="46">
        <v>124.59</v>
      </c>
      <c r="K6" s="47">
        <v>0.1031</v>
      </c>
      <c r="L6" s="46">
        <v>112.94</v>
      </c>
      <c r="M6" s="81">
        <v>0.1505</v>
      </c>
      <c r="N6" s="45" t="s">
        <v>41</v>
      </c>
      <c r="O6" s="46">
        <v>0.24446</v>
      </c>
      <c r="P6" s="47">
        <v>-0.009</v>
      </c>
      <c r="Q6" s="46">
        <v>0.024666</v>
      </c>
      <c r="R6" s="89" t="s">
        <v>130</v>
      </c>
      <c r="S6" s="46">
        <v>0</v>
      </c>
      <c r="T6" s="89" t="s">
        <v>130</v>
      </c>
      <c r="U6" s="46">
        <v>0</v>
      </c>
      <c r="V6" s="90" t="s">
        <v>130</v>
      </c>
      <c r="W6" s="45" t="s">
        <v>41</v>
      </c>
      <c r="X6" s="46">
        <v>12.03</v>
      </c>
      <c r="Y6" s="47">
        <v>0.1558</v>
      </c>
      <c r="Z6" s="46">
        <v>10.41</v>
      </c>
      <c r="AA6" s="47">
        <v>0.1077</v>
      </c>
      <c r="AB6" s="46">
        <v>9.4</v>
      </c>
      <c r="AC6" s="47">
        <v>-0.06</v>
      </c>
      <c r="AD6" s="46">
        <v>10</v>
      </c>
      <c r="AE6" s="81">
        <v>-0.1337</v>
      </c>
      <c r="AF6" s="45" t="s">
        <v>41</v>
      </c>
      <c r="AG6" s="46">
        <v>2.57</v>
      </c>
      <c r="AH6" s="89">
        <v>-0.04</v>
      </c>
      <c r="AI6" s="46">
        <v>2.61</v>
      </c>
      <c r="AJ6" s="89">
        <v>0.02</v>
      </c>
      <c r="AK6" s="46">
        <v>2.59</v>
      </c>
      <c r="AL6" s="89">
        <v>-0.06</v>
      </c>
      <c r="AM6" s="46">
        <v>2.65</v>
      </c>
      <c r="AN6" s="90">
        <v>0.55</v>
      </c>
    </row>
    <row r="7" s="25" customFormat="1" ht="15" customHeight="1" spans="1:40">
      <c r="A7" s="3" t="s">
        <v>103</v>
      </c>
      <c r="B7" s="38" t="str">
        <f t="shared" si="0"/>
        <v>0</v>
      </c>
      <c r="C7" s="38" t="str">
        <f t="shared" si="1"/>
        <v>0</v>
      </c>
      <c r="D7" s="38" t="str">
        <f t="shared" si="2"/>
        <v>0</v>
      </c>
      <c r="E7" s="48" t="s">
        <v>103</v>
      </c>
      <c r="F7" s="49">
        <v>736.39</v>
      </c>
      <c r="G7" s="50">
        <v>0.2649</v>
      </c>
      <c r="H7" s="49">
        <v>582.18</v>
      </c>
      <c r="I7" s="50">
        <v>0.4981</v>
      </c>
      <c r="J7" s="49">
        <v>388.62</v>
      </c>
      <c r="K7" s="50">
        <v>0.1899</v>
      </c>
      <c r="L7" s="49">
        <v>326.6</v>
      </c>
      <c r="M7" s="82">
        <v>0.0344</v>
      </c>
      <c r="N7" s="48" t="s">
        <v>103</v>
      </c>
      <c r="O7" s="49">
        <v>0</v>
      </c>
      <c r="P7" s="83" t="s">
        <v>130</v>
      </c>
      <c r="Q7" s="49">
        <v>0</v>
      </c>
      <c r="R7" s="83" t="s">
        <v>130</v>
      </c>
      <c r="S7" s="49">
        <v>0</v>
      </c>
      <c r="T7" s="83" t="s">
        <v>130</v>
      </c>
      <c r="U7" s="49">
        <v>0.002308</v>
      </c>
      <c r="V7" s="91">
        <v>-0.9464</v>
      </c>
      <c r="W7" s="48" t="s">
        <v>103</v>
      </c>
      <c r="X7" s="49">
        <v>235.07</v>
      </c>
      <c r="Y7" s="50">
        <v>0.0657</v>
      </c>
      <c r="Z7" s="49">
        <v>220.57</v>
      </c>
      <c r="AA7" s="50">
        <v>0.0696</v>
      </c>
      <c r="AB7" s="49">
        <v>206.22</v>
      </c>
      <c r="AC7" s="50">
        <v>0.1448</v>
      </c>
      <c r="AD7" s="49">
        <v>180.13</v>
      </c>
      <c r="AE7" s="82">
        <v>0.2023</v>
      </c>
      <c r="AF7" s="48" t="s">
        <v>103</v>
      </c>
      <c r="AG7" s="49">
        <v>3.25</v>
      </c>
      <c r="AH7" s="83">
        <v>0.34</v>
      </c>
      <c r="AI7" s="49">
        <v>2.91</v>
      </c>
      <c r="AJ7" s="83">
        <v>0.47</v>
      </c>
      <c r="AK7" s="49">
        <v>2.44</v>
      </c>
      <c r="AL7" s="83">
        <v>-0.81</v>
      </c>
      <c r="AM7" s="49">
        <v>3.24</v>
      </c>
      <c r="AN7" s="102">
        <v>-1.27</v>
      </c>
    </row>
    <row r="8" s="25" customFormat="1" ht="15" customHeight="1" spans="1:40">
      <c r="A8" s="3" t="s">
        <v>50</v>
      </c>
      <c r="B8" s="38" t="str">
        <f t="shared" si="0"/>
        <v>0</v>
      </c>
      <c r="C8" s="38" t="str">
        <f t="shared" si="1"/>
        <v>0</v>
      </c>
      <c r="D8" s="38" t="str">
        <f t="shared" si="2"/>
        <v>0</v>
      </c>
      <c r="E8" s="51" t="s">
        <v>50</v>
      </c>
      <c r="F8" s="52">
        <v>1981.23</v>
      </c>
      <c r="G8" s="53">
        <v>0.3361</v>
      </c>
      <c r="H8" s="52">
        <v>1482.86</v>
      </c>
      <c r="I8" s="53">
        <v>0.3692</v>
      </c>
      <c r="J8" s="52">
        <v>1083.03</v>
      </c>
      <c r="K8" s="53">
        <v>0.108</v>
      </c>
      <c r="L8" s="61">
        <v>977.45</v>
      </c>
      <c r="M8" s="84">
        <v>-0.2904</v>
      </c>
      <c r="N8" s="51" t="s">
        <v>50</v>
      </c>
      <c r="O8" s="61">
        <v>77</v>
      </c>
      <c r="P8" s="53">
        <v>0.3242</v>
      </c>
      <c r="Q8" s="61">
        <v>58.14</v>
      </c>
      <c r="R8" s="53">
        <v>0.964</v>
      </c>
      <c r="S8" s="61">
        <v>29.61</v>
      </c>
      <c r="T8" s="53">
        <v>0.0282</v>
      </c>
      <c r="U8" s="61">
        <v>28.79</v>
      </c>
      <c r="V8" s="84">
        <v>0.0819</v>
      </c>
      <c r="W8" s="51" t="s">
        <v>50</v>
      </c>
      <c r="X8" s="61">
        <v>200.12</v>
      </c>
      <c r="Y8" s="53">
        <v>0.2078</v>
      </c>
      <c r="Z8" s="61">
        <v>165.68</v>
      </c>
      <c r="AA8" s="53">
        <v>0.8358</v>
      </c>
      <c r="AB8" s="61">
        <v>90.25</v>
      </c>
      <c r="AC8" s="53">
        <v>-0.0474</v>
      </c>
      <c r="AD8" s="61">
        <v>94.74</v>
      </c>
      <c r="AE8" s="84">
        <v>0.1017</v>
      </c>
      <c r="AF8" s="51" t="s">
        <v>50</v>
      </c>
      <c r="AG8" s="61">
        <v>1.27</v>
      </c>
      <c r="AH8" s="103">
        <v>0.1</v>
      </c>
      <c r="AI8" s="61">
        <v>1.16</v>
      </c>
      <c r="AJ8" s="103">
        <v>0.04</v>
      </c>
      <c r="AK8" s="61">
        <v>1.13</v>
      </c>
      <c r="AL8" s="103">
        <v>0.05</v>
      </c>
      <c r="AM8" s="61">
        <v>1.07</v>
      </c>
      <c r="AN8" s="104">
        <v>-0.03</v>
      </c>
    </row>
    <row r="9" s="25" customFormat="1" ht="15" customHeight="1" spans="1:40">
      <c r="A9" s="3" t="s">
        <v>113</v>
      </c>
      <c r="B9" s="38" t="str">
        <f t="shared" si="0"/>
        <v>0</v>
      </c>
      <c r="C9" s="38" t="str">
        <f t="shared" si="1"/>
        <v>0</v>
      </c>
      <c r="D9" s="38" t="str">
        <f t="shared" si="2"/>
        <v>0</v>
      </c>
      <c r="E9" s="54" t="s">
        <v>113</v>
      </c>
      <c r="F9" s="55">
        <v>85.35</v>
      </c>
      <c r="G9" s="56">
        <v>0.3426</v>
      </c>
      <c r="H9" s="55">
        <v>63.57</v>
      </c>
      <c r="I9" s="56">
        <v>0.3635</v>
      </c>
      <c r="J9" s="55">
        <v>46.62</v>
      </c>
      <c r="K9" s="56">
        <v>0.2436</v>
      </c>
      <c r="L9" s="55">
        <v>37.49</v>
      </c>
      <c r="M9" s="85">
        <v>0.2319</v>
      </c>
      <c r="N9" s="54" t="s">
        <v>113</v>
      </c>
      <c r="O9" s="55">
        <v>8.09</v>
      </c>
      <c r="P9" s="56">
        <v>0.7239</v>
      </c>
      <c r="Q9" s="55">
        <v>4.69</v>
      </c>
      <c r="R9" s="56">
        <v>1.8353</v>
      </c>
      <c r="S9" s="55">
        <v>1.65</v>
      </c>
      <c r="T9" s="56">
        <v>0.6866</v>
      </c>
      <c r="U9" s="55">
        <v>0.98</v>
      </c>
      <c r="V9" s="85">
        <v>0.7959</v>
      </c>
      <c r="W9" s="54" t="s">
        <v>113</v>
      </c>
      <c r="X9" s="55">
        <v>10.43</v>
      </c>
      <c r="Y9" s="56">
        <v>0.196</v>
      </c>
      <c r="Z9" s="55">
        <v>8.72</v>
      </c>
      <c r="AA9" s="56">
        <v>0.1879</v>
      </c>
      <c r="AB9" s="55">
        <v>7.34</v>
      </c>
      <c r="AC9" s="56">
        <v>0.1298</v>
      </c>
      <c r="AD9" s="55">
        <v>6.5</v>
      </c>
      <c r="AE9" s="85">
        <v>0.169</v>
      </c>
      <c r="AF9" s="54" t="s">
        <v>113</v>
      </c>
      <c r="AG9" s="55">
        <v>1.94</v>
      </c>
      <c r="AH9" s="105">
        <v>-0.19</v>
      </c>
      <c r="AI9" s="55">
        <v>2.13</v>
      </c>
      <c r="AJ9" s="105">
        <v>-0.62</v>
      </c>
      <c r="AK9" s="55">
        <v>2.75</v>
      </c>
      <c r="AL9" s="105">
        <v>-0.31</v>
      </c>
      <c r="AM9" s="55">
        <v>3.06</v>
      </c>
      <c r="AN9" s="106">
        <v>1.17</v>
      </c>
    </row>
    <row r="10" s="25" customFormat="1" ht="15" customHeight="1" spans="1:40">
      <c r="A10" s="3" t="s">
        <v>85</v>
      </c>
      <c r="B10" s="38" t="str">
        <f t="shared" si="0"/>
        <v>0</v>
      </c>
      <c r="C10" s="38" t="str">
        <f t="shared" si="1"/>
        <v>0</v>
      </c>
      <c r="D10" s="38" t="str">
        <f t="shared" si="2"/>
        <v>0</v>
      </c>
      <c r="E10" s="57" t="s">
        <v>85</v>
      </c>
      <c r="F10" s="58">
        <v>37.36</v>
      </c>
      <c r="G10" s="59">
        <v>0.2655</v>
      </c>
      <c r="H10" s="58">
        <v>29.52</v>
      </c>
      <c r="I10" s="59">
        <v>0.1557</v>
      </c>
      <c r="J10" s="58">
        <v>25.54</v>
      </c>
      <c r="K10" s="59">
        <v>0.0534</v>
      </c>
      <c r="L10" s="58">
        <v>24.25</v>
      </c>
      <c r="M10" s="86">
        <v>0.0105</v>
      </c>
      <c r="N10" s="57" t="s">
        <v>85</v>
      </c>
      <c r="O10" s="58">
        <v>0.51</v>
      </c>
      <c r="P10" s="59">
        <v>2.1298</v>
      </c>
      <c r="Q10" s="58">
        <v>0.16</v>
      </c>
      <c r="R10" s="59">
        <v>-0.2619</v>
      </c>
      <c r="S10" s="58">
        <v>0.22</v>
      </c>
      <c r="T10" s="59">
        <v>-0.2375</v>
      </c>
      <c r="U10" s="58">
        <v>0.29</v>
      </c>
      <c r="V10" s="86">
        <v>-0.1936</v>
      </c>
      <c r="W10" s="57" t="s">
        <v>85</v>
      </c>
      <c r="X10" s="58">
        <v>19.68</v>
      </c>
      <c r="Y10" s="59">
        <v>0.1547</v>
      </c>
      <c r="Z10" s="58">
        <v>17.04</v>
      </c>
      <c r="AA10" s="59">
        <v>0.1252</v>
      </c>
      <c r="AB10" s="58">
        <v>15.14</v>
      </c>
      <c r="AC10" s="59">
        <v>0.0954</v>
      </c>
      <c r="AD10" s="58">
        <v>13.83</v>
      </c>
      <c r="AE10" s="86">
        <v>0.1011</v>
      </c>
      <c r="AF10" s="57" t="s">
        <v>85</v>
      </c>
      <c r="AG10" s="58">
        <v>2.53</v>
      </c>
      <c r="AH10" s="107">
        <v>-0.09</v>
      </c>
      <c r="AI10" s="58">
        <v>2.62</v>
      </c>
      <c r="AJ10" s="107">
        <v>-0.34</v>
      </c>
      <c r="AK10" s="58">
        <v>2.96</v>
      </c>
      <c r="AL10" s="107">
        <v>-0.08</v>
      </c>
      <c r="AM10" s="58">
        <v>3.04</v>
      </c>
      <c r="AN10" s="108">
        <v>-0.71</v>
      </c>
    </row>
    <row r="11" s="25" customFormat="1" ht="15" customHeight="1" spans="1:40">
      <c r="A11" s="3" t="s">
        <v>58</v>
      </c>
      <c r="B11" s="38" t="str">
        <f t="shared" si="0"/>
        <v>0</v>
      </c>
      <c r="C11" s="38" t="str">
        <f t="shared" si="1"/>
        <v>0</v>
      </c>
      <c r="D11" s="38" t="str">
        <f t="shared" si="2"/>
        <v>0</v>
      </c>
      <c r="E11" s="39" t="s">
        <v>58</v>
      </c>
      <c r="F11" s="60">
        <v>1833.17</v>
      </c>
      <c r="G11" s="41">
        <v>0.1511</v>
      </c>
      <c r="H11" s="60">
        <v>1592.54</v>
      </c>
      <c r="I11" s="41">
        <v>0.3375</v>
      </c>
      <c r="J11" s="60">
        <v>1190.66</v>
      </c>
      <c r="K11" s="41">
        <v>0.3267</v>
      </c>
      <c r="L11" s="40">
        <v>897.48</v>
      </c>
      <c r="M11" s="79">
        <v>0.011</v>
      </c>
      <c r="N11" s="39" t="s">
        <v>58</v>
      </c>
      <c r="O11" s="40">
        <v>104.31</v>
      </c>
      <c r="P11" s="41">
        <v>-0.162</v>
      </c>
      <c r="Q11" s="40">
        <v>124.48</v>
      </c>
      <c r="R11" s="41">
        <v>0.0164</v>
      </c>
      <c r="S11" s="40">
        <v>122.47</v>
      </c>
      <c r="T11" s="41">
        <v>0.9942</v>
      </c>
      <c r="U11" s="40">
        <v>61.41</v>
      </c>
      <c r="V11" s="79">
        <v>0.1597</v>
      </c>
      <c r="W11" s="39" t="s">
        <v>58</v>
      </c>
      <c r="X11" s="40">
        <v>223.77</v>
      </c>
      <c r="Y11" s="41">
        <v>0.0406</v>
      </c>
      <c r="Z11" s="40">
        <v>215.04</v>
      </c>
      <c r="AA11" s="41">
        <v>0.4112</v>
      </c>
      <c r="AB11" s="40">
        <v>152.38</v>
      </c>
      <c r="AC11" s="41">
        <v>0.7803</v>
      </c>
      <c r="AD11" s="40">
        <v>85.59</v>
      </c>
      <c r="AE11" s="79">
        <v>0.1325</v>
      </c>
      <c r="AF11" s="39" t="s">
        <v>58</v>
      </c>
      <c r="AG11" s="40">
        <v>1.18</v>
      </c>
      <c r="AH11" s="93">
        <v>0.03</v>
      </c>
      <c r="AI11" s="40">
        <v>1.15</v>
      </c>
      <c r="AJ11" s="93">
        <v>0.2</v>
      </c>
      <c r="AK11" s="40">
        <v>0.95</v>
      </c>
      <c r="AL11" s="93">
        <v>-0.43</v>
      </c>
      <c r="AM11" s="40">
        <v>1.38</v>
      </c>
      <c r="AN11" s="94">
        <v>-0.05</v>
      </c>
    </row>
    <row r="12" s="25" customFormat="1" ht="15" customHeight="1" spans="1:40">
      <c r="A12" s="3" t="s">
        <v>65</v>
      </c>
      <c r="B12" s="38" t="str">
        <f t="shared" si="0"/>
        <v>0</v>
      </c>
      <c r="C12" s="38" t="str">
        <f t="shared" si="1"/>
        <v>0</v>
      </c>
      <c r="D12" s="38" t="str">
        <f t="shared" si="2"/>
        <v>0</v>
      </c>
      <c r="E12" s="42" t="s">
        <v>65</v>
      </c>
      <c r="F12" s="43">
        <v>5.01</v>
      </c>
      <c r="G12" s="44">
        <v>0.2987</v>
      </c>
      <c r="H12" s="43">
        <v>3.86</v>
      </c>
      <c r="I12" s="44">
        <v>0.2355</v>
      </c>
      <c r="J12" s="43">
        <v>3.12</v>
      </c>
      <c r="K12" s="44">
        <v>0.1684</v>
      </c>
      <c r="L12" s="43">
        <v>2.67</v>
      </c>
      <c r="M12" s="80">
        <v>0.1152</v>
      </c>
      <c r="N12" s="42" t="s">
        <v>65</v>
      </c>
      <c r="O12" s="43">
        <v>1.09</v>
      </c>
      <c r="P12" s="44">
        <v>0.0698</v>
      </c>
      <c r="Q12" s="43">
        <v>1.02</v>
      </c>
      <c r="R12" s="44">
        <v>0.324</v>
      </c>
      <c r="S12" s="43">
        <v>0.77</v>
      </c>
      <c r="T12" s="44">
        <v>0.1754</v>
      </c>
      <c r="U12" s="43">
        <v>0.65</v>
      </c>
      <c r="V12" s="80">
        <v>0.0514</v>
      </c>
      <c r="W12" s="42" t="s">
        <v>65</v>
      </c>
      <c r="X12" s="43">
        <v>0.23</v>
      </c>
      <c r="Y12" s="44">
        <v>0.1839</v>
      </c>
      <c r="Z12" s="43">
        <v>0.2</v>
      </c>
      <c r="AA12" s="44">
        <v>0.4122</v>
      </c>
      <c r="AB12" s="43">
        <v>0.14</v>
      </c>
      <c r="AC12" s="44">
        <v>0.5336</v>
      </c>
      <c r="AD12" s="43" t="s">
        <v>131</v>
      </c>
      <c r="AE12" s="80">
        <v>-0.2315</v>
      </c>
      <c r="AF12" s="42" t="s">
        <v>65</v>
      </c>
      <c r="AG12" s="43">
        <v>13.57</v>
      </c>
      <c r="AH12" s="100">
        <v>-1.99</v>
      </c>
      <c r="AI12" s="43">
        <v>15.56</v>
      </c>
      <c r="AJ12" s="100">
        <v>0.77</v>
      </c>
      <c r="AK12" s="43">
        <v>14.79</v>
      </c>
      <c r="AL12" s="100">
        <v>-4.88</v>
      </c>
      <c r="AM12" s="43">
        <v>19.66</v>
      </c>
      <c r="AN12" s="101">
        <v>-7.92</v>
      </c>
    </row>
    <row r="13" s="25" customFormat="1" ht="15" customHeight="1" spans="1:40">
      <c r="A13" s="3" t="s">
        <v>68</v>
      </c>
      <c r="B13" s="38" t="str">
        <f t="shared" si="0"/>
        <v>0</v>
      </c>
      <c r="C13" s="38" t="str">
        <f t="shared" si="1"/>
        <v>0</v>
      </c>
      <c r="D13" s="38" t="str">
        <f t="shared" si="2"/>
        <v>0</v>
      </c>
      <c r="E13" s="45" t="s">
        <v>68</v>
      </c>
      <c r="F13" s="46">
        <v>241.6</v>
      </c>
      <c r="G13" s="47">
        <v>0.213</v>
      </c>
      <c r="H13" s="46">
        <v>199.18</v>
      </c>
      <c r="I13" s="47">
        <v>0.1592</v>
      </c>
      <c r="J13" s="46">
        <v>171.83</v>
      </c>
      <c r="K13" s="47">
        <v>0.0704</v>
      </c>
      <c r="L13" s="46">
        <v>160.52</v>
      </c>
      <c r="M13" s="81">
        <v>0.0941</v>
      </c>
      <c r="N13" s="45" t="s">
        <v>68</v>
      </c>
      <c r="O13" s="46">
        <v>0.054193</v>
      </c>
      <c r="P13" s="47">
        <v>-0.3613</v>
      </c>
      <c r="Q13" s="46">
        <v>0.084854</v>
      </c>
      <c r="R13" s="47">
        <v>-0.2161</v>
      </c>
      <c r="S13" s="46">
        <v>0.11</v>
      </c>
      <c r="T13" s="47">
        <v>0.6767</v>
      </c>
      <c r="U13" s="46" t="s">
        <v>132</v>
      </c>
      <c r="V13" s="81">
        <v>-0.3037</v>
      </c>
      <c r="W13" s="45" t="s">
        <v>68</v>
      </c>
      <c r="X13" s="46">
        <v>138.92</v>
      </c>
      <c r="Y13" s="47">
        <v>0.0801</v>
      </c>
      <c r="Z13" s="46">
        <v>128.62</v>
      </c>
      <c r="AA13" s="47">
        <v>0.0524</v>
      </c>
      <c r="AB13" s="46">
        <v>122.22</v>
      </c>
      <c r="AC13" s="47">
        <v>0.0988</v>
      </c>
      <c r="AD13" s="46">
        <v>111.22</v>
      </c>
      <c r="AE13" s="81">
        <v>0.1016</v>
      </c>
      <c r="AF13" s="45" t="s">
        <v>68</v>
      </c>
      <c r="AG13" s="46">
        <v>2.3</v>
      </c>
      <c r="AH13" s="89">
        <v>0.17</v>
      </c>
      <c r="AI13" s="46">
        <v>2.12</v>
      </c>
      <c r="AJ13" s="89">
        <v>0.09</v>
      </c>
      <c r="AK13" s="46">
        <v>2.04</v>
      </c>
      <c r="AL13" s="89">
        <v>0.01</v>
      </c>
      <c r="AM13" s="46">
        <v>2.03</v>
      </c>
      <c r="AN13" s="90">
        <v>0.17</v>
      </c>
    </row>
    <row r="14" s="25" customFormat="1" ht="15" customHeight="1" spans="1:40">
      <c r="A14" s="3" t="s">
        <v>90</v>
      </c>
      <c r="B14" s="38" t="str">
        <f t="shared" si="0"/>
        <v>0</v>
      </c>
      <c r="C14" s="38" t="str">
        <f t="shared" si="1"/>
        <v>0</v>
      </c>
      <c r="D14" s="38" t="str">
        <f t="shared" si="2"/>
        <v>0</v>
      </c>
      <c r="E14" s="48" t="s">
        <v>90</v>
      </c>
      <c r="F14" s="49">
        <v>498.37</v>
      </c>
      <c r="G14" s="50">
        <v>0.1893</v>
      </c>
      <c r="H14" s="49">
        <v>419.05</v>
      </c>
      <c r="I14" s="50">
        <v>0.3127</v>
      </c>
      <c r="J14" s="49">
        <v>319.24</v>
      </c>
      <c r="K14" s="50">
        <v>0.2632</v>
      </c>
      <c r="L14" s="49">
        <v>252.71</v>
      </c>
      <c r="M14" s="82">
        <v>0.4664</v>
      </c>
      <c r="N14" s="48" t="s">
        <v>90</v>
      </c>
      <c r="O14" s="49">
        <v>166.19</v>
      </c>
      <c r="P14" s="50">
        <v>0.1302</v>
      </c>
      <c r="Q14" s="49">
        <v>147.05</v>
      </c>
      <c r="R14" s="50">
        <v>0.308</v>
      </c>
      <c r="S14" s="49">
        <v>112.43</v>
      </c>
      <c r="T14" s="50">
        <v>0.3836</v>
      </c>
      <c r="U14" s="49">
        <v>81.26</v>
      </c>
      <c r="V14" s="82">
        <v>0.8979</v>
      </c>
      <c r="W14" s="48" t="s">
        <v>90</v>
      </c>
      <c r="X14" s="49">
        <v>57.25</v>
      </c>
      <c r="Y14" s="50">
        <v>0.1589</v>
      </c>
      <c r="Z14" s="49">
        <v>49.4</v>
      </c>
      <c r="AA14" s="50">
        <v>0.2915</v>
      </c>
      <c r="AB14" s="49">
        <v>38.25</v>
      </c>
      <c r="AC14" s="50">
        <v>0.3571</v>
      </c>
      <c r="AD14" s="49">
        <v>28.19</v>
      </c>
      <c r="AE14" s="82">
        <v>0.2298</v>
      </c>
      <c r="AF14" s="48" t="s">
        <v>90</v>
      </c>
      <c r="AG14" s="49">
        <v>2.17</v>
      </c>
      <c r="AH14" s="83">
        <v>-0.43</v>
      </c>
      <c r="AI14" s="49">
        <v>2.6</v>
      </c>
      <c r="AJ14" s="83">
        <v>-0.42</v>
      </c>
      <c r="AK14" s="49">
        <v>3.01</v>
      </c>
      <c r="AL14" s="83">
        <v>0.42</v>
      </c>
      <c r="AM14" s="49">
        <v>2.6</v>
      </c>
      <c r="AN14" s="102">
        <v>-0.53</v>
      </c>
    </row>
    <row r="15" s="25" customFormat="1" ht="15" customHeight="1" spans="1:40">
      <c r="A15" s="3" t="s">
        <v>62</v>
      </c>
      <c r="B15" s="38" t="str">
        <f t="shared" si="0"/>
        <v>0</v>
      </c>
      <c r="C15" s="38" t="str">
        <f t="shared" si="1"/>
        <v>0</v>
      </c>
      <c r="D15" s="38" t="str">
        <f t="shared" si="2"/>
        <v>0</v>
      </c>
      <c r="E15" s="51" t="s">
        <v>62</v>
      </c>
      <c r="F15" s="61">
        <v>437.84</v>
      </c>
      <c r="G15" s="53">
        <v>0.0998</v>
      </c>
      <c r="H15" s="61">
        <v>398.1</v>
      </c>
      <c r="I15" s="53">
        <v>0.1386</v>
      </c>
      <c r="J15" s="61">
        <v>349.64</v>
      </c>
      <c r="K15" s="53">
        <v>-0.021</v>
      </c>
      <c r="L15" s="61">
        <v>357.12</v>
      </c>
      <c r="M15" s="84">
        <v>0.0876</v>
      </c>
      <c r="N15" s="51" t="s">
        <v>62</v>
      </c>
      <c r="O15" s="61">
        <v>4.43</v>
      </c>
      <c r="P15" s="53">
        <v>-0.3505</v>
      </c>
      <c r="Q15" s="61">
        <v>6.83</v>
      </c>
      <c r="R15" s="53">
        <v>0.4759</v>
      </c>
      <c r="S15" s="61">
        <v>4.63</v>
      </c>
      <c r="T15" s="53">
        <v>0.014</v>
      </c>
      <c r="U15" s="61">
        <v>4.56</v>
      </c>
      <c r="V15" s="84">
        <v>0.7114</v>
      </c>
      <c r="W15" s="51" t="s">
        <v>62</v>
      </c>
      <c r="X15" s="61">
        <v>89.01</v>
      </c>
      <c r="Y15" s="53">
        <v>0.2345</v>
      </c>
      <c r="Z15" s="61">
        <v>72.1</v>
      </c>
      <c r="AA15" s="53">
        <v>-0.0264</v>
      </c>
      <c r="AB15" s="61">
        <v>74.06</v>
      </c>
      <c r="AC15" s="53">
        <v>0.507</v>
      </c>
      <c r="AD15" s="61">
        <v>49.14</v>
      </c>
      <c r="AE15" s="84">
        <v>-0.0432</v>
      </c>
      <c r="AF15" s="51" t="s">
        <v>62</v>
      </c>
      <c r="AG15" s="61">
        <v>2.09</v>
      </c>
      <c r="AH15" s="103">
        <v>0.22</v>
      </c>
      <c r="AI15" s="61">
        <v>1.88</v>
      </c>
      <c r="AJ15" s="103">
        <v>0.24</v>
      </c>
      <c r="AK15" s="61">
        <v>1.63</v>
      </c>
      <c r="AL15" s="103">
        <v>-0.09</v>
      </c>
      <c r="AM15" s="61">
        <v>1.73</v>
      </c>
      <c r="AN15" s="104">
        <v>0.21</v>
      </c>
    </row>
    <row r="16" s="25" customFormat="1" ht="15" customHeight="1" spans="1:40">
      <c r="A16" s="3" t="s">
        <v>80</v>
      </c>
      <c r="B16" s="38" t="str">
        <f t="shared" si="0"/>
        <v>0</v>
      </c>
      <c r="C16" s="38" t="str">
        <f t="shared" si="1"/>
        <v>0</v>
      </c>
      <c r="D16" s="38" t="str">
        <f t="shared" si="2"/>
        <v>0</v>
      </c>
      <c r="E16" s="54" t="s">
        <v>80</v>
      </c>
      <c r="F16" s="55">
        <v>53.75</v>
      </c>
      <c r="G16" s="56">
        <v>0.3103</v>
      </c>
      <c r="H16" s="55">
        <v>41.02</v>
      </c>
      <c r="I16" s="56">
        <v>0.4158</v>
      </c>
      <c r="J16" s="55">
        <v>28.97</v>
      </c>
      <c r="K16" s="56">
        <v>0.2062</v>
      </c>
      <c r="L16" s="55">
        <v>24.02</v>
      </c>
      <c r="M16" s="85">
        <v>0.0618</v>
      </c>
      <c r="N16" s="54" t="s">
        <v>80</v>
      </c>
      <c r="O16" s="55">
        <v>7.17</v>
      </c>
      <c r="P16" s="56">
        <v>0.3349</v>
      </c>
      <c r="Q16" s="55">
        <v>5.38</v>
      </c>
      <c r="R16" s="56">
        <v>0.2042</v>
      </c>
      <c r="S16" s="55">
        <v>4.46</v>
      </c>
      <c r="T16" s="56">
        <v>0.278</v>
      </c>
      <c r="U16" s="55">
        <v>3.49</v>
      </c>
      <c r="V16" s="85">
        <v>0.1048</v>
      </c>
      <c r="W16" s="54" t="s">
        <v>80</v>
      </c>
      <c r="X16" s="55">
        <v>18.33</v>
      </c>
      <c r="Y16" s="56">
        <v>-0.0039</v>
      </c>
      <c r="Z16" s="55">
        <v>18.4</v>
      </c>
      <c r="AA16" s="56">
        <v>1.7206</v>
      </c>
      <c r="AB16" s="55">
        <v>6.76</v>
      </c>
      <c r="AC16" s="56">
        <v>-0.0032</v>
      </c>
      <c r="AD16" s="55">
        <v>6.79</v>
      </c>
      <c r="AE16" s="85">
        <v>-0.0398</v>
      </c>
      <c r="AF16" s="54" t="s">
        <v>80</v>
      </c>
      <c r="AG16" s="55">
        <v>2.24</v>
      </c>
      <c r="AH16" s="105">
        <v>-0.42</v>
      </c>
      <c r="AI16" s="55">
        <v>2.66</v>
      </c>
      <c r="AJ16" s="105">
        <v>-0.12</v>
      </c>
      <c r="AK16" s="55">
        <v>2.78</v>
      </c>
      <c r="AL16" s="105">
        <v>0.9</v>
      </c>
      <c r="AM16" s="55">
        <v>1.88</v>
      </c>
      <c r="AN16" s="106">
        <v>-0.05</v>
      </c>
    </row>
    <row r="17" s="25" customFormat="1" ht="15" customHeight="1" spans="1:40">
      <c r="A17" s="3" t="s">
        <v>38</v>
      </c>
      <c r="B17" s="38" t="str">
        <f t="shared" si="0"/>
        <v>0</v>
      </c>
      <c r="C17" s="38" t="str">
        <f t="shared" si="1"/>
        <v>0</v>
      </c>
      <c r="D17" s="38" t="str">
        <f t="shared" si="2"/>
        <v>0</v>
      </c>
      <c r="E17" s="57" t="s">
        <v>38</v>
      </c>
      <c r="F17" s="58">
        <v>306.63</v>
      </c>
      <c r="G17" s="59">
        <v>0.1017</v>
      </c>
      <c r="H17" s="58">
        <v>278.32</v>
      </c>
      <c r="I17" s="59">
        <v>0.0966</v>
      </c>
      <c r="J17" s="58">
        <v>253.8</v>
      </c>
      <c r="K17" s="59">
        <v>0.1681</v>
      </c>
      <c r="L17" s="58">
        <v>217.27</v>
      </c>
      <c r="M17" s="86">
        <v>0.1467</v>
      </c>
      <c r="N17" s="57" t="s">
        <v>38</v>
      </c>
      <c r="O17" s="58">
        <v>56.33</v>
      </c>
      <c r="P17" s="59">
        <v>0.1531</v>
      </c>
      <c r="Q17" s="58">
        <v>48.85</v>
      </c>
      <c r="R17" s="59">
        <v>0.0938</v>
      </c>
      <c r="S17" s="58">
        <v>44.66</v>
      </c>
      <c r="T17" s="59">
        <v>0.2279</v>
      </c>
      <c r="U17" s="58">
        <v>36.37</v>
      </c>
      <c r="V17" s="86">
        <v>0.172</v>
      </c>
      <c r="W17" s="57" t="s">
        <v>38</v>
      </c>
      <c r="X17" s="58">
        <v>38.76</v>
      </c>
      <c r="Y17" s="59">
        <v>0.1378</v>
      </c>
      <c r="Z17" s="58">
        <v>34.06</v>
      </c>
      <c r="AA17" s="59">
        <v>0.1044</v>
      </c>
      <c r="AB17" s="58">
        <v>30.84</v>
      </c>
      <c r="AC17" s="59">
        <v>0.273</v>
      </c>
      <c r="AD17" s="58">
        <v>24.23</v>
      </c>
      <c r="AE17" s="86">
        <v>0.3352</v>
      </c>
      <c r="AF17" s="57" t="s">
        <v>38</v>
      </c>
      <c r="AG17" s="58">
        <v>1.77</v>
      </c>
      <c r="AH17" s="107">
        <v>-0.33</v>
      </c>
      <c r="AI17" s="58">
        <v>2.09</v>
      </c>
      <c r="AJ17" s="107">
        <v>0.07</v>
      </c>
      <c r="AK17" s="58">
        <v>2.03</v>
      </c>
      <c r="AL17" s="107">
        <v>0.72</v>
      </c>
      <c r="AM17" s="58">
        <v>1.31</v>
      </c>
      <c r="AN17" s="108">
        <v>0.2</v>
      </c>
    </row>
    <row r="18" s="25" customFormat="1" ht="15" customHeight="1" spans="1:40">
      <c r="A18" s="3" t="s">
        <v>56</v>
      </c>
      <c r="B18" s="38" t="str">
        <f t="shared" si="0"/>
        <v>0</v>
      </c>
      <c r="C18" s="38" t="str">
        <f t="shared" si="1"/>
        <v>0</v>
      </c>
      <c r="D18" s="38" t="str">
        <f t="shared" si="2"/>
        <v>0</v>
      </c>
      <c r="E18" s="39" t="s">
        <v>56</v>
      </c>
      <c r="F18" s="60">
        <v>2596.65</v>
      </c>
      <c r="G18" s="41">
        <v>0.0787</v>
      </c>
      <c r="H18" s="60">
        <v>2407.12</v>
      </c>
      <c r="I18" s="41">
        <v>0.5135</v>
      </c>
      <c r="J18" s="60">
        <v>1590.44</v>
      </c>
      <c r="K18" s="41">
        <v>0.1488</v>
      </c>
      <c r="L18" s="60">
        <v>1384.41</v>
      </c>
      <c r="M18" s="79">
        <v>-0.0228</v>
      </c>
      <c r="N18" s="39" t="s">
        <v>56</v>
      </c>
      <c r="O18" s="40">
        <v>193.9</v>
      </c>
      <c r="P18" s="41">
        <v>0.1062</v>
      </c>
      <c r="Q18" s="40">
        <v>175.29</v>
      </c>
      <c r="R18" s="41">
        <v>0.3028</v>
      </c>
      <c r="S18" s="40">
        <v>134.55</v>
      </c>
      <c r="T18" s="41">
        <v>0.2972</v>
      </c>
      <c r="U18" s="40">
        <v>103.72</v>
      </c>
      <c r="V18" s="79">
        <v>0.1078</v>
      </c>
      <c r="W18" s="39" t="s">
        <v>56</v>
      </c>
      <c r="X18" s="40">
        <v>296.45</v>
      </c>
      <c r="Y18" s="41">
        <v>0.0068</v>
      </c>
      <c r="Z18" s="40">
        <v>294.44</v>
      </c>
      <c r="AA18" s="41">
        <v>0.8842</v>
      </c>
      <c r="AB18" s="40">
        <v>156.27</v>
      </c>
      <c r="AC18" s="41">
        <v>0.4955</v>
      </c>
      <c r="AD18" s="40">
        <v>104.49</v>
      </c>
      <c r="AE18" s="79">
        <v>-0.3043</v>
      </c>
      <c r="AF18" s="39" t="s">
        <v>56</v>
      </c>
      <c r="AG18" s="40">
        <v>1.4</v>
      </c>
      <c r="AH18" s="93">
        <v>-0.02</v>
      </c>
      <c r="AI18" s="40">
        <v>1.43</v>
      </c>
      <c r="AJ18" s="93">
        <v>0.07</v>
      </c>
      <c r="AK18" s="40">
        <v>1.35</v>
      </c>
      <c r="AL18" s="93">
        <v>0.06</v>
      </c>
      <c r="AM18" s="40">
        <v>1.3</v>
      </c>
      <c r="AN18" s="94">
        <v>0.12</v>
      </c>
    </row>
    <row r="19" s="25" customFormat="1" ht="15" customHeight="1" spans="1:40">
      <c r="A19" s="3" t="s">
        <v>60</v>
      </c>
      <c r="B19" s="38" t="str">
        <f t="shared" si="0"/>
        <v>0</v>
      </c>
      <c r="C19" s="38" t="str">
        <f t="shared" si="1"/>
        <v>0</v>
      </c>
      <c r="D19" s="38" t="str">
        <f t="shared" si="2"/>
        <v>0</v>
      </c>
      <c r="E19" s="42" t="s">
        <v>60</v>
      </c>
      <c r="F19" s="43">
        <v>38.58</v>
      </c>
      <c r="G19" s="44">
        <v>0.1369</v>
      </c>
      <c r="H19" s="43">
        <v>33.94</v>
      </c>
      <c r="I19" s="44">
        <v>0.1246</v>
      </c>
      <c r="J19" s="43">
        <v>30.18</v>
      </c>
      <c r="K19" s="44">
        <v>0.0908</v>
      </c>
      <c r="L19" s="43">
        <v>27.67</v>
      </c>
      <c r="M19" s="80">
        <v>0.106</v>
      </c>
      <c r="N19" s="42" t="s">
        <v>60</v>
      </c>
      <c r="O19" s="43">
        <v>8.59</v>
      </c>
      <c r="P19" s="44">
        <v>0.3164</v>
      </c>
      <c r="Q19" s="43">
        <v>6.52</v>
      </c>
      <c r="R19" s="44">
        <v>-0.0861</v>
      </c>
      <c r="S19" s="43">
        <v>7.14</v>
      </c>
      <c r="T19" s="44">
        <v>0.1763</v>
      </c>
      <c r="U19" s="43">
        <v>6.07</v>
      </c>
      <c r="V19" s="80">
        <v>0.0923</v>
      </c>
      <c r="W19" s="42" t="s">
        <v>60</v>
      </c>
      <c r="X19" s="43">
        <v>4.1</v>
      </c>
      <c r="Y19" s="44">
        <v>0.1345</v>
      </c>
      <c r="Z19" s="43">
        <v>3.62</v>
      </c>
      <c r="AA19" s="44">
        <v>0.2195</v>
      </c>
      <c r="AB19" s="43">
        <v>2.97</v>
      </c>
      <c r="AC19" s="44">
        <v>0.0953</v>
      </c>
      <c r="AD19" s="43">
        <v>2.71</v>
      </c>
      <c r="AE19" s="80">
        <v>0.2614</v>
      </c>
      <c r="AF19" s="42" t="s">
        <v>60</v>
      </c>
      <c r="AG19" s="43">
        <v>2.96</v>
      </c>
      <c r="AH19" s="100">
        <v>-0.08</v>
      </c>
      <c r="AI19" s="43">
        <v>3.04</v>
      </c>
      <c r="AJ19" s="100">
        <v>0.57</v>
      </c>
      <c r="AK19" s="43">
        <v>2.47</v>
      </c>
      <c r="AL19" s="100">
        <v>0.01</v>
      </c>
      <c r="AM19" s="43">
        <v>2.46</v>
      </c>
      <c r="AN19" s="101">
        <v>0.96</v>
      </c>
    </row>
    <row r="20" s="25" customFormat="1" ht="15" customHeight="1" spans="1:40">
      <c r="A20" s="3" t="s">
        <v>87</v>
      </c>
      <c r="B20" s="38" t="str">
        <f t="shared" si="0"/>
        <v>0</v>
      </c>
      <c r="C20" s="38" t="str">
        <f t="shared" si="1"/>
        <v>0</v>
      </c>
      <c r="D20" s="38" t="str">
        <f t="shared" si="2"/>
        <v>0</v>
      </c>
      <c r="E20" s="45" t="s">
        <v>87</v>
      </c>
      <c r="F20" s="46">
        <v>789.76</v>
      </c>
      <c r="G20" s="47">
        <v>0.1692</v>
      </c>
      <c r="H20" s="46">
        <v>675.47</v>
      </c>
      <c r="I20" s="47">
        <v>0.12</v>
      </c>
      <c r="J20" s="46">
        <v>603.12</v>
      </c>
      <c r="K20" s="47">
        <v>0.0075</v>
      </c>
      <c r="L20" s="46">
        <v>598.63</v>
      </c>
      <c r="M20" s="81">
        <v>0.1094</v>
      </c>
      <c r="N20" s="45" t="s">
        <v>87</v>
      </c>
      <c r="O20" s="46">
        <v>11.01</v>
      </c>
      <c r="P20" s="47">
        <v>0.4005</v>
      </c>
      <c r="Q20" s="46">
        <v>7.86</v>
      </c>
      <c r="R20" s="47">
        <v>0.374</v>
      </c>
      <c r="S20" s="46">
        <v>5.72</v>
      </c>
      <c r="T20" s="47">
        <v>-0.0001</v>
      </c>
      <c r="U20" s="46">
        <v>5.72</v>
      </c>
      <c r="V20" s="81">
        <v>0.1153</v>
      </c>
      <c r="W20" s="45" t="s">
        <v>87</v>
      </c>
      <c r="X20" s="46">
        <v>55.07</v>
      </c>
      <c r="Y20" s="47">
        <v>0.1869</v>
      </c>
      <c r="Z20" s="46">
        <v>46.4</v>
      </c>
      <c r="AA20" s="47">
        <v>0.0726</v>
      </c>
      <c r="AB20" s="46">
        <v>43.26</v>
      </c>
      <c r="AC20" s="47">
        <v>-0.0723</v>
      </c>
      <c r="AD20" s="46">
        <v>46.63</v>
      </c>
      <c r="AE20" s="81">
        <v>-0.0689</v>
      </c>
      <c r="AF20" s="45" t="s">
        <v>87</v>
      </c>
      <c r="AG20" s="46">
        <v>1.28</v>
      </c>
      <c r="AH20" s="89">
        <v>0.02</v>
      </c>
      <c r="AI20" s="46">
        <v>1.25</v>
      </c>
      <c r="AJ20" s="89">
        <v>-0.1</v>
      </c>
      <c r="AK20" s="46">
        <v>1.35</v>
      </c>
      <c r="AL20" s="89">
        <v>0.27</v>
      </c>
      <c r="AM20" s="46">
        <v>1.09</v>
      </c>
      <c r="AN20" s="90">
        <v>-0.03</v>
      </c>
    </row>
    <row r="21" s="25" customFormat="1" ht="15" customHeight="1" spans="1:40">
      <c r="A21" s="3" t="s">
        <v>94</v>
      </c>
      <c r="B21" s="38" t="str">
        <f t="shared" si="0"/>
        <v>0</v>
      </c>
      <c r="C21" s="38" t="str">
        <f t="shared" si="1"/>
        <v>0</v>
      </c>
      <c r="D21" s="38" t="str">
        <f t="shared" si="2"/>
        <v>0</v>
      </c>
      <c r="E21" s="48" t="s">
        <v>94</v>
      </c>
      <c r="F21" s="49">
        <v>47.66</v>
      </c>
      <c r="G21" s="50">
        <v>0.2833</v>
      </c>
      <c r="H21" s="49">
        <v>37.14</v>
      </c>
      <c r="I21" s="50">
        <v>0.6085</v>
      </c>
      <c r="J21" s="49">
        <v>23.09</v>
      </c>
      <c r="K21" s="50">
        <v>0.2245</v>
      </c>
      <c r="L21" s="49">
        <v>18.86</v>
      </c>
      <c r="M21" s="82">
        <v>0.297</v>
      </c>
      <c r="N21" s="48" t="s">
        <v>94</v>
      </c>
      <c r="O21" s="49">
        <v>4.44</v>
      </c>
      <c r="P21" s="50">
        <v>0.0336</v>
      </c>
      <c r="Q21" s="49">
        <v>4.29</v>
      </c>
      <c r="R21" s="50">
        <v>0.1335</v>
      </c>
      <c r="S21" s="49">
        <v>3.79</v>
      </c>
      <c r="T21" s="50">
        <v>0.2551</v>
      </c>
      <c r="U21" s="49">
        <v>3.02</v>
      </c>
      <c r="V21" s="82">
        <v>0.9975</v>
      </c>
      <c r="W21" s="48" t="s">
        <v>94</v>
      </c>
      <c r="X21" s="49">
        <v>16.67</v>
      </c>
      <c r="Y21" s="50">
        <v>0.3417</v>
      </c>
      <c r="Z21" s="49">
        <v>12.43</v>
      </c>
      <c r="AA21" s="50">
        <v>0.1037</v>
      </c>
      <c r="AB21" s="49">
        <v>11.26</v>
      </c>
      <c r="AC21" s="50">
        <v>0.2819</v>
      </c>
      <c r="AD21" s="49">
        <v>8.78</v>
      </c>
      <c r="AE21" s="82">
        <v>-0.0135</v>
      </c>
      <c r="AF21" s="48" t="s">
        <v>94</v>
      </c>
      <c r="AG21" s="49">
        <v>4.06</v>
      </c>
      <c r="AH21" s="83">
        <v>0.39</v>
      </c>
      <c r="AI21" s="49">
        <v>3.66</v>
      </c>
      <c r="AJ21" s="83">
        <v>-0.09</v>
      </c>
      <c r="AK21" s="49">
        <v>3.75</v>
      </c>
      <c r="AL21" s="83">
        <v>-4.05</v>
      </c>
      <c r="AM21" s="49">
        <v>7.8</v>
      </c>
      <c r="AN21" s="102">
        <v>-1.55</v>
      </c>
    </row>
    <row r="22" s="25" customFormat="1" ht="15" customHeight="1" spans="1:40">
      <c r="A22" s="3" t="s">
        <v>96</v>
      </c>
      <c r="B22" s="38" t="str">
        <f t="shared" si="0"/>
        <v>0</v>
      </c>
      <c r="C22" s="38" t="str">
        <f t="shared" si="1"/>
        <v>0</v>
      </c>
      <c r="D22" s="38" t="str">
        <f t="shared" si="2"/>
        <v>0</v>
      </c>
      <c r="E22" s="51" t="s">
        <v>96</v>
      </c>
      <c r="F22" s="61">
        <v>15.46</v>
      </c>
      <c r="G22" s="53">
        <v>0.3105</v>
      </c>
      <c r="H22" s="61">
        <v>11.8</v>
      </c>
      <c r="I22" s="53">
        <v>0.3425</v>
      </c>
      <c r="J22" s="61">
        <v>8.79</v>
      </c>
      <c r="K22" s="53">
        <v>0.1527</v>
      </c>
      <c r="L22" s="61">
        <v>7.62</v>
      </c>
      <c r="M22" s="84">
        <v>0.3059</v>
      </c>
      <c r="N22" s="51" t="s">
        <v>96</v>
      </c>
      <c r="O22" s="61">
        <v>0.51</v>
      </c>
      <c r="P22" s="53">
        <v>0.2333</v>
      </c>
      <c r="Q22" s="61">
        <v>0.41</v>
      </c>
      <c r="R22" s="53">
        <v>1.2119</v>
      </c>
      <c r="S22" s="61">
        <v>0.19</v>
      </c>
      <c r="T22" s="53">
        <v>0.5839</v>
      </c>
      <c r="U22" s="61">
        <v>0.12</v>
      </c>
      <c r="V22" s="84">
        <v>0.5522</v>
      </c>
      <c r="W22" s="51" t="s">
        <v>96</v>
      </c>
      <c r="X22" s="61">
        <v>0.23</v>
      </c>
      <c r="Y22" s="53">
        <v>-0.08</v>
      </c>
      <c r="Z22" s="61">
        <v>0.25</v>
      </c>
      <c r="AA22" s="53">
        <v>-0.0462</v>
      </c>
      <c r="AB22" s="61">
        <v>0.26</v>
      </c>
      <c r="AC22" s="53">
        <v>0.2736</v>
      </c>
      <c r="AD22" s="61">
        <v>0.2</v>
      </c>
      <c r="AE22" s="84">
        <v>-0.084</v>
      </c>
      <c r="AF22" s="51" t="s">
        <v>96</v>
      </c>
      <c r="AG22" s="61">
        <v>1.74</v>
      </c>
      <c r="AH22" s="103">
        <v>-1.37</v>
      </c>
      <c r="AI22" s="61">
        <v>3.11</v>
      </c>
      <c r="AJ22" s="103">
        <v>0.16</v>
      </c>
      <c r="AK22" s="61">
        <v>2.95</v>
      </c>
      <c r="AL22" s="103">
        <v>0.4</v>
      </c>
      <c r="AM22" s="61">
        <v>2.56</v>
      </c>
      <c r="AN22" s="104">
        <v>-0.43</v>
      </c>
    </row>
    <row r="23" s="25" customFormat="1" ht="15" customHeight="1" spans="1:40">
      <c r="A23" s="3" t="s">
        <v>99</v>
      </c>
      <c r="B23" s="38" t="str">
        <f t="shared" si="0"/>
        <v>0</v>
      </c>
      <c r="C23" s="38" t="str">
        <f t="shared" si="1"/>
        <v>0</v>
      </c>
      <c r="D23" s="38" t="str">
        <f t="shared" si="2"/>
        <v>0</v>
      </c>
      <c r="E23" s="54" t="s">
        <v>99</v>
      </c>
      <c r="F23" s="55">
        <v>174.18</v>
      </c>
      <c r="G23" s="56">
        <v>0.2589</v>
      </c>
      <c r="H23" s="55">
        <v>138.36</v>
      </c>
      <c r="I23" s="56">
        <v>0.2472</v>
      </c>
      <c r="J23" s="55">
        <v>110.94</v>
      </c>
      <c r="K23" s="56">
        <v>0.1908</v>
      </c>
      <c r="L23" s="55">
        <v>93.16</v>
      </c>
      <c r="M23" s="85">
        <v>0.2501</v>
      </c>
      <c r="N23" s="54" t="s">
        <v>99</v>
      </c>
      <c r="O23" s="55">
        <v>37.73</v>
      </c>
      <c r="P23" s="56">
        <v>0.1832</v>
      </c>
      <c r="Q23" s="55">
        <v>31.89</v>
      </c>
      <c r="R23" s="56">
        <v>0.3717</v>
      </c>
      <c r="S23" s="55">
        <v>23.25</v>
      </c>
      <c r="T23" s="56">
        <v>0.111</v>
      </c>
      <c r="U23" s="55">
        <v>20.92</v>
      </c>
      <c r="V23" s="85">
        <v>0.1651</v>
      </c>
      <c r="W23" s="54" t="s">
        <v>99</v>
      </c>
      <c r="X23" s="55">
        <v>10.31</v>
      </c>
      <c r="Y23" s="56">
        <v>0.305</v>
      </c>
      <c r="Z23" s="55">
        <v>7.9</v>
      </c>
      <c r="AA23" s="56">
        <v>0.2405</v>
      </c>
      <c r="AB23" s="55">
        <v>6.37</v>
      </c>
      <c r="AC23" s="56">
        <v>0.2173</v>
      </c>
      <c r="AD23" s="55">
        <v>5.23</v>
      </c>
      <c r="AE23" s="85">
        <v>-0.0507</v>
      </c>
      <c r="AF23" s="54" t="s">
        <v>99</v>
      </c>
      <c r="AG23" s="55">
        <v>7.25</v>
      </c>
      <c r="AH23" s="105">
        <v>0.19</v>
      </c>
      <c r="AI23" s="55">
        <v>7.06</v>
      </c>
      <c r="AJ23" s="105">
        <v>-1.29</v>
      </c>
      <c r="AK23" s="55">
        <v>8.35</v>
      </c>
      <c r="AL23" s="105">
        <v>-0.56</v>
      </c>
      <c r="AM23" s="55">
        <v>8.91</v>
      </c>
      <c r="AN23" s="106">
        <v>-1.17</v>
      </c>
    </row>
    <row r="24" s="25" customFormat="1" ht="15" customHeight="1" spans="1:40">
      <c r="A24" s="3" t="s">
        <v>77</v>
      </c>
      <c r="B24" s="38" t="str">
        <f t="shared" si="0"/>
        <v>0</v>
      </c>
      <c r="C24" s="38" t="str">
        <f t="shared" si="1"/>
        <v>0</v>
      </c>
      <c r="D24" s="38" t="str">
        <f t="shared" si="2"/>
        <v>0</v>
      </c>
      <c r="E24" s="57" t="s">
        <v>77</v>
      </c>
      <c r="F24" s="58">
        <v>74.25</v>
      </c>
      <c r="G24" s="59">
        <v>0.0581</v>
      </c>
      <c r="H24" s="58">
        <v>70.17</v>
      </c>
      <c r="I24" s="59">
        <v>0.211</v>
      </c>
      <c r="J24" s="58">
        <v>57.95</v>
      </c>
      <c r="K24" s="59">
        <v>0.2756</v>
      </c>
      <c r="L24" s="58">
        <v>45.43</v>
      </c>
      <c r="M24" s="86">
        <v>0.2658</v>
      </c>
      <c r="N24" s="57" t="s">
        <v>77</v>
      </c>
      <c r="O24" s="58">
        <v>4.47</v>
      </c>
      <c r="P24" s="59">
        <v>0.2037</v>
      </c>
      <c r="Q24" s="58">
        <v>3.71</v>
      </c>
      <c r="R24" s="59">
        <v>0.1193</v>
      </c>
      <c r="S24" s="58">
        <v>3.32</v>
      </c>
      <c r="T24" s="59">
        <v>0.035</v>
      </c>
      <c r="U24" s="58">
        <v>3.2</v>
      </c>
      <c r="V24" s="86">
        <v>0.0537</v>
      </c>
      <c r="W24" s="57" t="s">
        <v>77</v>
      </c>
      <c r="X24" s="58">
        <v>13.47</v>
      </c>
      <c r="Y24" s="59">
        <v>0.2105</v>
      </c>
      <c r="Z24" s="58">
        <v>11.13</v>
      </c>
      <c r="AA24" s="59">
        <v>0.217</v>
      </c>
      <c r="AB24" s="58">
        <v>9.14</v>
      </c>
      <c r="AC24" s="59">
        <v>0.2674</v>
      </c>
      <c r="AD24" s="58">
        <v>7.22</v>
      </c>
      <c r="AE24" s="86">
        <v>0.3031</v>
      </c>
      <c r="AF24" s="57" t="s">
        <v>77</v>
      </c>
      <c r="AG24" s="58">
        <v>2.47</v>
      </c>
      <c r="AH24" s="107">
        <v>-0.11</v>
      </c>
      <c r="AI24" s="58">
        <v>2.58</v>
      </c>
      <c r="AJ24" s="107">
        <v>0.16</v>
      </c>
      <c r="AK24" s="58">
        <v>2.42</v>
      </c>
      <c r="AL24" s="107">
        <v>0.25</v>
      </c>
      <c r="AM24" s="58">
        <v>2.17</v>
      </c>
      <c r="AN24" s="108">
        <v>-0.48</v>
      </c>
    </row>
    <row r="25" s="25" customFormat="1" ht="15" customHeight="1" spans="1:40">
      <c r="A25" s="3" t="s">
        <v>35</v>
      </c>
      <c r="B25" s="38" t="str">
        <f t="shared" si="0"/>
        <v>0</v>
      </c>
      <c r="C25" s="38" t="str">
        <f t="shared" si="1"/>
        <v>0</v>
      </c>
      <c r="D25" s="38" t="str">
        <f t="shared" si="2"/>
        <v>0</v>
      </c>
      <c r="E25" s="62"/>
      <c r="F25" s="63"/>
      <c r="G25" s="64"/>
      <c r="H25" s="63"/>
      <c r="I25" s="64"/>
      <c r="J25" s="63"/>
      <c r="K25" s="64"/>
      <c r="L25" s="63"/>
      <c r="M25" s="64"/>
      <c r="N25" s="62"/>
      <c r="O25" s="63"/>
      <c r="P25" s="64"/>
      <c r="Q25" s="63"/>
      <c r="R25" s="64"/>
      <c r="S25" s="63"/>
      <c r="T25" s="64"/>
      <c r="U25" s="63"/>
      <c r="V25" s="64"/>
      <c r="W25" s="62"/>
      <c r="X25" s="63"/>
      <c r="Y25" s="64"/>
      <c r="Z25" s="63"/>
      <c r="AA25" s="64"/>
      <c r="AB25" s="63"/>
      <c r="AC25" s="64"/>
      <c r="AD25" s="63"/>
      <c r="AE25" s="64"/>
      <c r="AF25" s="62"/>
      <c r="AG25" s="63"/>
      <c r="AH25" s="109"/>
      <c r="AI25" s="63"/>
      <c r="AJ25" s="109"/>
      <c r="AK25" s="63"/>
      <c r="AL25" s="109"/>
      <c r="AM25" s="63"/>
      <c r="AN25" s="110"/>
    </row>
    <row r="26" s="25" customFormat="1" ht="15" customHeight="1" spans="1:40">
      <c r="A26" s="3" t="s">
        <v>105</v>
      </c>
      <c r="B26" s="38" t="str">
        <f t="shared" si="0"/>
        <v>0</v>
      </c>
      <c r="C26" s="38" t="str">
        <f t="shared" si="1"/>
        <v>0</v>
      </c>
      <c r="D26" s="38" t="str">
        <f t="shared" si="2"/>
        <v>0</v>
      </c>
      <c r="E26" s="39" t="s">
        <v>105</v>
      </c>
      <c r="F26" s="40">
        <v>178.51</v>
      </c>
      <c r="G26" s="41">
        <v>0.2583</v>
      </c>
      <c r="H26" s="40">
        <v>141.87</v>
      </c>
      <c r="I26" s="41">
        <v>0.1875</v>
      </c>
      <c r="J26" s="40">
        <v>119.47</v>
      </c>
      <c r="K26" s="41">
        <v>0.0951</v>
      </c>
      <c r="L26" s="40">
        <v>109.1</v>
      </c>
      <c r="M26" s="79">
        <v>0.1442</v>
      </c>
      <c r="N26" s="39" t="s">
        <v>105</v>
      </c>
      <c r="O26" s="40">
        <v>17.28</v>
      </c>
      <c r="P26" s="41">
        <v>0.2388</v>
      </c>
      <c r="Q26" s="40">
        <v>13.95</v>
      </c>
      <c r="R26" s="41">
        <v>0.2021</v>
      </c>
      <c r="S26" s="40">
        <v>11.6</v>
      </c>
      <c r="T26" s="41">
        <v>0.0974</v>
      </c>
      <c r="U26" s="40">
        <v>10.57</v>
      </c>
      <c r="V26" s="79">
        <v>0.0527</v>
      </c>
      <c r="W26" s="39" t="s">
        <v>105</v>
      </c>
      <c r="X26" s="40">
        <v>23.62</v>
      </c>
      <c r="Y26" s="41">
        <v>0.0804</v>
      </c>
      <c r="Z26" s="40">
        <v>21.86</v>
      </c>
      <c r="AA26" s="41">
        <v>0.2881</v>
      </c>
      <c r="AB26" s="40">
        <v>16.97</v>
      </c>
      <c r="AC26" s="41">
        <v>0.1894</v>
      </c>
      <c r="AD26" s="40">
        <v>14.27</v>
      </c>
      <c r="AE26" s="79">
        <v>-0.0904</v>
      </c>
      <c r="AF26" s="39" t="s">
        <v>105</v>
      </c>
      <c r="AG26" s="40">
        <v>1.91</v>
      </c>
      <c r="AH26" s="93">
        <v>-0.04</v>
      </c>
      <c r="AI26" s="40">
        <v>1.95</v>
      </c>
      <c r="AJ26" s="93">
        <v>-0.03</v>
      </c>
      <c r="AK26" s="40">
        <v>1.99</v>
      </c>
      <c r="AL26" s="93">
        <v>-0.56</v>
      </c>
      <c r="AM26" s="40">
        <v>2.55</v>
      </c>
      <c r="AN26" s="94">
        <v>0.29</v>
      </c>
    </row>
    <row r="27" s="25" customFormat="1" ht="15" customHeight="1" spans="1:40">
      <c r="A27" s="3" t="s">
        <v>92</v>
      </c>
      <c r="B27" s="38" t="str">
        <f t="shared" si="0"/>
        <v>0</v>
      </c>
      <c r="C27" s="38" t="str">
        <f t="shared" si="1"/>
        <v>0</v>
      </c>
      <c r="D27" s="38" t="str">
        <f t="shared" si="2"/>
        <v>0</v>
      </c>
      <c r="E27" s="42" t="s">
        <v>92</v>
      </c>
      <c r="F27" s="43">
        <v>86.86</v>
      </c>
      <c r="G27" s="44">
        <v>0.2465</v>
      </c>
      <c r="H27" s="43">
        <v>69.68</v>
      </c>
      <c r="I27" s="44">
        <v>0.1581</v>
      </c>
      <c r="J27" s="43">
        <v>60.17</v>
      </c>
      <c r="K27" s="44">
        <v>0.1454</v>
      </c>
      <c r="L27" s="43">
        <v>52.53</v>
      </c>
      <c r="M27" s="80">
        <v>0.1296</v>
      </c>
      <c r="N27" s="42" t="s">
        <v>92</v>
      </c>
      <c r="O27" s="43">
        <v>0.3</v>
      </c>
      <c r="P27" s="44">
        <v>0.3241</v>
      </c>
      <c r="Q27" s="43">
        <v>0.22</v>
      </c>
      <c r="R27" s="44">
        <v>0.8284</v>
      </c>
      <c r="S27" s="43">
        <v>0.12</v>
      </c>
      <c r="T27" s="44">
        <v>1.4832</v>
      </c>
      <c r="U27" s="43" t="s">
        <v>133</v>
      </c>
      <c r="V27" s="80">
        <v>0.1406</v>
      </c>
      <c r="W27" s="42" t="s">
        <v>92</v>
      </c>
      <c r="X27" s="43">
        <v>24.07</v>
      </c>
      <c r="Y27" s="44">
        <v>0.1663</v>
      </c>
      <c r="Z27" s="43">
        <v>20.64</v>
      </c>
      <c r="AA27" s="44">
        <v>0.1554</v>
      </c>
      <c r="AB27" s="43">
        <v>17.86</v>
      </c>
      <c r="AC27" s="44">
        <v>0.279</v>
      </c>
      <c r="AD27" s="43">
        <v>13.97</v>
      </c>
      <c r="AE27" s="80">
        <v>0.1381</v>
      </c>
      <c r="AF27" s="42" t="s">
        <v>92</v>
      </c>
      <c r="AG27" s="43">
        <v>2.1</v>
      </c>
      <c r="AH27" s="100">
        <v>0.15</v>
      </c>
      <c r="AI27" s="43">
        <v>1.95</v>
      </c>
      <c r="AJ27" s="100">
        <v>0.16</v>
      </c>
      <c r="AK27" s="43">
        <v>1.79</v>
      </c>
      <c r="AL27" s="100">
        <v>-0.24</v>
      </c>
      <c r="AM27" s="43">
        <v>2.02</v>
      </c>
      <c r="AN27" s="101">
        <v>0.19</v>
      </c>
    </row>
    <row r="28" s="25" customFormat="1" ht="15" customHeight="1" spans="1:40">
      <c r="A28" s="3" t="s">
        <v>119</v>
      </c>
      <c r="B28" s="38" t="str">
        <f t="shared" si="0"/>
        <v>0</v>
      </c>
      <c r="C28" s="38" t="str">
        <f t="shared" si="1"/>
        <v>0</v>
      </c>
      <c r="D28" s="38" t="str">
        <f t="shared" si="2"/>
        <v>0</v>
      </c>
      <c r="E28" s="45" t="s">
        <v>119</v>
      </c>
      <c r="F28" s="46">
        <v>32.17</v>
      </c>
      <c r="G28" s="47">
        <v>0.3584</v>
      </c>
      <c r="H28" s="46">
        <v>23.68</v>
      </c>
      <c r="I28" s="47">
        <v>0.2241</v>
      </c>
      <c r="J28" s="46">
        <v>19.35</v>
      </c>
      <c r="K28" s="47">
        <v>0.3145</v>
      </c>
      <c r="L28" s="46">
        <v>14.72</v>
      </c>
      <c r="M28" s="81">
        <v>0.1836</v>
      </c>
      <c r="N28" s="45" t="s">
        <v>119</v>
      </c>
      <c r="O28" s="46">
        <v>9.1</v>
      </c>
      <c r="P28" s="47">
        <v>0.1689</v>
      </c>
      <c r="Q28" s="46">
        <v>7.78</v>
      </c>
      <c r="R28" s="47">
        <v>1.6945</v>
      </c>
      <c r="S28" s="46">
        <v>2.89</v>
      </c>
      <c r="T28" s="47">
        <v>1.286</v>
      </c>
      <c r="U28" s="46">
        <v>1.26</v>
      </c>
      <c r="V28" s="81">
        <v>-0.1721</v>
      </c>
      <c r="W28" s="45" t="s">
        <v>119</v>
      </c>
      <c r="X28" s="46">
        <v>12.04</v>
      </c>
      <c r="Y28" s="47">
        <v>-0.006</v>
      </c>
      <c r="Z28" s="46">
        <v>12.11</v>
      </c>
      <c r="AA28" s="47">
        <v>0.3149</v>
      </c>
      <c r="AB28" s="46">
        <v>9.21</v>
      </c>
      <c r="AC28" s="47">
        <v>0.5402</v>
      </c>
      <c r="AD28" s="46">
        <v>5.98</v>
      </c>
      <c r="AE28" s="81">
        <v>0.2601</v>
      </c>
      <c r="AF28" s="45" t="s">
        <v>119</v>
      </c>
      <c r="AG28" s="46">
        <v>6.64</v>
      </c>
      <c r="AH28" s="89">
        <v>-3.09</v>
      </c>
      <c r="AI28" s="46">
        <v>9.73</v>
      </c>
      <c r="AJ28" s="89">
        <v>-5.07</v>
      </c>
      <c r="AK28" s="46">
        <v>14.8</v>
      </c>
      <c r="AL28" s="89">
        <v>-4.53</v>
      </c>
      <c r="AM28" s="46">
        <v>19.33</v>
      </c>
      <c r="AN28" s="90">
        <v>0.58</v>
      </c>
    </row>
    <row r="29" s="25" customFormat="1" ht="15" customHeight="1" spans="1:40">
      <c r="A29" s="3" t="s">
        <v>101</v>
      </c>
      <c r="B29" s="38" t="str">
        <f t="shared" si="0"/>
        <v>0</v>
      </c>
      <c r="C29" s="38" t="str">
        <f t="shared" si="1"/>
        <v>0</v>
      </c>
      <c r="D29" s="38" t="str">
        <f t="shared" si="2"/>
        <v>0</v>
      </c>
      <c r="E29" s="48" t="s">
        <v>101</v>
      </c>
      <c r="F29" s="65">
        <v>81.69</v>
      </c>
      <c r="G29" s="66">
        <v>0.1271</v>
      </c>
      <c r="H29" s="65">
        <v>72.48</v>
      </c>
      <c r="I29" s="66">
        <v>-0.0092</v>
      </c>
      <c r="J29" s="65">
        <v>73.15</v>
      </c>
      <c r="K29" s="66">
        <v>0.0361</v>
      </c>
      <c r="L29" s="65">
        <v>70.6</v>
      </c>
      <c r="M29" s="87">
        <v>0.1879</v>
      </c>
      <c r="N29" s="48" t="s">
        <v>101</v>
      </c>
      <c r="O29" s="65">
        <v>1.7</v>
      </c>
      <c r="P29" s="66">
        <v>0.3252</v>
      </c>
      <c r="Q29" s="65">
        <v>1.29</v>
      </c>
      <c r="R29" s="66">
        <v>0.5076</v>
      </c>
      <c r="S29" s="65">
        <v>0.85</v>
      </c>
      <c r="T29" s="66">
        <v>-0.0404</v>
      </c>
      <c r="U29" s="65">
        <v>0.89</v>
      </c>
      <c r="V29" s="87">
        <v>0.1329</v>
      </c>
      <c r="W29" s="48" t="s">
        <v>101</v>
      </c>
      <c r="X29" s="65">
        <v>7.47</v>
      </c>
      <c r="Y29" s="66">
        <v>0.4475</v>
      </c>
      <c r="Z29" s="65">
        <v>5.16</v>
      </c>
      <c r="AA29" s="66">
        <v>0.264</v>
      </c>
      <c r="AB29" s="65">
        <v>4.08</v>
      </c>
      <c r="AC29" s="66">
        <v>-0.2406</v>
      </c>
      <c r="AD29" s="65">
        <v>5.38</v>
      </c>
      <c r="AE29" s="87">
        <v>0.1194</v>
      </c>
      <c r="AF29" s="48" t="s">
        <v>101</v>
      </c>
      <c r="AG29" s="65">
        <v>1.7</v>
      </c>
      <c r="AH29" s="111">
        <v>-0.33</v>
      </c>
      <c r="AI29" s="65">
        <v>2.04</v>
      </c>
      <c r="AJ29" s="111">
        <v>0.2</v>
      </c>
      <c r="AK29" s="65">
        <v>1.84</v>
      </c>
      <c r="AL29" s="111">
        <v>0.1</v>
      </c>
      <c r="AM29" s="65">
        <v>1.75</v>
      </c>
      <c r="AN29" s="112">
        <v>-0.31</v>
      </c>
    </row>
    <row r="30" s="25" customFormat="1" ht="15" customHeight="1" spans="1:40">
      <c r="A30" s="67"/>
      <c r="B30" s="38" t="str">
        <f t="shared" si="0"/>
        <v>0</v>
      </c>
      <c r="C30" s="38" t="str">
        <f t="shared" si="1"/>
        <v>0</v>
      </c>
      <c r="D30" s="38" t="str">
        <f t="shared" si="2"/>
        <v>0</v>
      </c>
      <c r="E30" s="62"/>
      <c r="F30" s="63"/>
      <c r="G30" s="64"/>
      <c r="H30" s="63"/>
      <c r="I30" s="64"/>
      <c r="J30" s="63"/>
      <c r="K30" s="64"/>
      <c r="L30" s="63"/>
      <c r="M30" s="64"/>
      <c r="N30" s="62"/>
      <c r="O30" s="63"/>
      <c r="P30" s="64"/>
      <c r="Q30" s="63"/>
      <c r="R30" s="64"/>
      <c r="S30" s="63"/>
      <c r="T30" s="64"/>
      <c r="U30" s="63"/>
      <c r="V30" s="64"/>
      <c r="W30" s="62"/>
      <c r="X30" s="63"/>
      <c r="Y30" s="64"/>
      <c r="Z30" s="63"/>
      <c r="AA30" s="64"/>
      <c r="AB30" s="63"/>
      <c r="AC30" s="64"/>
      <c r="AD30" s="63"/>
      <c r="AE30" s="64"/>
      <c r="AF30" s="62"/>
      <c r="AG30" s="63"/>
      <c r="AH30" s="109"/>
      <c r="AI30" s="63"/>
      <c r="AJ30" s="109"/>
      <c r="AK30" s="63"/>
      <c r="AL30" s="109"/>
      <c r="AM30" s="63"/>
      <c r="AN30" s="113"/>
    </row>
    <row r="31" s="25" customFormat="1" ht="15" customHeight="1" spans="1:40">
      <c r="A31" s="67"/>
      <c r="B31" s="38" t="str">
        <f t="shared" si="0"/>
        <v>0</v>
      </c>
      <c r="C31" s="38" t="str">
        <f t="shared" si="1"/>
        <v>0</v>
      </c>
      <c r="D31" s="38" t="str">
        <f t="shared" si="2"/>
        <v>0</v>
      </c>
      <c r="E31" s="62"/>
      <c r="F31" s="63"/>
      <c r="G31" s="64"/>
      <c r="H31" s="63"/>
      <c r="I31" s="64"/>
      <c r="J31" s="63"/>
      <c r="K31" s="64"/>
      <c r="L31" s="63"/>
      <c r="M31" s="64"/>
      <c r="N31" s="62"/>
      <c r="O31" s="63"/>
      <c r="P31" s="64"/>
      <c r="Q31" s="63"/>
      <c r="R31" s="64"/>
      <c r="S31" s="63"/>
      <c r="T31" s="64"/>
      <c r="U31" s="63"/>
      <c r="V31" s="64"/>
      <c r="W31" s="62"/>
      <c r="X31" s="63"/>
      <c r="Y31" s="64"/>
      <c r="Z31" s="63"/>
      <c r="AA31" s="64"/>
      <c r="AB31" s="63"/>
      <c r="AC31" s="64"/>
      <c r="AD31" s="63"/>
      <c r="AE31" s="64"/>
      <c r="AF31" s="62"/>
      <c r="AG31" s="63"/>
      <c r="AH31" s="109"/>
      <c r="AI31" s="63"/>
      <c r="AJ31" s="109"/>
      <c r="AK31" s="63"/>
      <c r="AL31" s="109"/>
      <c r="AM31" s="63"/>
      <c r="AN31" s="110"/>
    </row>
    <row r="32" s="25" customFormat="1" ht="15" customHeight="1" spans="1:40">
      <c r="A32" s="67"/>
      <c r="B32" s="38" t="str">
        <f t="shared" si="0"/>
        <v>0</v>
      </c>
      <c r="C32" s="38" t="str">
        <f t="shared" si="1"/>
        <v>0</v>
      </c>
      <c r="D32" s="38" t="str">
        <f t="shared" si="2"/>
        <v>0</v>
      </c>
      <c r="E32" s="62"/>
      <c r="F32" s="63"/>
      <c r="G32" s="64"/>
      <c r="H32" s="63"/>
      <c r="I32" s="64"/>
      <c r="J32" s="63"/>
      <c r="K32" s="64"/>
      <c r="L32" s="63"/>
      <c r="M32" s="64"/>
      <c r="N32" s="62"/>
      <c r="O32" s="63"/>
      <c r="P32" s="64"/>
      <c r="Q32" s="63"/>
      <c r="R32" s="64"/>
      <c r="S32" s="63"/>
      <c r="T32" s="64"/>
      <c r="U32" s="63"/>
      <c r="V32" s="64"/>
      <c r="W32" s="62"/>
      <c r="X32" s="63"/>
      <c r="Y32" s="64"/>
      <c r="Z32" s="63"/>
      <c r="AA32" s="64"/>
      <c r="AB32" s="63"/>
      <c r="AC32" s="64"/>
      <c r="AD32" s="63"/>
      <c r="AE32" s="64"/>
      <c r="AF32" s="62"/>
      <c r="AG32" s="63"/>
      <c r="AH32" s="109"/>
      <c r="AI32" s="63"/>
      <c r="AJ32" s="109"/>
      <c r="AK32" s="63"/>
      <c r="AL32" s="109"/>
      <c r="AM32" s="63"/>
      <c r="AN32" s="114"/>
    </row>
    <row r="33" s="25" customFormat="1" ht="15" customHeight="1" spans="1:40">
      <c r="A33" s="68"/>
      <c r="B33" s="38" t="str">
        <f t="shared" si="0"/>
        <v>0</v>
      </c>
      <c r="C33" s="38" t="str">
        <f t="shared" si="1"/>
        <v>0</v>
      </c>
      <c r="D33" s="38" t="str">
        <f t="shared" si="2"/>
        <v>0</v>
      </c>
      <c r="E33" s="69"/>
      <c r="F33" s="28"/>
      <c r="G33" s="28"/>
      <c r="H33" s="28"/>
      <c r="I33" s="28"/>
      <c r="J33" s="28"/>
      <c r="K33" s="28"/>
      <c r="L33" s="28"/>
      <c r="M33" s="88"/>
      <c r="N33" s="69"/>
      <c r="O33" s="28"/>
      <c r="P33" s="28"/>
      <c r="Q33" s="28"/>
      <c r="R33" s="28"/>
      <c r="S33" s="28"/>
      <c r="T33" s="28"/>
      <c r="U33" s="28"/>
      <c r="V33" s="28"/>
      <c r="W33" s="69"/>
      <c r="X33" s="28"/>
      <c r="Y33" s="28"/>
      <c r="Z33" s="28"/>
      <c r="AA33" s="28"/>
      <c r="AB33" s="28"/>
      <c r="AC33" s="28"/>
      <c r="AD33" s="28"/>
      <c r="AE33" s="28"/>
      <c r="AF33" s="69"/>
      <c r="AG33" s="28"/>
      <c r="AH33" s="28"/>
      <c r="AI33" s="28"/>
      <c r="AJ33" s="28"/>
      <c r="AK33" s="28"/>
      <c r="AL33" s="28"/>
      <c r="AM33" s="115"/>
      <c r="AN33" s="116"/>
    </row>
    <row r="34" ht="15" customHeight="1" spans="1:39">
      <c r="A34" s="68"/>
      <c r="B34" s="38" t="str">
        <f t="shared" si="0"/>
        <v>0</v>
      </c>
      <c r="C34" s="38" t="str">
        <f t="shared" si="1"/>
        <v>0</v>
      </c>
      <c r="D34" s="38" t="str">
        <f t="shared" si="2"/>
        <v>0</v>
      </c>
      <c r="E34" s="69"/>
      <c r="F34" s="28"/>
      <c r="G34" s="28"/>
      <c r="H34" s="28"/>
      <c r="I34" s="28"/>
      <c r="J34" s="28"/>
      <c r="K34" s="28"/>
      <c r="L34" s="28"/>
      <c r="M34" s="28"/>
      <c r="N34" s="69"/>
      <c r="O34" s="28"/>
      <c r="P34" s="28"/>
      <c r="Q34" s="28"/>
      <c r="R34" s="28"/>
      <c r="S34" s="28"/>
      <c r="T34" s="28"/>
      <c r="U34" s="28"/>
      <c r="V34" s="28"/>
      <c r="W34" s="69"/>
      <c r="X34" s="28"/>
      <c r="Y34" s="28"/>
      <c r="Z34" s="28"/>
      <c r="AA34" s="28"/>
      <c r="AB34" s="28"/>
      <c r="AC34" s="28"/>
      <c r="AD34" s="28"/>
      <c r="AE34" s="28"/>
      <c r="AF34" s="69"/>
      <c r="AG34" s="28"/>
      <c r="AH34" s="28"/>
      <c r="AI34" s="28"/>
      <c r="AJ34" s="28"/>
      <c r="AK34" s="28"/>
      <c r="AL34" s="28"/>
      <c r="AM34" s="28"/>
    </row>
    <row r="35" ht="15" spans="1:39">
      <c r="A35" s="68"/>
      <c r="B35" s="38" t="str">
        <f t="shared" si="0"/>
        <v>0</v>
      </c>
      <c r="C35" s="38" t="str">
        <f t="shared" si="1"/>
        <v>0</v>
      </c>
      <c r="D35" s="38" t="str">
        <f t="shared" si="2"/>
        <v>0</v>
      </c>
      <c r="E35" s="69"/>
      <c r="F35" s="70"/>
      <c r="G35" s="71"/>
      <c r="H35" s="70"/>
      <c r="I35" s="71"/>
      <c r="J35" s="70"/>
      <c r="K35" s="71"/>
      <c r="L35" s="70"/>
      <c r="M35" s="71"/>
      <c r="N35" s="69"/>
      <c r="O35" s="70"/>
      <c r="P35" s="71"/>
      <c r="Q35" s="70"/>
      <c r="R35" s="71"/>
      <c r="S35" s="70"/>
      <c r="T35" s="71"/>
      <c r="U35" s="70"/>
      <c r="V35" s="71"/>
      <c r="W35" s="69"/>
      <c r="X35" s="70"/>
      <c r="Y35" s="71"/>
      <c r="Z35" s="70"/>
      <c r="AA35" s="71"/>
      <c r="AB35" s="70"/>
      <c r="AC35" s="71"/>
      <c r="AD35" s="70"/>
      <c r="AE35" s="71"/>
      <c r="AF35" s="69"/>
      <c r="AG35" s="70"/>
      <c r="AH35" s="117"/>
      <c r="AI35" s="70"/>
      <c r="AJ35" s="117"/>
      <c r="AK35" s="70"/>
      <c r="AL35" s="117"/>
      <c r="AM35" s="28"/>
    </row>
    <row r="36" ht="15" spans="1:39">
      <c r="A36" s="68"/>
      <c r="B36" s="38" t="str">
        <f t="shared" si="0"/>
        <v>0</v>
      </c>
      <c r="C36" s="38" t="str">
        <f t="shared" si="1"/>
        <v>0</v>
      </c>
      <c r="D36" s="38" t="str">
        <f t="shared" si="2"/>
        <v>0</v>
      </c>
      <c r="E36" s="72"/>
      <c r="F36" s="73"/>
      <c r="G36" s="74"/>
      <c r="H36" s="73"/>
      <c r="I36" s="74"/>
      <c r="J36" s="73"/>
      <c r="K36" s="74"/>
      <c r="L36" s="73"/>
      <c r="M36" s="74"/>
      <c r="N36" s="72"/>
      <c r="O36" s="73"/>
      <c r="P36" s="74"/>
      <c r="Q36" s="73"/>
      <c r="R36" s="74"/>
      <c r="S36" s="73"/>
      <c r="T36" s="74"/>
      <c r="U36" s="73"/>
      <c r="V36" s="74"/>
      <c r="W36" s="72"/>
      <c r="X36" s="73"/>
      <c r="Y36" s="74"/>
      <c r="Z36" s="73"/>
      <c r="AA36" s="74"/>
      <c r="AB36" s="73"/>
      <c r="AC36" s="74"/>
      <c r="AD36" s="73"/>
      <c r="AE36" s="74"/>
      <c r="AF36" s="72"/>
      <c r="AG36" s="73"/>
      <c r="AH36" s="118"/>
      <c r="AI36" s="73"/>
      <c r="AJ36" s="118"/>
      <c r="AK36" s="73"/>
      <c r="AL36" s="118"/>
      <c r="AM36" s="76"/>
    </row>
    <row r="37" ht="15" spans="1:39">
      <c r="A37" s="68"/>
      <c r="B37" s="38" t="str">
        <f t="shared" si="0"/>
        <v>0</v>
      </c>
      <c r="C37" s="38" t="str">
        <f t="shared" si="1"/>
        <v>0</v>
      </c>
      <c r="D37" s="38" t="str">
        <f t="shared" si="2"/>
        <v>0</v>
      </c>
      <c r="E37" s="72"/>
      <c r="F37" s="73"/>
      <c r="G37" s="74"/>
      <c r="H37" s="73"/>
      <c r="I37" s="74"/>
      <c r="J37" s="73"/>
      <c r="K37" s="74"/>
      <c r="L37" s="73"/>
      <c r="M37" s="74"/>
      <c r="N37" s="72"/>
      <c r="O37" s="73"/>
      <c r="P37" s="74"/>
      <c r="Q37" s="73"/>
      <c r="R37" s="74"/>
      <c r="S37" s="73"/>
      <c r="T37" s="74"/>
      <c r="U37" s="73"/>
      <c r="V37" s="74"/>
      <c r="W37" s="72"/>
      <c r="X37" s="73"/>
      <c r="Y37" s="74"/>
      <c r="Z37" s="73"/>
      <c r="AA37" s="74"/>
      <c r="AB37" s="73"/>
      <c r="AC37" s="74"/>
      <c r="AD37" s="73"/>
      <c r="AE37" s="74"/>
      <c r="AF37" s="72"/>
      <c r="AG37" s="73"/>
      <c r="AH37" s="118"/>
      <c r="AI37" s="73"/>
      <c r="AJ37" s="118"/>
      <c r="AK37" s="73"/>
      <c r="AL37" s="118"/>
      <c r="AM37" s="76"/>
    </row>
    <row r="38" spans="1:39">
      <c r="A38" s="28"/>
      <c r="B38" s="38" t="str">
        <f t="shared" si="0"/>
        <v>0</v>
      </c>
      <c r="C38" s="38" t="str">
        <f t="shared" si="1"/>
        <v>0</v>
      </c>
      <c r="D38" s="38" t="str">
        <f t="shared" si="2"/>
        <v>0</v>
      </c>
      <c r="E38" s="75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95"/>
      <c r="AG38" s="76"/>
      <c r="AH38" s="76"/>
      <c r="AI38" s="76"/>
      <c r="AJ38" s="76"/>
      <c r="AK38" s="76"/>
      <c r="AL38" s="76"/>
      <c r="AM38" s="76"/>
    </row>
    <row r="39" spans="1:39">
      <c r="A39" s="28"/>
      <c r="B39" s="38" t="str">
        <f t="shared" si="0"/>
        <v>0</v>
      </c>
      <c r="C39" s="38" t="str">
        <f t="shared" si="1"/>
        <v>0</v>
      </c>
      <c r="D39" s="38" t="str">
        <f t="shared" si="2"/>
        <v>0</v>
      </c>
      <c r="E39" s="75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95"/>
      <c r="AG39" s="76"/>
      <c r="AH39" s="76"/>
      <c r="AI39" s="76"/>
      <c r="AJ39" s="76"/>
      <c r="AK39" s="76"/>
      <c r="AL39" s="76"/>
      <c r="AM39" s="76"/>
    </row>
    <row r="40" spans="1:39">
      <c r="A40" s="28"/>
      <c r="B40" s="38" t="str">
        <f t="shared" si="0"/>
        <v>0</v>
      </c>
      <c r="C40" s="38" t="str">
        <f t="shared" si="1"/>
        <v>0</v>
      </c>
      <c r="D40" s="38" t="str">
        <f t="shared" si="2"/>
        <v>0</v>
      </c>
      <c r="E40" s="7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95"/>
      <c r="AG40" s="76"/>
      <c r="AH40" s="76"/>
      <c r="AI40" s="76"/>
      <c r="AJ40" s="76"/>
      <c r="AK40" s="76"/>
      <c r="AL40" s="76"/>
      <c r="AM40" s="76"/>
    </row>
    <row r="41" spans="2:39">
      <c r="B41" s="38" t="str">
        <f t="shared" si="0"/>
        <v>0</v>
      </c>
      <c r="C41" s="38" t="str">
        <f t="shared" si="1"/>
        <v>0</v>
      </c>
      <c r="D41" s="38" t="str">
        <f t="shared" si="2"/>
        <v>0</v>
      </c>
      <c r="E41" s="75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95"/>
      <c r="AG41" s="76"/>
      <c r="AH41" s="76"/>
      <c r="AI41" s="76"/>
      <c r="AJ41" s="76"/>
      <c r="AK41" s="76"/>
      <c r="AL41" s="76"/>
      <c r="AM41" s="76"/>
    </row>
    <row r="42" spans="2:39">
      <c r="B42" s="38" t="str">
        <f t="shared" ref="B41:B100" si="3">IF((F42-H42)&lt;(O42-Q42),IF((H42-J42)&lt;(Q42-S42),"NO","0"),IF((H42-J42)&lt;(Q42-S42),IF((J42-L42)&lt;(S42-U42),"NO","0"),"0"))</f>
        <v>0</v>
      </c>
      <c r="C42" s="38" t="str">
        <f t="shared" si="1"/>
        <v>0</v>
      </c>
      <c r="D42" s="38" t="str">
        <f t="shared" si="2"/>
        <v>0</v>
      </c>
      <c r="E42" s="75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95"/>
      <c r="AG42" s="76"/>
      <c r="AH42" s="76"/>
      <c r="AI42" s="76"/>
      <c r="AJ42" s="76"/>
      <c r="AK42" s="76"/>
      <c r="AL42" s="76"/>
      <c r="AM42" s="76"/>
    </row>
    <row r="43" spans="2:39">
      <c r="B43" s="38" t="str">
        <f t="shared" si="3"/>
        <v>0</v>
      </c>
      <c r="C43" s="38" t="str">
        <f t="shared" si="1"/>
        <v>0</v>
      </c>
      <c r="D43" s="38" t="str">
        <f t="shared" si="2"/>
        <v>0</v>
      </c>
      <c r="E43" s="75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95"/>
      <c r="AG43" s="76"/>
      <c r="AH43" s="76"/>
      <c r="AI43" s="76"/>
      <c r="AJ43" s="76"/>
      <c r="AK43" s="76"/>
      <c r="AL43" s="76"/>
      <c r="AM43" s="76"/>
    </row>
    <row r="44" spans="2:5">
      <c r="B44" s="38" t="str">
        <f t="shared" si="3"/>
        <v>0</v>
      </c>
      <c r="C44" s="38" t="str">
        <f t="shared" ref="C41:C100" si="4">IF((F44-H44)&lt;(X44-Z44),IF((H44-J44)&lt;(Z44-AB44),"NO","0"),IF((H44-J44)&lt;(Z44-AB44),IF((J44-L44)&lt;(AB44-AD44),"NO","0"),"0"))</f>
        <v>0</v>
      </c>
      <c r="D44" s="38" t="str">
        <f t="shared" si="2"/>
        <v>0</v>
      </c>
      <c r="E44" s="77"/>
    </row>
    <row r="45" spans="2:5">
      <c r="B45" s="38" t="str">
        <f t="shared" si="3"/>
        <v>0</v>
      </c>
      <c r="C45" s="38" t="str">
        <f t="shared" si="4"/>
        <v>0</v>
      </c>
      <c r="D45" s="38" t="str">
        <f t="shared" si="2"/>
        <v>0</v>
      </c>
      <c r="E45" s="77"/>
    </row>
    <row r="46" spans="2:5">
      <c r="B46" s="38" t="str">
        <f t="shared" si="3"/>
        <v>0</v>
      </c>
      <c r="C46" s="38" t="str">
        <f t="shared" si="4"/>
        <v>0</v>
      </c>
      <c r="D46" s="38" t="str">
        <f t="shared" si="2"/>
        <v>0</v>
      </c>
      <c r="E46" s="77"/>
    </row>
    <row r="47" spans="2:5">
      <c r="B47" s="38" t="str">
        <f t="shared" si="3"/>
        <v>0</v>
      </c>
      <c r="C47" s="38" t="str">
        <f t="shared" si="4"/>
        <v>0</v>
      </c>
      <c r="D47" s="38" t="str">
        <f t="shared" si="2"/>
        <v>0</v>
      </c>
      <c r="E47" s="77"/>
    </row>
    <row r="48" spans="2:5">
      <c r="B48" s="38" t="str">
        <f t="shared" si="3"/>
        <v>0</v>
      </c>
      <c r="C48" s="38" t="str">
        <f t="shared" si="4"/>
        <v>0</v>
      </c>
      <c r="D48" s="38" t="str">
        <f t="shared" si="2"/>
        <v>0</v>
      </c>
      <c r="E48" s="77"/>
    </row>
    <row r="49" spans="2:5">
      <c r="B49" s="38" t="str">
        <f t="shared" si="3"/>
        <v>0</v>
      </c>
      <c r="C49" s="38" t="str">
        <f t="shared" si="4"/>
        <v>0</v>
      </c>
      <c r="D49" s="38" t="str">
        <f t="shared" si="2"/>
        <v>0</v>
      </c>
      <c r="E49" s="77"/>
    </row>
    <row r="50" spans="2:5">
      <c r="B50" s="38" t="str">
        <f t="shared" si="3"/>
        <v>0</v>
      </c>
      <c r="C50" s="38" t="str">
        <f t="shared" si="4"/>
        <v>0</v>
      </c>
      <c r="D50" s="38" t="str">
        <f t="shared" si="2"/>
        <v>0</v>
      </c>
      <c r="E50" s="77"/>
    </row>
    <row r="51" spans="2:5">
      <c r="B51" s="38" t="str">
        <f t="shared" si="3"/>
        <v>0</v>
      </c>
      <c r="C51" s="38" t="str">
        <f t="shared" si="4"/>
        <v>0</v>
      </c>
      <c r="D51" s="38" t="str">
        <f t="shared" ref="D38:D100" si="5">IF(AG51=0,IF(AI51=0,IF(AK51=0,"0",IF(AG51&lt;1,IF(AI51&lt;1,"NO",IF(AK51&lt;1,"NO","0")),IF(AI51&lt;1,IF(AK51&lt;1,"NO","0"),"0"))),IF(AG51&lt;1,IF(AI51&lt;1,"NO",IF(AK51&lt;1,"NO","0")),IF(AI51&lt;1,IF(AK51&lt;1,"NO","0"),"0"))),IF(AG51&lt;1,IF(AI51&lt;1,"NO",IF(AK51&lt;1,"NO","0")),IF(AI51&lt;1,IF(AK51&lt;1,"NO","0"),"0")))</f>
        <v>0</v>
      </c>
      <c r="E51" s="77"/>
    </row>
    <row r="52" spans="2:5">
      <c r="B52" s="38" t="str">
        <f t="shared" si="3"/>
        <v>0</v>
      </c>
      <c r="C52" s="38" t="str">
        <f t="shared" si="4"/>
        <v>0</v>
      </c>
      <c r="D52" s="38" t="str">
        <f t="shared" si="5"/>
        <v>0</v>
      </c>
      <c r="E52" s="77"/>
    </row>
    <row r="53" spans="2:5">
      <c r="B53" s="38" t="str">
        <f t="shared" si="3"/>
        <v>0</v>
      </c>
      <c r="C53" s="38" t="str">
        <f t="shared" si="4"/>
        <v>0</v>
      </c>
      <c r="D53" s="38" t="str">
        <f t="shared" si="5"/>
        <v>0</v>
      </c>
      <c r="E53" s="77"/>
    </row>
    <row r="54" spans="2:5">
      <c r="B54" s="38" t="str">
        <f t="shared" si="3"/>
        <v>0</v>
      </c>
      <c r="C54" s="38" t="str">
        <f t="shared" si="4"/>
        <v>0</v>
      </c>
      <c r="D54" s="38" t="str">
        <f t="shared" si="5"/>
        <v>0</v>
      </c>
      <c r="E54" s="77"/>
    </row>
    <row r="55" spans="2:5">
      <c r="B55" s="38" t="str">
        <f t="shared" si="3"/>
        <v>0</v>
      </c>
      <c r="C55" s="38" t="str">
        <f t="shared" si="4"/>
        <v>0</v>
      </c>
      <c r="D55" s="38" t="str">
        <f t="shared" si="5"/>
        <v>0</v>
      </c>
      <c r="E55" s="77"/>
    </row>
    <row r="56" spans="2:5">
      <c r="B56" s="38" t="str">
        <f t="shared" si="3"/>
        <v>0</v>
      </c>
      <c r="C56" s="38" t="str">
        <f t="shared" si="4"/>
        <v>0</v>
      </c>
      <c r="D56" s="38" t="str">
        <f t="shared" si="5"/>
        <v>0</v>
      </c>
      <c r="E56" s="77"/>
    </row>
    <row r="57" spans="2:5">
      <c r="B57" s="38" t="str">
        <f t="shared" si="3"/>
        <v>0</v>
      </c>
      <c r="C57" s="38" t="str">
        <f t="shared" si="4"/>
        <v>0</v>
      </c>
      <c r="D57" s="38" t="str">
        <f t="shared" si="5"/>
        <v>0</v>
      </c>
      <c r="E57" s="77"/>
    </row>
    <row r="58" spans="2:5">
      <c r="B58" s="38" t="str">
        <f t="shared" si="3"/>
        <v>0</v>
      </c>
      <c r="C58" s="38" t="str">
        <f t="shared" si="4"/>
        <v>0</v>
      </c>
      <c r="D58" s="38" t="str">
        <f t="shared" si="5"/>
        <v>0</v>
      </c>
      <c r="E58" s="77"/>
    </row>
    <row r="59" spans="2:5">
      <c r="B59" s="38" t="str">
        <f t="shared" si="3"/>
        <v>0</v>
      </c>
      <c r="C59" s="38" t="str">
        <f t="shared" si="4"/>
        <v>0</v>
      </c>
      <c r="D59" s="38" t="str">
        <f t="shared" si="5"/>
        <v>0</v>
      </c>
      <c r="E59" s="77"/>
    </row>
    <row r="60" spans="2:5">
      <c r="B60" s="38" t="str">
        <f t="shared" si="3"/>
        <v>0</v>
      </c>
      <c r="C60" s="38" t="str">
        <f t="shared" si="4"/>
        <v>0</v>
      </c>
      <c r="D60" s="38" t="str">
        <f t="shared" si="5"/>
        <v>0</v>
      </c>
      <c r="E60" s="77"/>
    </row>
    <row r="61" spans="2:5">
      <c r="B61" s="38" t="str">
        <f t="shared" si="3"/>
        <v>0</v>
      </c>
      <c r="C61" s="38" t="str">
        <f t="shared" si="4"/>
        <v>0</v>
      </c>
      <c r="D61" s="38" t="str">
        <f t="shared" si="5"/>
        <v>0</v>
      </c>
      <c r="E61" s="77"/>
    </row>
    <row r="62" spans="2:5">
      <c r="B62" s="38" t="str">
        <f t="shared" si="3"/>
        <v>0</v>
      </c>
      <c r="C62" s="38" t="str">
        <f t="shared" si="4"/>
        <v>0</v>
      </c>
      <c r="D62" s="38" t="str">
        <f t="shared" si="5"/>
        <v>0</v>
      </c>
      <c r="E62" s="77"/>
    </row>
    <row r="63" spans="2:5">
      <c r="B63" s="38" t="str">
        <f t="shared" si="3"/>
        <v>0</v>
      </c>
      <c r="C63" s="38" t="str">
        <f t="shared" si="4"/>
        <v>0</v>
      </c>
      <c r="D63" s="38" t="str">
        <f t="shared" si="5"/>
        <v>0</v>
      </c>
      <c r="E63" s="77"/>
    </row>
    <row r="64" spans="2:5">
      <c r="B64" s="38" t="str">
        <f t="shared" si="3"/>
        <v>0</v>
      </c>
      <c r="C64" s="38" t="str">
        <f t="shared" si="4"/>
        <v>0</v>
      </c>
      <c r="D64" s="38" t="str">
        <f t="shared" si="5"/>
        <v>0</v>
      </c>
      <c r="E64" s="77"/>
    </row>
    <row r="65" spans="2:5">
      <c r="B65" s="38" t="str">
        <f t="shared" si="3"/>
        <v>0</v>
      </c>
      <c r="C65" s="38" t="str">
        <f t="shared" si="4"/>
        <v>0</v>
      </c>
      <c r="D65" s="38" t="str">
        <f t="shared" si="5"/>
        <v>0</v>
      </c>
      <c r="E65" s="77"/>
    </row>
    <row r="66" spans="2:5">
      <c r="B66" s="38" t="str">
        <f t="shared" si="3"/>
        <v>0</v>
      </c>
      <c r="C66" s="38" t="str">
        <f t="shared" si="4"/>
        <v>0</v>
      </c>
      <c r="D66" s="38" t="str">
        <f t="shared" si="5"/>
        <v>0</v>
      </c>
      <c r="E66" s="77"/>
    </row>
    <row r="67" spans="2:5">
      <c r="B67" s="38" t="str">
        <f t="shared" si="3"/>
        <v>0</v>
      </c>
      <c r="C67" s="38" t="str">
        <f t="shared" si="4"/>
        <v>0</v>
      </c>
      <c r="D67" s="38" t="str">
        <f t="shared" si="5"/>
        <v>0</v>
      </c>
      <c r="E67" s="77"/>
    </row>
    <row r="68" spans="2:5">
      <c r="B68" s="38" t="str">
        <f t="shared" si="3"/>
        <v>0</v>
      </c>
      <c r="C68" s="38" t="str">
        <f t="shared" si="4"/>
        <v>0</v>
      </c>
      <c r="D68" s="38" t="str">
        <f t="shared" si="5"/>
        <v>0</v>
      </c>
      <c r="E68" s="77"/>
    </row>
    <row r="69" spans="2:5">
      <c r="B69" s="38" t="str">
        <f t="shared" si="3"/>
        <v>0</v>
      </c>
      <c r="C69" s="38" t="str">
        <f t="shared" si="4"/>
        <v>0</v>
      </c>
      <c r="D69" s="38" t="str">
        <f t="shared" si="5"/>
        <v>0</v>
      </c>
      <c r="E69" s="77"/>
    </row>
    <row r="70" spans="2:5">
      <c r="B70" s="38" t="str">
        <f t="shared" si="3"/>
        <v>0</v>
      </c>
      <c r="C70" s="38" t="str">
        <f t="shared" si="4"/>
        <v>0</v>
      </c>
      <c r="D70" s="38" t="str">
        <f t="shared" si="5"/>
        <v>0</v>
      </c>
      <c r="E70" s="77"/>
    </row>
    <row r="71" spans="2:5">
      <c r="B71" s="38" t="str">
        <f t="shared" si="3"/>
        <v>0</v>
      </c>
      <c r="C71" s="38" t="str">
        <f t="shared" si="4"/>
        <v>0</v>
      </c>
      <c r="D71" s="38" t="str">
        <f t="shared" si="5"/>
        <v>0</v>
      </c>
      <c r="E71" s="77"/>
    </row>
    <row r="72" spans="2:5">
      <c r="B72" s="38" t="str">
        <f t="shared" si="3"/>
        <v>0</v>
      </c>
      <c r="C72" s="38" t="str">
        <f t="shared" si="4"/>
        <v>0</v>
      </c>
      <c r="D72" s="38" t="str">
        <f t="shared" si="5"/>
        <v>0</v>
      </c>
      <c r="E72" s="77"/>
    </row>
    <row r="73" spans="2:5">
      <c r="B73" s="38" t="str">
        <f t="shared" si="3"/>
        <v>0</v>
      </c>
      <c r="C73" s="38" t="str">
        <f t="shared" si="4"/>
        <v>0</v>
      </c>
      <c r="D73" s="38" t="str">
        <f t="shared" si="5"/>
        <v>0</v>
      </c>
      <c r="E73" s="77"/>
    </row>
    <row r="74" spans="2:5">
      <c r="B74" s="38" t="str">
        <f t="shared" si="3"/>
        <v>0</v>
      </c>
      <c r="C74" s="38" t="str">
        <f t="shared" si="4"/>
        <v>0</v>
      </c>
      <c r="D74" s="38" t="str">
        <f t="shared" si="5"/>
        <v>0</v>
      </c>
      <c r="E74" s="77"/>
    </row>
    <row r="75" spans="2:5">
      <c r="B75" s="38" t="str">
        <f t="shared" si="3"/>
        <v>0</v>
      </c>
      <c r="C75" s="38" t="str">
        <f t="shared" si="4"/>
        <v>0</v>
      </c>
      <c r="D75" s="38" t="str">
        <f t="shared" si="5"/>
        <v>0</v>
      </c>
      <c r="E75" s="77"/>
    </row>
    <row r="76" spans="2:5">
      <c r="B76" s="38" t="str">
        <f t="shared" si="3"/>
        <v>0</v>
      </c>
      <c r="C76" s="38" t="str">
        <f t="shared" si="4"/>
        <v>0</v>
      </c>
      <c r="D76" s="38" t="str">
        <f t="shared" si="5"/>
        <v>0</v>
      </c>
      <c r="E76" s="77"/>
    </row>
    <row r="77" spans="2:5">
      <c r="B77" s="38" t="str">
        <f t="shared" si="3"/>
        <v>0</v>
      </c>
      <c r="C77" s="38" t="str">
        <f t="shared" si="4"/>
        <v>0</v>
      </c>
      <c r="D77" s="38" t="str">
        <f t="shared" si="5"/>
        <v>0</v>
      </c>
      <c r="E77" s="77"/>
    </row>
    <row r="78" spans="2:5">
      <c r="B78" s="38" t="str">
        <f t="shared" si="3"/>
        <v>0</v>
      </c>
      <c r="C78" s="38" t="str">
        <f t="shared" si="4"/>
        <v>0</v>
      </c>
      <c r="D78" s="38" t="str">
        <f t="shared" si="5"/>
        <v>0</v>
      </c>
      <c r="E78" s="77"/>
    </row>
    <row r="79" spans="2:5">
      <c r="B79" s="38" t="str">
        <f t="shared" si="3"/>
        <v>0</v>
      </c>
      <c r="C79" s="38" t="str">
        <f t="shared" si="4"/>
        <v>0</v>
      </c>
      <c r="D79" s="38" t="str">
        <f t="shared" si="5"/>
        <v>0</v>
      </c>
      <c r="E79" s="77"/>
    </row>
    <row r="80" spans="2:5">
      <c r="B80" s="38" t="str">
        <f t="shared" si="3"/>
        <v>0</v>
      </c>
      <c r="C80" s="38" t="str">
        <f t="shared" si="4"/>
        <v>0</v>
      </c>
      <c r="D80" s="38" t="str">
        <f t="shared" si="5"/>
        <v>0</v>
      </c>
      <c r="E80" s="77"/>
    </row>
    <row r="81" spans="2:5">
      <c r="B81" s="38" t="str">
        <f t="shared" si="3"/>
        <v>0</v>
      </c>
      <c r="C81" s="38" t="str">
        <f t="shared" si="4"/>
        <v>0</v>
      </c>
      <c r="D81" s="38" t="str">
        <f t="shared" si="5"/>
        <v>0</v>
      </c>
      <c r="E81" s="77"/>
    </row>
    <row r="82" spans="2:5">
      <c r="B82" s="38" t="str">
        <f t="shared" si="3"/>
        <v>0</v>
      </c>
      <c r="C82" s="38" t="str">
        <f t="shared" si="4"/>
        <v>0</v>
      </c>
      <c r="D82" s="38" t="str">
        <f t="shared" si="5"/>
        <v>0</v>
      </c>
      <c r="E82" s="77"/>
    </row>
    <row r="83" spans="2:5">
      <c r="B83" s="38" t="str">
        <f t="shared" si="3"/>
        <v>0</v>
      </c>
      <c r="C83" s="38" t="str">
        <f t="shared" si="4"/>
        <v>0</v>
      </c>
      <c r="D83" s="38" t="str">
        <f t="shared" si="5"/>
        <v>0</v>
      </c>
      <c r="E83" s="77"/>
    </row>
    <row r="84" spans="2:5">
      <c r="B84" s="38" t="str">
        <f t="shared" si="3"/>
        <v>0</v>
      </c>
      <c r="C84" s="38" t="str">
        <f t="shared" si="4"/>
        <v>0</v>
      </c>
      <c r="D84" s="38" t="str">
        <f t="shared" si="5"/>
        <v>0</v>
      </c>
      <c r="E84" s="77"/>
    </row>
    <row r="85" spans="2:5">
      <c r="B85" s="38" t="str">
        <f t="shared" si="3"/>
        <v>0</v>
      </c>
      <c r="C85" s="38" t="str">
        <f t="shared" si="4"/>
        <v>0</v>
      </c>
      <c r="D85" s="38" t="str">
        <f t="shared" si="5"/>
        <v>0</v>
      </c>
      <c r="E85" s="77"/>
    </row>
    <row r="86" spans="2:5">
      <c r="B86" s="38" t="str">
        <f t="shared" si="3"/>
        <v>0</v>
      </c>
      <c r="C86" s="38" t="str">
        <f t="shared" si="4"/>
        <v>0</v>
      </c>
      <c r="D86" s="38" t="str">
        <f t="shared" si="5"/>
        <v>0</v>
      </c>
      <c r="E86" s="77"/>
    </row>
    <row r="87" spans="2:5">
      <c r="B87" s="38" t="str">
        <f t="shared" si="3"/>
        <v>0</v>
      </c>
      <c r="C87" s="38" t="str">
        <f t="shared" si="4"/>
        <v>0</v>
      </c>
      <c r="D87" s="38" t="str">
        <f t="shared" si="5"/>
        <v>0</v>
      </c>
      <c r="E87" s="77"/>
    </row>
    <row r="88" spans="2:5">
      <c r="B88" s="38" t="str">
        <f t="shared" si="3"/>
        <v>0</v>
      </c>
      <c r="C88" s="38" t="str">
        <f t="shared" si="4"/>
        <v>0</v>
      </c>
      <c r="D88" s="38" t="str">
        <f t="shared" si="5"/>
        <v>0</v>
      </c>
      <c r="E88" s="77"/>
    </row>
    <row r="89" spans="2:5">
      <c r="B89" s="38" t="str">
        <f t="shared" si="3"/>
        <v>0</v>
      </c>
      <c r="C89" s="38" t="str">
        <f t="shared" si="4"/>
        <v>0</v>
      </c>
      <c r="D89" s="38" t="str">
        <f t="shared" si="5"/>
        <v>0</v>
      </c>
      <c r="E89" s="77"/>
    </row>
    <row r="90" spans="2:5">
      <c r="B90" s="38" t="str">
        <f t="shared" si="3"/>
        <v>0</v>
      </c>
      <c r="C90" s="38" t="str">
        <f t="shared" si="4"/>
        <v>0</v>
      </c>
      <c r="D90" s="38" t="str">
        <f t="shared" si="5"/>
        <v>0</v>
      </c>
      <c r="E90" s="77"/>
    </row>
    <row r="91" spans="2:5">
      <c r="B91" s="38" t="str">
        <f t="shared" si="3"/>
        <v>0</v>
      </c>
      <c r="C91" s="38" t="str">
        <f t="shared" si="4"/>
        <v>0</v>
      </c>
      <c r="D91" s="38" t="str">
        <f t="shared" si="5"/>
        <v>0</v>
      </c>
      <c r="E91" s="77"/>
    </row>
    <row r="92" spans="2:5">
      <c r="B92" s="38" t="str">
        <f t="shared" si="3"/>
        <v>0</v>
      </c>
      <c r="C92" s="38" t="str">
        <f t="shared" si="4"/>
        <v>0</v>
      </c>
      <c r="D92" s="38" t="str">
        <f t="shared" si="5"/>
        <v>0</v>
      </c>
      <c r="E92" s="77"/>
    </row>
    <row r="93" spans="2:5">
      <c r="B93" s="38" t="str">
        <f t="shared" si="3"/>
        <v>0</v>
      </c>
      <c r="C93" s="38" t="str">
        <f t="shared" si="4"/>
        <v>0</v>
      </c>
      <c r="D93" s="38" t="str">
        <f t="shared" si="5"/>
        <v>0</v>
      </c>
      <c r="E93" s="77"/>
    </row>
    <row r="94" spans="2:5">
      <c r="B94" s="38" t="str">
        <f t="shared" si="3"/>
        <v>0</v>
      </c>
      <c r="C94" s="38" t="str">
        <f t="shared" si="4"/>
        <v>0</v>
      </c>
      <c r="D94" s="38" t="str">
        <f t="shared" si="5"/>
        <v>0</v>
      </c>
      <c r="E94" s="77"/>
    </row>
    <row r="95" spans="2:5">
      <c r="B95" s="38" t="str">
        <f t="shared" si="3"/>
        <v>0</v>
      </c>
      <c r="C95" s="38" t="str">
        <f t="shared" si="4"/>
        <v>0</v>
      </c>
      <c r="D95" s="38" t="str">
        <f t="shared" si="5"/>
        <v>0</v>
      </c>
      <c r="E95" s="77"/>
    </row>
    <row r="96" spans="2:5">
      <c r="B96" s="38" t="str">
        <f t="shared" si="3"/>
        <v>0</v>
      </c>
      <c r="C96" s="38" t="str">
        <f t="shared" si="4"/>
        <v>0</v>
      </c>
      <c r="D96" s="38" t="str">
        <f t="shared" si="5"/>
        <v>0</v>
      </c>
      <c r="E96" s="77"/>
    </row>
    <row r="97" spans="2:5">
      <c r="B97" s="38" t="str">
        <f t="shared" si="3"/>
        <v>0</v>
      </c>
      <c r="C97" s="38" t="str">
        <f t="shared" si="4"/>
        <v>0</v>
      </c>
      <c r="D97" s="38" t="str">
        <f t="shared" si="5"/>
        <v>0</v>
      </c>
      <c r="E97" s="77"/>
    </row>
    <row r="98" spans="2:5">
      <c r="B98" s="38" t="str">
        <f t="shared" si="3"/>
        <v>0</v>
      </c>
      <c r="C98" s="38" t="str">
        <f t="shared" si="4"/>
        <v>0</v>
      </c>
      <c r="D98" s="38" t="str">
        <f t="shared" si="5"/>
        <v>0</v>
      </c>
      <c r="E98" s="77"/>
    </row>
    <row r="99" spans="2:5">
      <c r="B99" s="38" t="str">
        <f t="shared" si="3"/>
        <v>0</v>
      </c>
      <c r="C99" s="38" t="str">
        <f t="shared" si="4"/>
        <v>0</v>
      </c>
      <c r="D99" s="38" t="str">
        <f t="shared" si="5"/>
        <v>0</v>
      </c>
      <c r="E99" s="77"/>
    </row>
    <row r="100" spans="2:5">
      <c r="B100" s="38" t="str">
        <f t="shared" si="3"/>
        <v>0</v>
      </c>
      <c r="C100" s="38" t="str">
        <f t="shared" si="4"/>
        <v>0</v>
      </c>
      <c r="D100" s="38" t="str">
        <f t="shared" si="5"/>
        <v>0</v>
      </c>
      <c r="E100" s="77"/>
    </row>
  </sheetData>
  <mergeCells count="27">
    <mergeCell ref="A1:AL1"/>
    <mergeCell ref="B2:D2"/>
    <mergeCell ref="F2:M2"/>
    <mergeCell ref="O2:V2"/>
    <mergeCell ref="X2:AE2"/>
    <mergeCell ref="AG2:AN2"/>
    <mergeCell ref="F3:G3"/>
    <mergeCell ref="H3:I3"/>
    <mergeCell ref="J3:K3"/>
    <mergeCell ref="L3:M3"/>
    <mergeCell ref="O3:P3"/>
    <mergeCell ref="Q3:R3"/>
    <mergeCell ref="S3:T3"/>
    <mergeCell ref="U3:V3"/>
    <mergeCell ref="X3:Y3"/>
    <mergeCell ref="Z3:AA3"/>
    <mergeCell ref="AB3:AC3"/>
    <mergeCell ref="AD3:AE3"/>
    <mergeCell ref="AG3:AH3"/>
    <mergeCell ref="AI3:AJ3"/>
    <mergeCell ref="AK3:AL3"/>
    <mergeCell ref="AM3:AN3"/>
    <mergeCell ref="A2:A3"/>
    <mergeCell ref="E2:E3"/>
    <mergeCell ref="N2:N3"/>
    <mergeCell ref="W2:W3"/>
    <mergeCell ref="AF2:AF3"/>
  </mergeCells>
  <pageMargins left="0.75" right="0.75" top="1" bottom="1" header="0.51" footer="0.51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00"/>
  <sheetViews>
    <sheetView workbookViewId="0">
      <selection activeCell="H12" sqref="H12"/>
    </sheetView>
  </sheetViews>
  <sheetFormatPr defaultColWidth="9" defaultRowHeight="13.5" outlineLevelCol="5"/>
  <cols>
    <col min="1" max="16384" width="9" style="24"/>
  </cols>
  <sheetData>
    <row r="1" s="24" customFormat="1" spans="1:6">
      <c r="A1" s="24" t="s">
        <v>134</v>
      </c>
      <c r="B1" s="24" t="s">
        <v>135</v>
      </c>
      <c r="C1" s="24" t="s">
        <v>136</v>
      </c>
      <c r="D1" s="24" t="s">
        <v>137</v>
      </c>
      <c r="E1" s="24" t="s">
        <v>138</v>
      </c>
      <c r="F1" s="24" t="s">
        <v>139</v>
      </c>
    </row>
    <row r="2" s="24" customFormat="1" spans="1:6">
      <c r="A2" s="24" t="s">
        <v>140</v>
      </c>
      <c r="B2" s="24" t="str">
        <f>"600240"</f>
        <v>600240</v>
      </c>
      <c r="C2" s="24" t="s">
        <v>141</v>
      </c>
      <c r="D2" s="24"/>
      <c r="E2" s="24">
        <v>-0.07</v>
      </c>
      <c r="F2" s="24">
        <v>-0.12</v>
      </c>
    </row>
    <row r="3" s="24" customFormat="1" spans="1:6">
      <c r="A3" s="24" t="s">
        <v>142</v>
      </c>
      <c r="B3" s="24" t="str">
        <f>"000693"</f>
        <v>000693</v>
      </c>
      <c r="C3" s="24" t="s">
        <v>143</v>
      </c>
      <c r="D3" s="24"/>
      <c r="E3" s="24">
        <v>-0.09</v>
      </c>
      <c r="F3" s="24">
        <v>-0.13</v>
      </c>
    </row>
    <row r="4" s="24" customFormat="1" spans="1:6">
      <c r="A4" s="24" t="s">
        <v>142</v>
      </c>
      <c r="B4" s="24" t="str">
        <f>"002477"</f>
        <v>002477</v>
      </c>
      <c r="C4" s="24" t="s">
        <v>144</v>
      </c>
      <c r="D4" s="24" t="s">
        <v>145</v>
      </c>
      <c r="E4" s="24">
        <v>-0.11</v>
      </c>
      <c r="F4" s="24">
        <v>-1.18</v>
      </c>
    </row>
    <row r="5" s="24" customFormat="1" spans="1:6">
      <c r="A5" s="24" t="s">
        <v>142</v>
      </c>
      <c r="B5" s="24" t="str">
        <f>"200018"</f>
        <v>200018</v>
      </c>
      <c r="C5" s="24" t="s">
        <v>146</v>
      </c>
      <c r="D5" s="24"/>
      <c r="E5" s="24">
        <v>-0.11</v>
      </c>
      <c r="F5" s="24">
        <v>-0.2</v>
      </c>
    </row>
    <row r="6" s="24" customFormat="1" spans="1:6">
      <c r="A6" s="24" t="s">
        <v>140</v>
      </c>
      <c r="B6" s="24" t="str">
        <f>"600891"</f>
        <v>600891</v>
      </c>
      <c r="C6" s="24" t="s">
        <v>147</v>
      </c>
      <c r="D6" s="24" t="s">
        <v>148</v>
      </c>
      <c r="E6" s="24">
        <v>-0.17</v>
      </c>
      <c r="F6" s="24">
        <v>-0.6</v>
      </c>
    </row>
    <row r="7" s="24" customFormat="1" spans="1:6">
      <c r="A7" s="24" t="s">
        <v>142</v>
      </c>
      <c r="B7" s="24" t="str">
        <f>"000018"</f>
        <v>000018</v>
      </c>
      <c r="C7" s="24" t="s">
        <v>149</v>
      </c>
      <c r="D7" s="24"/>
      <c r="E7" s="24">
        <v>-0.2</v>
      </c>
      <c r="F7" s="24">
        <v>-0.35</v>
      </c>
    </row>
    <row r="8" s="24" customFormat="1" spans="1:6">
      <c r="A8" s="24" t="s">
        <v>140</v>
      </c>
      <c r="B8" s="24" t="str">
        <f>"600401"</f>
        <v>600401</v>
      </c>
      <c r="C8" s="24" t="s">
        <v>150</v>
      </c>
      <c r="D8" s="24"/>
      <c r="E8" s="24">
        <v>-0.28</v>
      </c>
      <c r="F8" s="24">
        <v>-0.25</v>
      </c>
    </row>
    <row r="9" s="24" customFormat="1" spans="1:6">
      <c r="A9" s="24" t="s">
        <v>140</v>
      </c>
      <c r="B9" s="24" t="str">
        <f>"600074"</f>
        <v>600074</v>
      </c>
      <c r="C9" s="24" t="s">
        <v>151</v>
      </c>
      <c r="D9" s="24" t="s">
        <v>152</v>
      </c>
      <c r="E9" s="24">
        <v>-0.3</v>
      </c>
      <c r="F9" s="24">
        <v>-0.68</v>
      </c>
    </row>
    <row r="10" s="24" customFormat="1" spans="1:6">
      <c r="A10" s="24" t="s">
        <v>140</v>
      </c>
      <c r="B10" s="24" t="str">
        <f>"900907"</f>
        <v>900907</v>
      </c>
      <c r="C10" s="24" t="s">
        <v>153</v>
      </c>
      <c r="D10" s="24"/>
      <c r="E10" s="24">
        <v>-0.35</v>
      </c>
      <c r="F10" s="24">
        <v>6.76</v>
      </c>
    </row>
    <row r="11" s="24" customFormat="1" spans="1:6">
      <c r="A11" s="24" t="s">
        <v>142</v>
      </c>
      <c r="B11" s="24" t="str">
        <f>"002143"</f>
        <v>002143</v>
      </c>
      <c r="C11" s="24" t="s">
        <v>154</v>
      </c>
      <c r="D11" s="24"/>
      <c r="E11" s="24">
        <v>-0.35</v>
      </c>
      <c r="F11" s="24">
        <v>0.41</v>
      </c>
    </row>
    <row r="12" s="24" customFormat="1" spans="1:6">
      <c r="A12" s="24" t="s">
        <v>140</v>
      </c>
      <c r="B12" s="24" t="str">
        <f>"600634"</f>
        <v>600634</v>
      </c>
      <c r="C12" s="24" t="s">
        <v>155</v>
      </c>
      <c r="D12" s="24" t="s">
        <v>156</v>
      </c>
      <c r="E12" s="24">
        <v>-0.36</v>
      </c>
      <c r="F12" s="24">
        <v>-0.12</v>
      </c>
    </row>
    <row r="13" s="24" customFormat="1" spans="1:6">
      <c r="A13" s="24" t="s">
        <v>142</v>
      </c>
      <c r="B13" s="24" t="str">
        <f>"002354"</f>
        <v>002354</v>
      </c>
      <c r="C13" s="24" t="s">
        <v>157</v>
      </c>
      <c r="D13" s="24" t="s">
        <v>156</v>
      </c>
      <c r="E13" s="24">
        <v>-0.37</v>
      </c>
      <c r="F13" s="24">
        <v>-2.67</v>
      </c>
    </row>
    <row r="14" s="24" customFormat="1" spans="1:6">
      <c r="A14" s="24" t="s">
        <v>140</v>
      </c>
      <c r="B14" s="24" t="str">
        <f>"600701"</f>
        <v>600701</v>
      </c>
      <c r="C14" s="24" t="s">
        <v>158</v>
      </c>
      <c r="D14" s="24" t="s">
        <v>159</v>
      </c>
      <c r="E14" s="24">
        <v>-0.45</v>
      </c>
      <c r="F14" s="24">
        <v>-3.1</v>
      </c>
    </row>
    <row r="15" s="24" customFormat="1" spans="1:6">
      <c r="A15" s="24" t="s">
        <v>142</v>
      </c>
      <c r="B15" s="24" t="str">
        <f>"002356"</f>
        <v>002356</v>
      </c>
      <c r="C15" s="24" t="s">
        <v>160</v>
      </c>
      <c r="D15" s="24" t="s">
        <v>161</v>
      </c>
      <c r="E15" s="24">
        <v>-0.47</v>
      </c>
      <c r="F15" s="24">
        <v>-3.69</v>
      </c>
    </row>
    <row r="16" s="24" customFormat="1" spans="1:6">
      <c r="A16" s="24" t="s">
        <v>142</v>
      </c>
      <c r="B16" s="24" t="str">
        <f>"300104"</f>
        <v>300104</v>
      </c>
      <c r="C16" s="24" t="s">
        <v>162</v>
      </c>
      <c r="D16" s="24" t="s">
        <v>163</v>
      </c>
      <c r="E16" s="24">
        <v>-0.5</v>
      </c>
      <c r="F16" s="24">
        <v>-6.06</v>
      </c>
    </row>
    <row r="17" s="24" customFormat="1" spans="1:6">
      <c r="A17" s="24" t="s">
        <v>142</v>
      </c>
      <c r="B17" s="24" t="str">
        <f>"300362"</f>
        <v>300362</v>
      </c>
      <c r="C17" s="24" t="s">
        <v>164</v>
      </c>
      <c r="D17" s="24" t="s">
        <v>165</v>
      </c>
      <c r="E17" s="24">
        <v>-0.53</v>
      </c>
      <c r="F17" s="24">
        <v>-1.06</v>
      </c>
    </row>
    <row r="18" s="24" customFormat="1" spans="1:6">
      <c r="A18" s="24" t="s">
        <v>142</v>
      </c>
      <c r="B18" s="24" t="str">
        <f>"002501"</f>
        <v>002501</v>
      </c>
      <c r="C18" s="24" t="s">
        <v>166</v>
      </c>
      <c r="D18" s="24" t="s">
        <v>167</v>
      </c>
      <c r="E18" s="24">
        <v>-0.55</v>
      </c>
      <c r="F18" s="24">
        <v>0.79</v>
      </c>
    </row>
    <row r="19" s="24" customFormat="1" spans="1:6">
      <c r="A19" s="24" t="s">
        <v>142</v>
      </c>
      <c r="B19" s="24" t="str">
        <f>"002247"</f>
        <v>002247</v>
      </c>
      <c r="C19" s="24" t="s">
        <v>168</v>
      </c>
      <c r="D19" s="24" t="s">
        <v>163</v>
      </c>
      <c r="E19" s="24">
        <v>-0.63</v>
      </c>
      <c r="F19" s="24">
        <v>1.19</v>
      </c>
    </row>
    <row r="20" s="24" customFormat="1" spans="1:6">
      <c r="A20" s="24" t="s">
        <v>142</v>
      </c>
      <c r="B20" s="24" t="str">
        <f>"002445"</f>
        <v>002445</v>
      </c>
      <c r="C20" s="24" t="s">
        <v>169</v>
      </c>
      <c r="D20" s="24" t="s">
        <v>170</v>
      </c>
      <c r="E20" s="24">
        <v>-0.65</v>
      </c>
      <c r="F20" s="24">
        <v>1.88</v>
      </c>
    </row>
    <row r="21" s="24" customFormat="1" spans="1:6">
      <c r="A21" s="24" t="s">
        <v>142</v>
      </c>
      <c r="B21" s="24" t="str">
        <f>"000587"</f>
        <v>000587</v>
      </c>
      <c r="C21" s="24" t="s">
        <v>171</v>
      </c>
      <c r="D21" s="24" t="s">
        <v>161</v>
      </c>
      <c r="E21" s="24">
        <v>-0.68</v>
      </c>
      <c r="F21" s="24">
        <v>2.61</v>
      </c>
    </row>
    <row r="22" s="24" customFormat="1" spans="1:6">
      <c r="A22" s="24" t="s">
        <v>142</v>
      </c>
      <c r="B22" s="24" t="str">
        <f>"300090"</f>
        <v>300090</v>
      </c>
      <c r="C22" s="24" t="s">
        <v>172</v>
      </c>
      <c r="D22" s="24" t="s">
        <v>173</v>
      </c>
      <c r="E22" s="24">
        <v>-0.68</v>
      </c>
      <c r="F22" s="24">
        <v>-4.72</v>
      </c>
    </row>
    <row r="23" s="24" customFormat="1" spans="1:6">
      <c r="A23" s="24" t="s">
        <v>140</v>
      </c>
      <c r="B23" s="24" t="str">
        <f>"601777"</f>
        <v>601777</v>
      </c>
      <c r="C23" s="24" t="s">
        <v>174</v>
      </c>
      <c r="D23" s="24" t="s">
        <v>175</v>
      </c>
      <c r="E23" s="24">
        <v>-0.7</v>
      </c>
      <c r="F23" s="24">
        <v>0.72</v>
      </c>
    </row>
    <row r="24" s="24" customFormat="1" spans="1:6">
      <c r="A24" s="24" t="s">
        <v>142</v>
      </c>
      <c r="B24" s="24" t="str">
        <f>"002711"</f>
        <v>002711</v>
      </c>
      <c r="C24" s="24" t="s">
        <v>176</v>
      </c>
      <c r="D24" s="24" t="s">
        <v>177</v>
      </c>
      <c r="E24" s="24">
        <v>-0.7</v>
      </c>
      <c r="F24" s="24">
        <v>-0.6</v>
      </c>
    </row>
    <row r="25" s="24" customFormat="1" spans="1:6">
      <c r="A25" s="24" t="s">
        <v>140</v>
      </c>
      <c r="B25" s="24" t="str">
        <f>"600485"</f>
        <v>600485</v>
      </c>
      <c r="C25" s="24" t="s">
        <v>178</v>
      </c>
      <c r="D25" s="24" t="s">
        <v>179</v>
      </c>
      <c r="E25" s="24">
        <v>-0.72</v>
      </c>
      <c r="F25" s="24">
        <v>-0.69</v>
      </c>
    </row>
    <row r="26" s="24" customFormat="1" spans="1:6">
      <c r="A26" s="24" t="s">
        <v>140</v>
      </c>
      <c r="B26" s="24" t="str">
        <f>"600614"</f>
        <v>600614</v>
      </c>
      <c r="C26" s="24" t="s">
        <v>180</v>
      </c>
      <c r="D26" s="24" t="s">
        <v>167</v>
      </c>
      <c r="E26" s="24">
        <v>-0.73</v>
      </c>
      <c r="F26" s="24">
        <v>13.5</v>
      </c>
    </row>
    <row r="27" s="24" customFormat="1" spans="1:6">
      <c r="A27" s="24" t="s">
        <v>142</v>
      </c>
      <c r="B27" s="24" t="str">
        <f>"300313"</f>
        <v>300313</v>
      </c>
      <c r="C27" s="24" t="s">
        <v>181</v>
      </c>
      <c r="D27" s="24" t="s">
        <v>145</v>
      </c>
      <c r="E27" s="24">
        <v>-0.74</v>
      </c>
      <c r="F27" s="24">
        <v>7.96</v>
      </c>
    </row>
    <row r="28" s="24" customFormat="1" spans="1:6">
      <c r="A28" s="24" t="s">
        <v>142</v>
      </c>
      <c r="B28" s="24" t="str">
        <f>"002210"</f>
        <v>002210</v>
      </c>
      <c r="C28" s="24" t="s">
        <v>182</v>
      </c>
      <c r="D28" s="24" t="s">
        <v>177</v>
      </c>
      <c r="E28" s="24">
        <v>-0.76</v>
      </c>
      <c r="F28" s="24">
        <v>2.03</v>
      </c>
    </row>
    <row r="29" s="24" customFormat="1" spans="1:6">
      <c r="A29" s="24" t="s">
        <v>142</v>
      </c>
      <c r="B29" s="24" t="str">
        <f>"002005"</f>
        <v>002005</v>
      </c>
      <c r="C29" s="24" t="s">
        <v>183</v>
      </c>
      <c r="D29" s="24" t="s">
        <v>184</v>
      </c>
      <c r="E29" s="24">
        <v>-0.77</v>
      </c>
      <c r="F29" s="24">
        <v>1.4</v>
      </c>
    </row>
    <row r="30" s="24" customFormat="1" spans="1:6">
      <c r="A30" s="24" t="s">
        <v>140</v>
      </c>
      <c r="B30" s="24" t="str">
        <f>"600666"</f>
        <v>600666</v>
      </c>
      <c r="C30" s="24" t="s">
        <v>185</v>
      </c>
      <c r="D30" s="24" t="s">
        <v>152</v>
      </c>
      <c r="E30" s="24">
        <v>-0.78</v>
      </c>
      <c r="F30" s="24">
        <v>15.79</v>
      </c>
    </row>
    <row r="31" s="24" customFormat="1" spans="1:6">
      <c r="A31" s="24" t="s">
        <v>142</v>
      </c>
      <c r="B31" s="24" t="str">
        <f>"300269"</f>
        <v>300269</v>
      </c>
      <c r="C31" s="24" t="s">
        <v>186</v>
      </c>
      <c r="D31" s="24" t="s">
        <v>170</v>
      </c>
      <c r="E31" s="24">
        <v>-0.78</v>
      </c>
      <c r="F31" s="24">
        <v>2.51</v>
      </c>
    </row>
    <row r="32" s="24" customFormat="1" spans="1:6">
      <c r="A32" s="24" t="s">
        <v>142</v>
      </c>
      <c r="B32" s="24" t="str">
        <f>"000939"</f>
        <v>000939</v>
      </c>
      <c r="C32" s="24" t="s">
        <v>187</v>
      </c>
      <c r="D32" s="24" t="s">
        <v>188</v>
      </c>
      <c r="E32" s="24">
        <v>-0.81</v>
      </c>
      <c r="F32" s="24">
        <v>2.57</v>
      </c>
    </row>
    <row r="33" s="24" customFormat="1" spans="1:6">
      <c r="A33" s="24" t="s">
        <v>142</v>
      </c>
      <c r="B33" s="24" t="str">
        <f>"002604"</f>
        <v>002604</v>
      </c>
      <c r="C33" s="24" t="s">
        <v>189</v>
      </c>
      <c r="D33" s="24" t="s">
        <v>190</v>
      </c>
      <c r="E33" s="24">
        <v>-0.85</v>
      </c>
      <c r="F33" s="24">
        <v>-0.35</v>
      </c>
    </row>
    <row r="34" s="24" customFormat="1" spans="1:6">
      <c r="A34" s="24" t="s">
        <v>142</v>
      </c>
      <c r="B34" s="24" t="str">
        <f>"300431"</f>
        <v>300431</v>
      </c>
      <c r="C34" s="24" t="s">
        <v>191</v>
      </c>
      <c r="D34" s="24" t="s">
        <v>163</v>
      </c>
      <c r="E34" s="24">
        <v>-0.87</v>
      </c>
      <c r="F34" s="24">
        <v>-1.72</v>
      </c>
    </row>
    <row r="35" s="24" customFormat="1" spans="1:6">
      <c r="A35" s="24" t="s">
        <v>142</v>
      </c>
      <c r="B35" s="24" t="str">
        <f>"002359"</f>
        <v>002359</v>
      </c>
      <c r="C35" s="24" t="s">
        <v>192</v>
      </c>
      <c r="D35" s="24" t="s">
        <v>193</v>
      </c>
      <c r="E35" s="24">
        <v>-0.92</v>
      </c>
      <c r="F35" s="24">
        <v>0.68</v>
      </c>
    </row>
    <row r="36" s="24" customFormat="1" spans="1:6">
      <c r="A36" s="24" t="s">
        <v>142</v>
      </c>
      <c r="B36" s="24" t="str">
        <f>"000669"</f>
        <v>000669</v>
      </c>
      <c r="C36" s="24" t="s">
        <v>194</v>
      </c>
      <c r="D36" s="24" t="s">
        <v>195</v>
      </c>
      <c r="E36" s="24">
        <v>-0.96</v>
      </c>
      <c r="F36" s="24">
        <v>0.93</v>
      </c>
    </row>
    <row r="37" s="24" customFormat="1" spans="1:6">
      <c r="A37" s="24" t="s">
        <v>142</v>
      </c>
      <c r="B37" s="24" t="str">
        <f>"000536"</f>
        <v>000536</v>
      </c>
      <c r="C37" s="24" t="s">
        <v>196</v>
      </c>
      <c r="D37" s="24" t="s">
        <v>197</v>
      </c>
      <c r="E37" s="24">
        <v>-0.97</v>
      </c>
      <c r="F37" s="24">
        <v>1.03</v>
      </c>
    </row>
    <row r="38" s="24" customFormat="1" spans="1:6">
      <c r="A38" s="24" t="s">
        <v>142</v>
      </c>
      <c r="B38" s="24" t="str">
        <f>"002070"</f>
        <v>002070</v>
      </c>
      <c r="C38" s="24" t="s">
        <v>198</v>
      </c>
      <c r="D38" s="24"/>
      <c r="E38" s="24">
        <v>-0.97</v>
      </c>
      <c r="F38" s="24">
        <v>-0.39</v>
      </c>
    </row>
    <row r="39" s="24" customFormat="1" spans="1:6">
      <c r="A39" s="24" t="s">
        <v>142</v>
      </c>
      <c r="B39" s="24" t="str">
        <f>"000663"</f>
        <v>000663</v>
      </c>
      <c r="C39" s="24" t="s">
        <v>199</v>
      </c>
      <c r="D39" s="24" t="s">
        <v>200</v>
      </c>
      <c r="E39" s="24">
        <v>-0.98</v>
      </c>
      <c r="F39" s="24">
        <v>1.72</v>
      </c>
    </row>
    <row r="40" s="24" customFormat="1" spans="1:6">
      <c r="A40" s="24" t="s">
        <v>142</v>
      </c>
      <c r="B40" s="24" t="str">
        <f>"300156"</f>
        <v>300156</v>
      </c>
      <c r="C40" s="24" t="s">
        <v>201</v>
      </c>
      <c r="D40" s="24" t="s">
        <v>173</v>
      </c>
      <c r="E40" s="24">
        <v>-1</v>
      </c>
      <c r="F40" s="24">
        <v>5.14</v>
      </c>
    </row>
    <row r="41" s="24" customFormat="1" spans="1:6">
      <c r="A41" s="24" t="s">
        <v>142</v>
      </c>
      <c r="B41" s="24" t="str">
        <f>"300116"</f>
        <v>300116</v>
      </c>
      <c r="C41" s="24" t="s">
        <v>202</v>
      </c>
      <c r="D41" s="24" t="s">
        <v>152</v>
      </c>
      <c r="E41" s="24">
        <v>-1.01</v>
      </c>
      <c r="F41" s="24">
        <v>-1.79</v>
      </c>
    </row>
    <row r="42" s="24" customFormat="1" spans="1:6">
      <c r="A42" s="24" t="s">
        <v>142</v>
      </c>
      <c r="B42" s="24" t="str">
        <f>"000760"</f>
        <v>000760</v>
      </c>
      <c r="C42" s="24" t="s">
        <v>203</v>
      </c>
      <c r="D42" s="24" t="s">
        <v>204</v>
      </c>
      <c r="E42" s="24">
        <v>-1.03</v>
      </c>
      <c r="F42" s="24">
        <v>2.14</v>
      </c>
    </row>
    <row r="43" s="24" customFormat="1" spans="1:6">
      <c r="A43" s="24" t="s">
        <v>140</v>
      </c>
      <c r="B43" s="24" t="str">
        <f>"600651"</f>
        <v>600651</v>
      </c>
      <c r="C43" s="24" t="s">
        <v>205</v>
      </c>
      <c r="D43" s="24" t="s">
        <v>184</v>
      </c>
      <c r="E43" s="24">
        <v>-1.03</v>
      </c>
      <c r="F43" s="24">
        <v>-5.04</v>
      </c>
    </row>
    <row r="44" s="24" customFormat="1" spans="1:6">
      <c r="A44" s="24" t="s">
        <v>140</v>
      </c>
      <c r="B44" s="24" t="str">
        <f>"600122"</f>
        <v>600122</v>
      </c>
      <c r="C44" s="24" t="s">
        <v>206</v>
      </c>
      <c r="D44" s="24" t="s">
        <v>207</v>
      </c>
      <c r="E44" s="24">
        <v>-1.07</v>
      </c>
      <c r="F44" s="24">
        <v>0.42</v>
      </c>
    </row>
    <row r="45" s="24" customFormat="1" spans="1:6">
      <c r="A45" s="24" t="s">
        <v>142</v>
      </c>
      <c r="B45" s="24" t="str">
        <f>"300216"</f>
        <v>300216</v>
      </c>
      <c r="C45" s="24" t="s">
        <v>208</v>
      </c>
      <c r="D45" s="24" t="s">
        <v>173</v>
      </c>
      <c r="E45" s="24">
        <v>-1.12</v>
      </c>
      <c r="F45" s="24">
        <v>5.29</v>
      </c>
    </row>
    <row r="46" s="24" customFormat="1" spans="1:6">
      <c r="A46" s="24" t="s">
        <v>140</v>
      </c>
      <c r="B46" s="24" t="str">
        <f>"900906"</f>
        <v>900906</v>
      </c>
      <c r="C46" s="24" t="s">
        <v>209</v>
      </c>
      <c r="D46" s="24"/>
      <c r="E46" s="24">
        <v>-1.13</v>
      </c>
      <c r="F46" s="24">
        <v>98.98</v>
      </c>
    </row>
    <row r="47" s="24" customFormat="1" spans="1:6">
      <c r="A47" s="24" t="s">
        <v>142</v>
      </c>
      <c r="B47" s="24" t="str">
        <f>"000793"</f>
        <v>000793</v>
      </c>
      <c r="C47" s="24" t="s">
        <v>210</v>
      </c>
      <c r="D47" s="24" t="s">
        <v>170</v>
      </c>
      <c r="E47" s="24">
        <v>-1.18</v>
      </c>
      <c r="F47" s="24">
        <v>1.94</v>
      </c>
    </row>
    <row r="48" s="24" customFormat="1" spans="1:6">
      <c r="A48" s="24" t="s">
        <v>140</v>
      </c>
      <c r="B48" s="24" t="str">
        <f>"600687"</f>
        <v>600687</v>
      </c>
      <c r="C48" s="24" t="s">
        <v>211</v>
      </c>
      <c r="D48" s="24" t="s">
        <v>161</v>
      </c>
      <c r="E48" s="24">
        <v>-1.27</v>
      </c>
      <c r="F48" s="24">
        <v>0.44</v>
      </c>
    </row>
    <row r="49" s="24" customFormat="1" spans="1:6">
      <c r="A49" s="24" t="s">
        <v>142</v>
      </c>
      <c r="B49" s="24" t="str">
        <f>"002502"</f>
        <v>002502</v>
      </c>
      <c r="C49" s="24" t="s">
        <v>212</v>
      </c>
      <c r="D49" s="24" t="s">
        <v>170</v>
      </c>
      <c r="E49" s="24">
        <v>-1.27</v>
      </c>
      <c r="F49" s="24">
        <v>1.46</v>
      </c>
    </row>
    <row r="50" s="24" customFormat="1" spans="1:6">
      <c r="A50" s="24" t="s">
        <v>142</v>
      </c>
      <c r="B50" s="24" t="str">
        <f>"000820"</f>
        <v>000820</v>
      </c>
      <c r="C50" s="24" t="s">
        <v>213</v>
      </c>
      <c r="D50" s="24" t="s">
        <v>214</v>
      </c>
      <c r="E50" s="24">
        <v>-1.28</v>
      </c>
      <c r="F50" s="24">
        <v>19.64</v>
      </c>
    </row>
    <row r="51" s="24" customFormat="1" spans="1:6">
      <c r="A51" s="24" t="s">
        <v>142</v>
      </c>
      <c r="B51" s="24" t="str">
        <f>"002499"</f>
        <v>002499</v>
      </c>
      <c r="C51" s="24" t="s">
        <v>215</v>
      </c>
      <c r="D51" s="24" t="s">
        <v>188</v>
      </c>
      <c r="E51" s="24">
        <v>-1.29</v>
      </c>
      <c r="F51" s="24">
        <v>4.42</v>
      </c>
    </row>
    <row r="52" s="24" customFormat="1" spans="1:6">
      <c r="A52" s="24" t="s">
        <v>142</v>
      </c>
      <c r="B52" s="24" t="str">
        <f>"002684"</f>
        <v>002684</v>
      </c>
      <c r="C52" s="24" t="s">
        <v>216</v>
      </c>
      <c r="D52" s="24" t="s">
        <v>152</v>
      </c>
      <c r="E52" s="24">
        <v>-1.3</v>
      </c>
      <c r="F52" s="24">
        <v>-3.01</v>
      </c>
    </row>
    <row r="53" s="24" customFormat="1" spans="1:6">
      <c r="A53" s="24" t="s">
        <v>142</v>
      </c>
      <c r="B53" s="24" t="str">
        <f>"300364"</f>
        <v>300364</v>
      </c>
      <c r="C53" s="24" t="s">
        <v>217</v>
      </c>
      <c r="D53" s="24" t="s">
        <v>170</v>
      </c>
      <c r="E53" s="24">
        <v>-1.4</v>
      </c>
      <c r="F53" s="24">
        <v>1.5</v>
      </c>
    </row>
    <row r="54" s="24" customFormat="1" spans="1:6">
      <c r="A54" s="24" t="s">
        <v>142</v>
      </c>
      <c r="B54" s="24" t="str">
        <f>"000971"</f>
        <v>000971</v>
      </c>
      <c r="C54" s="24" t="s">
        <v>218</v>
      </c>
      <c r="D54" s="24" t="s">
        <v>163</v>
      </c>
      <c r="E54" s="24">
        <v>-1.45</v>
      </c>
      <c r="F54" s="24">
        <v>4.43</v>
      </c>
    </row>
    <row r="55" s="24" customFormat="1" spans="1:6">
      <c r="A55" s="24" t="s">
        <v>142</v>
      </c>
      <c r="B55" s="24" t="str">
        <f>"300028"</f>
        <v>300028</v>
      </c>
      <c r="C55" s="24" t="s">
        <v>219</v>
      </c>
      <c r="D55" s="24" t="s">
        <v>193</v>
      </c>
      <c r="E55" s="24">
        <v>-1.45</v>
      </c>
      <c r="F55" s="24">
        <v>1.56</v>
      </c>
    </row>
    <row r="56" s="24" customFormat="1" spans="1:6">
      <c r="A56" s="24" t="s">
        <v>142</v>
      </c>
      <c r="B56" s="24" t="str">
        <f>"002220"</f>
        <v>002220</v>
      </c>
      <c r="C56" s="24" t="s">
        <v>220</v>
      </c>
      <c r="D56" s="24" t="s">
        <v>145</v>
      </c>
      <c r="E56" s="24">
        <v>-1.49</v>
      </c>
      <c r="F56" s="24">
        <v>0.44</v>
      </c>
    </row>
    <row r="57" s="24" customFormat="1" spans="1:6">
      <c r="A57" s="24" t="s">
        <v>142</v>
      </c>
      <c r="B57" s="24" t="str">
        <f>"002260"</f>
        <v>002260</v>
      </c>
      <c r="C57" s="24" t="s">
        <v>221</v>
      </c>
      <c r="D57" s="24" t="s">
        <v>184</v>
      </c>
      <c r="E57" s="24">
        <v>-1.49</v>
      </c>
      <c r="F57" s="24">
        <v>-3.73</v>
      </c>
    </row>
    <row r="58" s="24" customFormat="1" spans="1:6">
      <c r="A58" s="24" t="s">
        <v>140</v>
      </c>
      <c r="B58" s="24" t="str">
        <f>"600654"</f>
        <v>600654</v>
      </c>
      <c r="C58" s="24" t="s">
        <v>222</v>
      </c>
      <c r="D58" s="24" t="s">
        <v>152</v>
      </c>
      <c r="E58" s="24">
        <v>-1.5</v>
      </c>
      <c r="F58" s="24">
        <v>-2.41</v>
      </c>
    </row>
    <row r="59" s="24" customFormat="1" spans="1:6">
      <c r="A59" s="24" t="s">
        <v>142</v>
      </c>
      <c r="B59" s="24" t="str">
        <f>"002716"</f>
        <v>002716</v>
      </c>
      <c r="C59" s="24" t="s">
        <v>223</v>
      </c>
      <c r="D59" s="24" t="s">
        <v>167</v>
      </c>
      <c r="E59" s="24">
        <v>-1.55</v>
      </c>
      <c r="F59" s="24">
        <v>1.07</v>
      </c>
    </row>
    <row r="60" s="24" customFormat="1" spans="1:6">
      <c r="A60" s="24" t="s">
        <v>142</v>
      </c>
      <c r="B60" s="24" t="str">
        <f>"000911"</f>
        <v>000911</v>
      </c>
      <c r="C60" s="24" t="s">
        <v>224</v>
      </c>
      <c r="D60" s="24" t="s">
        <v>190</v>
      </c>
      <c r="E60" s="24">
        <v>-1.56</v>
      </c>
      <c r="F60" s="24">
        <v>-3.71</v>
      </c>
    </row>
    <row r="61" s="24" customFormat="1" spans="1:6">
      <c r="A61" s="24" t="s">
        <v>140</v>
      </c>
      <c r="B61" s="24" t="str">
        <f>"600595"</f>
        <v>600595</v>
      </c>
      <c r="C61" s="24" t="s">
        <v>225</v>
      </c>
      <c r="D61" s="24" t="s">
        <v>167</v>
      </c>
      <c r="E61" s="24">
        <v>-1.58</v>
      </c>
      <c r="F61" s="24">
        <v>1.19</v>
      </c>
    </row>
    <row r="62" s="24" customFormat="1" spans="1:6">
      <c r="A62" s="24" t="s">
        <v>142</v>
      </c>
      <c r="B62" s="24" t="str">
        <f>"002076"</f>
        <v>002076</v>
      </c>
      <c r="C62" s="24" t="s">
        <v>226</v>
      </c>
      <c r="D62" s="24" t="s">
        <v>184</v>
      </c>
      <c r="E62" s="24">
        <v>-1.63</v>
      </c>
      <c r="F62" s="24">
        <v>14.36</v>
      </c>
    </row>
    <row r="63" s="24" customFormat="1" spans="1:6">
      <c r="A63" s="24" t="s">
        <v>142</v>
      </c>
      <c r="B63" s="24" t="str">
        <f>"300221"</f>
        <v>300221</v>
      </c>
      <c r="C63" s="24" t="s">
        <v>227</v>
      </c>
      <c r="D63" s="24" t="s">
        <v>228</v>
      </c>
      <c r="E63" s="24">
        <v>-1.72</v>
      </c>
      <c r="F63" s="24">
        <v>2.33</v>
      </c>
    </row>
    <row r="64" s="24" customFormat="1" spans="1:6">
      <c r="A64" s="24" t="s">
        <v>142</v>
      </c>
      <c r="B64" s="24" t="str">
        <f>"300317"</f>
        <v>300317</v>
      </c>
      <c r="C64" s="24" t="s">
        <v>229</v>
      </c>
      <c r="D64" s="24" t="s">
        <v>230</v>
      </c>
      <c r="E64" s="24">
        <v>-1.73</v>
      </c>
      <c r="F64" s="24">
        <v>1.29</v>
      </c>
    </row>
    <row r="65" s="24" customFormat="1" spans="1:6">
      <c r="A65" s="24" t="s">
        <v>142</v>
      </c>
      <c r="B65" s="24" t="str">
        <f>"300343"</f>
        <v>300343</v>
      </c>
      <c r="C65" s="24" t="s">
        <v>231</v>
      </c>
      <c r="D65" s="24" t="s">
        <v>170</v>
      </c>
      <c r="E65" s="24">
        <v>-1.78</v>
      </c>
      <c r="F65" s="24">
        <v>2.94</v>
      </c>
    </row>
    <row r="66" s="24" customFormat="1" spans="1:6">
      <c r="A66" s="24" t="s">
        <v>140</v>
      </c>
      <c r="B66" s="24" t="str">
        <f>"600086"</f>
        <v>600086</v>
      </c>
      <c r="C66" s="24" t="s">
        <v>232</v>
      </c>
      <c r="D66" s="24" t="s">
        <v>161</v>
      </c>
      <c r="E66" s="24">
        <v>-1.82</v>
      </c>
      <c r="F66" s="24">
        <v>1.75</v>
      </c>
    </row>
    <row r="67" s="24" customFormat="1" spans="1:6">
      <c r="A67" s="24" t="s">
        <v>142</v>
      </c>
      <c r="B67" s="24" t="str">
        <f>"300071"</f>
        <v>300071</v>
      </c>
      <c r="C67" s="24" t="s">
        <v>233</v>
      </c>
      <c r="D67" s="24" t="s">
        <v>170</v>
      </c>
      <c r="E67" s="24">
        <v>-1.82</v>
      </c>
      <c r="F67" s="24">
        <v>-5.2</v>
      </c>
    </row>
    <row r="68" s="24" customFormat="1" spans="1:6">
      <c r="A68" s="24" t="s">
        <v>142</v>
      </c>
      <c r="B68" s="24" t="str">
        <f>"002418"</f>
        <v>002418</v>
      </c>
      <c r="C68" s="24" t="s">
        <v>234</v>
      </c>
      <c r="D68" s="24" t="s">
        <v>165</v>
      </c>
      <c r="E68" s="24">
        <v>-1.84</v>
      </c>
      <c r="F68" s="24">
        <v>2.68</v>
      </c>
    </row>
    <row r="69" s="24" customFormat="1" spans="1:6">
      <c r="A69" s="24" t="s">
        <v>142</v>
      </c>
      <c r="B69" s="24" t="str">
        <f>"000673"</f>
        <v>000673</v>
      </c>
      <c r="C69" s="24" t="s">
        <v>235</v>
      </c>
      <c r="D69" s="24" t="s">
        <v>170</v>
      </c>
      <c r="E69" s="24">
        <v>-1.85</v>
      </c>
      <c r="F69" s="24">
        <v>7.03</v>
      </c>
    </row>
    <row r="70" s="24" customFormat="1" spans="1:6">
      <c r="A70" s="24" t="s">
        <v>142</v>
      </c>
      <c r="B70" s="24" t="str">
        <f>"002611"</f>
        <v>002611</v>
      </c>
      <c r="C70" s="24" t="s">
        <v>236</v>
      </c>
      <c r="D70" s="24" t="s">
        <v>204</v>
      </c>
      <c r="E70" s="24">
        <v>-1.86</v>
      </c>
      <c r="F70" s="24">
        <v>1.93</v>
      </c>
    </row>
    <row r="71" s="24" customFormat="1" spans="1:6">
      <c r="A71" s="24" t="s">
        <v>140</v>
      </c>
      <c r="B71" s="24" t="str">
        <f>"600892"</f>
        <v>600892</v>
      </c>
      <c r="C71" s="24" t="s">
        <v>237</v>
      </c>
      <c r="D71" s="24" t="s">
        <v>156</v>
      </c>
      <c r="E71" s="24">
        <v>-1.86</v>
      </c>
      <c r="F71" s="24">
        <v>5.46</v>
      </c>
    </row>
    <row r="72" s="24" customFormat="1" spans="1:6">
      <c r="A72" s="24" t="s">
        <v>140</v>
      </c>
      <c r="B72" s="24" t="str">
        <f>"601258"</f>
        <v>601258</v>
      </c>
      <c r="C72" s="24" t="s">
        <v>238</v>
      </c>
      <c r="D72" s="24" t="s">
        <v>207</v>
      </c>
      <c r="E72" s="24">
        <v>-1.88</v>
      </c>
      <c r="F72" s="24">
        <v>3.49</v>
      </c>
    </row>
    <row r="73" s="24" customFormat="1" spans="1:6">
      <c r="A73" s="24" t="s">
        <v>142</v>
      </c>
      <c r="B73" s="24" t="str">
        <f>"300432"</f>
        <v>300432</v>
      </c>
      <c r="C73" s="24" t="s">
        <v>239</v>
      </c>
      <c r="D73" s="24" t="s">
        <v>204</v>
      </c>
      <c r="E73" s="24">
        <v>-1.91</v>
      </c>
      <c r="F73" s="24">
        <v>3.08</v>
      </c>
    </row>
    <row r="74" s="24" customFormat="1" spans="1:6">
      <c r="A74" s="24" t="s">
        <v>142</v>
      </c>
      <c r="B74" s="24" t="str">
        <f>"000980"</f>
        <v>000980</v>
      </c>
      <c r="C74" s="24" t="s">
        <v>240</v>
      </c>
      <c r="D74" s="24" t="s">
        <v>204</v>
      </c>
      <c r="E74" s="24">
        <v>-1.91</v>
      </c>
      <c r="F74" s="24">
        <v>0.46</v>
      </c>
    </row>
    <row r="75" s="24" customFormat="1" spans="1:6">
      <c r="A75" s="24" t="s">
        <v>140</v>
      </c>
      <c r="B75" s="24" t="str">
        <f>"600652"</f>
        <v>600652</v>
      </c>
      <c r="C75" s="24" t="s">
        <v>241</v>
      </c>
      <c r="D75" s="24" t="s">
        <v>163</v>
      </c>
      <c r="E75" s="24">
        <v>-1.97</v>
      </c>
      <c r="F75" s="24">
        <v>1.11</v>
      </c>
    </row>
    <row r="76" s="24" customFormat="1" spans="1:6">
      <c r="A76" s="24" t="s">
        <v>142</v>
      </c>
      <c r="B76" s="24" t="str">
        <f>"002011"</f>
        <v>002011</v>
      </c>
      <c r="C76" s="24" t="s">
        <v>242</v>
      </c>
      <c r="D76" s="24" t="s">
        <v>165</v>
      </c>
      <c r="E76" s="24">
        <v>-2.02</v>
      </c>
      <c r="F76" s="24">
        <v>1.5</v>
      </c>
    </row>
    <row r="77" s="24" customFormat="1" spans="1:6">
      <c r="A77" s="24" t="s">
        <v>140</v>
      </c>
      <c r="B77" s="24" t="str">
        <f>"600568"</f>
        <v>600568</v>
      </c>
      <c r="C77" s="24" t="s">
        <v>243</v>
      </c>
      <c r="D77" s="24" t="s">
        <v>244</v>
      </c>
      <c r="E77" s="24">
        <v>-2.04</v>
      </c>
      <c r="F77" s="24">
        <v>0.9</v>
      </c>
    </row>
    <row r="78" s="24" customFormat="1" spans="1:6">
      <c r="A78" s="24" t="s">
        <v>140</v>
      </c>
      <c r="B78" s="24" t="str">
        <f>"600856"</f>
        <v>600856</v>
      </c>
      <c r="C78" s="24" t="s">
        <v>245</v>
      </c>
      <c r="D78" s="24" t="s">
        <v>246</v>
      </c>
      <c r="E78" s="24">
        <v>-2.07</v>
      </c>
      <c r="F78" s="24">
        <v>0.74</v>
      </c>
    </row>
    <row r="79" s="24" customFormat="1" spans="1:6">
      <c r="A79" s="24" t="s">
        <v>142</v>
      </c>
      <c r="B79" s="24" t="str">
        <f>"300426"</f>
        <v>300426</v>
      </c>
      <c r="C79" s="24" t="s">
        <v>247</v>
      </c>
      <c r="D79" s="24" t="s">
        <v>170</v>
      </c>
      <c r="E79" s="24">
        <v>-2.08</v>
      </c>
      <c r="F79" s="24">
        <v>10.16</v>
      </c>
    </row>
    <row r="80" s="24" customFormat="1" spans="1:6">
      <c r="A80" s="24" t="s">
        <v>142</v>
      </c>
      <c r="B80" s="24" t="str">
        <f>"300083"</f>
        <v>300083</v>
      </c>
      <c r="C80" s="24" t="s">
        <v>248</v>
      </c>
      <c r="D80" s="24" t="s">
        <v>197</v>
      </c>
      <c r="E80" s="24">
        <v>-2.09</v>
      </c>
      <c r="F80" s="24">
        <v>5.94</v>
      </c>
    </row>
    <row r="81" s="24" customFormat="1" spans="1:6">
      <c r="A81" s="24" t="s">
        <v>142</v>
      </c>
      <c r="B81" s="24" t="str">
        <f>"000038"</f>
        <v>000038</v>
      </c>
      <c r="C81" s="24" t="s">
        <v>249</v>
      </c>
      <c r="D81" s="24" t="s">
        <v>170</v>
      </c>
      <c r="E81" s="24">
        <v>-2.12</v>
      </c>
      <c r="F81" s="24">
        <v>2.08</v>
      </c>
    </row>
    <row r="82" s="24" customFormat="1" spans="1:6">
      <c r="A82" s="24" t="s">
        <v>142</v>
      </c>
      <c r="B82" s="24" t="str">
        <f>"000533"</f>
        <v>000533</v>
      </c>
      <c r="C82" s="24" t="s">
        <v>250</v>
      </c>
      <c r="D82" s="24" t="s">
        <v>251</v>
      </c>
      <c r="E82" s="24">
        <v>-2.12</v>
      </c>
      <c r="F82" s="24">
        <v>2.94</v>
      </c>
    </row>
    <row r="83" s="24" customFormat="1" spans="1:6">
      <c r="A83" s="24" t="s">
        <v>142</v>
      </c>
      <c r="B83" s="24" t="str">
        <f>"000982"</f>
        <v>000982</v>
      </c>
      <c r="C83" s="24" t="s">
        <v>252</v>
      </c>
      <c r="D83" s="24" t="s">
        <v>253</v>
      </c>
      <c r="E83" s="24">
        <v>-2.12</v>
      </c>
      <c r="F83" s="24">
        <v>-3.68</v>
      </c>
    </row>
    <row r="84" s="24" customFormat="1" spans="1:6">
      <c r="A84" s="24" t="s">
        <v>142</v>
      </c>
      <c r="B84" s="24" t="str">
        <f>"300242"</f>
        <v>300242</v>
      </c>
      <c r="C84" s="24" t="s">
        <v>254</v>
      </c>
      <c r="D84" s="24" t="s">
        <v>170</v>
      </c>
      <c r="E84" s="24">
        <v>-2.15</v>
      </c>
      <c r="F84" s="24">
        <v>3.66</v>
      </c>
    </row>
    <row r="85" s="24" customFormat="1" spans="1:6">
      <c r="A85" s="24" t="s">
        <v>142</v>
      </c>
      <c r="B85" s="24" t="str">
        <f>"000707"</f>
        <v>000707</v>
      </c>
      <c r="C85" s="24" t="s">
        <v>255</v>
      </c>
      <c r="D85" s="24" t="s">
        <v>256</v>
      </c>
      <c r="E85" s="24">
        <v>-2.18</v>
      </c>
      <c r="F85" s="24">
        <v>8.18</v>
      </c>
    </row>
    <row r="86" s="24" customFormat="1" spans="1:6">
      <c r="A86" s="24" t="s">
        <v>140</v>
      </c>
      <c r="B86" s="24" t="str">
        <f>"600117"</f>
        <v>600117</v>
      </c>
      <c r="C86" s="24" t="s">
        <v>257</v>
      </c>
      <c r="D86" s="24" t="s">
        <v>258</v>
      </c>
      <c r="E86" s="24">
        <v>-2.25</v>
      </c>
      <c r="F86" s="24">
        <v>2.82</v>
      </c>
    </row>
    <row r="87" s="24" customFormat="1" spans="1:6">
      <c r="A87" s="24" t="s">
        <v>142</v>
      </c>
      <c r="B87" s="24" t="str">
        <f>"000571"</f>
        <v>000571</v>
      </c>
      <c r="C87" s="24" t="s">
        <v>259</v>
      </c>
      <c r="D87" s="24" t="s">
        <v>260</v>
      </c>
      <c r="E87" s="24">
        <v>-2.26</v>
      </c>
      <c r="F87" s="24">
        <v>1.74</v>
      </c>
    </row>
    <row r="88" s="24" customFormat="1" spans="1:6">
      <c r="A88" s="24" t="s">
        <v>140</v>
      </c>
      <c r="B88" s="24" t="str">
        <f>"603996"</f>
        <v>603996</v>
      </c>
      <c r="C88" s="24" t="s">
        <v>261</v>
      </c>
      <c r="D88" s="24" t="s">
        <v>184</v>
      </c>
      <c r="E88" s="24">
        <v>-2.26</v>
      </c>
      <c r="F88" s="24">
        <v>0.85</v>
      </c>
    </row>
    <row r="89" s="24" customFormat="1" spans="1:6">
      <c r="A89" s="24" t="s">
        <v>142</v>
      </c>
      <c r="B89" s="24" t="str">
        <f>"002089"</f>
        <v>002089</v>
      </c>
      <c r="C89" s="24" t="s">
        <v>262</v>
      </c>
      <c r="D89" s="24" t="s">
        <v>193</v>
      </c>
      <c r="E89" s="24">
        <v>-2.27</v>
      </c>
      <c r="F89" s="24">
        <v>3.4</v>
      </c>
    </row>
    <row r="90" s="24" customFormat="1" spans="1:6">
      <c r="A90" s="24" t="s">
        <v>140</v>
      </c>
      <c r="B90" s="24" t="str">
        <f>"600146"</f>
        <v>600146</v>
      </c>
      <c r="C90" s="24" t="s">
        <v>263</v>
      </c>
      <c r="D90" s="24" t="s">
        <v>161</v>
      </c>
      <c r="E90" s="24">
        <v>-2.27</v>
      </c>
      <c r="F90" s="24">
        <v>5.77</v>
      </c>
    </row>
    <row r="91" s="24" customFormat="1" spans="1:6">
      <c r="A91" s="24" t="s">
        <v>140</v>
      </c>
      <c r="B91" s="24" t="str">
        <f>"603157"</f>
        <v>603157</v>
      </c>
      <c r="C91" s="24" t="s">
        <v>264</v>
      </c>
      <c r="D91" s="24" t="s">
        <v>161</v>
      </c>
      <c r="E91" s="24">
        <v>-2.29</v>
      </c>
      <c r="F91" s="24">
        <v>1.24</v>
      </c>
    </row>
    <row r="92" s="24" customFormat="1" spans="1:6">
      <c r="A92" s="24" t="s">
        <v>142</v>
      </c>
      <c r="B92" s="24" t="str">
        <f>"300411"</f>
        <v>300411</v>
      </c>
      <c r="C92" s="24" t="s">
        <v>265</v>
      </c>
      <c r="D92" s="24" t="s">
        <v>165</v>
      </c>
      <c r="E92" s="24">
        <v>-2.31</v>
      </c>
      <c r="F92" s="24">
        <v>2.97</v>
      </c>
    </row>
    <row r="93" s="24" customFormat="1" spans="1:6">
      <c r="A93" s="24" t="s">
        <v>140</v>
      </c>
      <c r="B93" s="24" t="str">
        <f>"600175"</f>
        <v>600175</v>
      </c>
      <c r="C93" s="24" t="s">
        <v>266</v>
      </c>
      <c r="D93" s="24" t="s">
        <v>267</v>
      </c>
      <c r="E93" s="24">
        <v>-2.35</v>
      </c>
      <c r="F93" s="24">
        <v>0.53</v>
      </c>
    </row>
    <row r="94" s="24" customFormat="1" spans="1:6">
      <c r="A94" s="24" t="s">
        <v>140</v>
      </c>
      <c r="B94" s="24" t="str">
        <f>"900930"</f>
        <v>900930</v>
      </c>
      <c r="C94" s="24" t="s">
        <v>268</v>
      </c>
      <c r="D94" s="24"/>
      <c r="E94" s="24">
        <v>-2.36</v>
      </c>
      <c r="F94" s="24">
        <v>2.79</v>
      </c>
    </row>
    <row r="95" s="24" customFormat="1" spans="1:6">
      <c r="A95" s="24" t="s">
        <v>142</v>
      </c>
      <c r="B95" s="24" t="str">
        <f>"300528"</f>
        <v>300528</v>
      </c>
      <c r="C95" s="24" t="s">
        <v>269</v>
      </c>
      <c r="D95" s="24" t="s">
        <v>170</v>
      </c>
      <c r="E95" s="24">
        <v>-2.42</v>
      </c>
      <c r="F95" s="24">
        <v>1.74</v>
      </c>
    </row>
    <row r="96" s="24" customFormat="1" spans="1:6">
      <c r="A96" s="24" t="s">
        <v>142</v>
      </c>
      <c r="B96" s="24" t="str">
        <f>"002071"</f>
        <v>002071</v>
      </c>
      <c r="C96" s="24" t="s">
        <v>270</v>
      </c>
      <c r="D96" s="24" t="s">
        <v>170</v>
      </c>
      <c r="E96" s="24">
        <v>-2.46</v>
      </c>
      <c r="F96" s="24">
        <v>-1.85</v>
      </c>
    </row>
    <row r="97" s="24" customFormat="1" spans="1:6">
      <c r="A97" s="24" t="s">
        <v>142</v>
      </c>
      <c r="B97" s="24" t="str">
        <f>"000572"</f>
        <v>000572</v>
      </c>
      <c r="C97" s="24" t="s">
        <v>271</v>
      </c>
      <c r="D97" s="24" t="s">
        <v>175</v>
      </c>
      <c r="E97" s="24">
        <v>-2.46</v>
      </c>
      <c r="F97" s="24">
        <v>0.81</v>
      </c>
    </row>
    <row r="98" s="24" customFormat="1" spans="1:6">
      <c r="A98" s="24" t="s">
        <v>142</v>
      </c>
      <c r="B98" s="24" t="str">
        <f>"002175"</f>
        <v>002175</v>
      </c>
      <c r="C98" s="24" t="s">
        <v>272</v>
      </c>
      <c r="D98" s="24" t="s">
        <v>170</v>
      </c>
      <c r="E98" s="24">
        <v>-2.48</v>
      </c>
      <c r="F98" s="24">
        <v>18.96</v>
      </c>
    </row>
    <row r="99" s="24" customFormat="1" spans="1:6">
      <c r="A99" s="24" t="s">
        <v>142</v>
      </c>
      <c r="B99" s="24" t="str">
        <f>"002122"</f>
        <v>002122</v>
      </c>
      <c r="C99" s="24" t="s">
        <v>273</v>
      </c>
      <c r="D99" s="24" t="s">
        <v>165</v>
      </c>
      <c r="E99" s="24">
        <v>-2.48</v>
      </c>
      <c r="F99" s="24">
        <v>0.97</v>
      </c>
    </row>
    <row r="100" s="24" customFormat="1" spans="1:6">
      <c r="A100" s="24" t="s">
        <v>140</v>
      </c>
      <c r="B100" s="24" t="str">
        <f>"603111"</f>
        <v>603111</v>
      </c>
      <c r="C100" s="24" t="s">
        <v>274</v>
      </c>
      <c r="D100" s="24" t="s">
        <v>173</v>
      </c>
      <c r="E100" s="24">
        <v>-2.49</v>
      </c>
      <c r="F100" s="24">
        <v>3.29</v>
      </c>
    </row>
    <row r="101" s="24" customFormat="1" spans="1:6">
      <c r="A101" s="24" t="s">
        <v>142</v>
      </c>
      <c r="B101" s="24" t="str">
        <f>"300077"</f>
        <v>300077</v>
      </c>
      <c r="C101" s="24" t="s">
        <v>275</v>
      </c>
      <c r="D101" s="24" t="s">
        <v>276</v>
      </c>
      <c r="E101" s="24">
        <v>-2.54</v>
      </c>
      <c r="F101" s="24">
        <v>5.26</v>
      </c>
    </row>
    <row r="102" s="24" customFormat="1" spans="1:6">
      <c r="A102" s="24" t="s">
        <v>142</v>
      </c>
      <c r="B102" s="24" t="str">
        <f>"002513"</f>
        <v>002513</v>
      </c>
      <c r="C102" s="24" t="s">
        <v>277</v>
      </c>
      <c r="D102" s="24" t="s">
        <v>278</v>
      </c>
      <c r="E102" s="24">
        <v>-2.56</v>
      </c>
      <c r="F102" s="24">
        <v>1.43</v>
      </c>
    </row>
    <row r="103" s="24" customFormat="1" spans="1:6">
      <c r="A103" s="24" t="s">
        <v>142</v>
      </c>
      <c r="B103" s="24" t="str">
        <f>"300023"</f>
        <v>300023</v>
      </c>
      <c r="C103" s="24" t="s">
        <v>279</v>
      </c>
      <c r="D103" s="24" t="s">
        <v>280</v>
      </c>
      <c r="E103" s="24">
        <v>-2.6</v>
      </c>
      <c r="F103" s="24">
        <v>6.31</v>
      </c>
    </row>
    <row r="104" s="24" customFormat="1" spans="1:6">
      <c r="A104" s="24" t="s">
        <v>142</v>
      </c>
      <c r="B104" s="24" t="str">
        <f>"002668"</f>
        <v>002668</v>
      </c>
      <c r="C104" s="24" t="s">
        <v>281</v>
      </c>
      <c r="D104" s="24" t="s">
        <v>184</v>
      </c>
      <c r="E104" s="24">
        <v>-2.63</v>
      </c>
      <c r="F104" s="24">
        <v>2.08</v>
      </c>
    </row>
    <row r="105" s="24" customFormat="1" spans="1:6">
      <c r="A105" s="24" t="s">
        <v>142</v>
      </c>
      <c r="B105" s="24" t="str">
        <f>"300247"</f>
        <v>300247</v>
      </c>
      <c r="C105" s="24" t="s">
        <v>282</v>
      </c>
      <c r="D105" s="24" t="s">
        <v>283</v>
      </c>
      <c r="E105" s="24">
        <v>-2.63</v>
      </c>
      <c r="F105" s="24">
        <v>1.86</v>
      </c>
    </row>
    <row r="106" s="24" customFormat="1" spans="1:6">
      <c r="A106" s="24" t="s">
        <v>142</v>
      </c>
      <c r="B106" s="24" t="str">
        <f>"002176"</f>
        <v>002176</v>
      </c>
      <c r="C106" s="24" t="s">
        <v>284</v>
      </c>
      <c r="D106" s="24" t="s">
        <v>251</v>
      </c>
      <c r="E106" s="24">
        <v>-2.64</v>
      </c>
      <c r="F106" s="24">
        <v>1.56</v>
      </c>
    </row>
    <row r="107" s="24" customFormat="1" spans="1:6">
      <c r="A107" s="24" t="s">
        <v>142</v>
      </c>
      <c r="B107" s="24" t="str">
        <f>"000981"</f>
        <v>000981</v>
      </c>
      <c r="C107" s="24" t="s">
        <v>285</v>
      </c>
      <c r="D107" s="24" t="s">
        <v>204</v>
      </c>
      <c r="E107" s="24">
        <v>-2.64</v>
      </c>
      <c r="F107" s="24">
        <v>0.84</v>
      </c>
    </row>
    <row r="108" s="24" customFormat="1" spans="1:6">
      <c r="A108" s="24" t="s">
        <v>140</v>
      </c>
      <c r="B108" s="24" t="str">
        <f>"600898"</f>
        <v>600898</v>
      </c>
      <c r="C108" s="24" t="s">
        <v>286</v>
      </c>
      <c r="D108" s="24" t="s">
        <v>193</v>
      </c>
      <c r="E108" s="24">
        <v>-2.64</v>
      </c>
      <c r="F108" s="24">
        <v>-2.82</v>
      </c>
    </row>
    <row r="109" s="24" customFormat="1" spans="1:6">
      <c r="A109" s="24" t="s">
        <v>140</v>
      </c>
      <c r="B109" s="24" t="str">
        <f>"900937"</f>
        <v>900937</v>
      </c>
      <c r="C109" s="24" t="s">
        <v>287</v>
      </c>
      <c r="D109" s="24"/>
      <c r="E109" s="24">
        <v>-2.66</v>
      </c>
      <c r="F109" s="24">
        <v>1.33</v>
      </c>
    </row>
    <row r="110" s="24" customFormat="1" spans="1:6">
      <c r="A110" s="24" t="s">
        <v>140</v>
      </c>
      <c r="B110" s="24" t="str">
        <f>"600239"</f>
        <v>600239</v>
      </c>
      <c r="C110" s="24" t="s">
        <v>288</v>
      </c>
      <c r="D110" s="24" t="s">
        <v>244</v>
      </c>
      <c r="E110" s="24">
        <v>-2.66</v>
      </c>
      <c r="F110" s="24">
        <v>1.1</v>
      </c>
    </row>
    <row r="111" s="24" customFormat="1" spans="1:6">
      <c r="A111" s="24" t="s">
        <v>142</v>
      </c>
      <c r="B111" s="24" t="str">
        <f>"002374"</f>
        <v>002374</v>
      </c>
      <c r="C111" s="24" t="s">
        <v>289</v>
      </c>
      <c r="D111" s="24" t="s">
        <v>290</v>
      </c>
      <c r="E111" s="24">
        <v>-2.74</v>
      </c>
      <c r="F111" s="24">
        <v>0.95</v>
      </c>
    </row>
    <row r="112" s="24" customFormat="1" spans="1:6">
      <c r="A112" s="24" t="s">
        <v>140</v>
      </c>
      <c r="B112" s="24" t="str">
        <f>"600227"</f>
        <v>600227</v>
      </c>
      <c r="C112" s="24" t="s">
        <v>291</v>
      </c>
      <c r="D112" s="24" t="s">
        <v>278</v>
      </c>
      <c r="E112" s="24">
        <v>-2.74</v>
      </c>
      <c r="F112" s="24">
        <v>1.42</v>
      </c>
    </row>
    <row r="113" s="24" customFormat="1" spans="1:6">
      <c r="A113" s="24" t="s">
        <v>140</v>
      </c>
      <c r="B113" s="24" t="str">
        <f>"600416"</f>
        <v>600416</v>
      </c>
      <c r="C113" s="24" t="s">
        <v>292</v>
      </c>
      <c r="D113" s="24" t="s">
        <v>293</v>
      </c>
      <c r="E113" s="24">
        <v>-2.77</v>
      </c>
      <c r="F113" s="24">
        <v>1.7</v>
      </c>
    </row>
    <row r="114" s="24" customFormat="1" spans="1:6">
      <c r="A114" s="24" t="s">
        <v>140</v>
      </c>
      <c r="B114" s="24" t="str">
        <f>"600255"</f>
        <v>600255</v>
      </c>
      <c r="C114" s="24" t="s">
        <v>294</v>
      </c>
      <c r="D114" s="24" t="s">
        <v>167</v>
      </c>
      <c r="E114" s="24">
        <v>-2.79</v>
      </c>
      <c r="F114" s="24">
        <v>1.38</v>
      </c>
    </row>
    <row r="115" s="24" customFormat="1" spans="1:6">
      <c r="A115" s="24" t="s">
        <v>142</v>
      </c>
      <c r="B115" s="24" t="str">
        <f>"002255"</f>
        <v>002255</v>
      </c>
      <c r="C115" s="24" t="s">
        <v>295</v>
      </c>
      <c r="D115" s="24" t="s">
        <v>165</v>
      </c>
      <c r="E115" s="24">
        <v>-2.8</v>
      </c>
      <c r="F115" s="24">
        <v>0.7</v>
      </c>
    </row>
    <row r="116" s="24" customFormat="1" spans="1:6">
      <c r="A116" s="24" t="s">
        <v>142</v>
      </c>
      <c r="B116" s="24" t="str">
        <f>"300291"</f>
        <v>300291</v>
      </c>
      <c r="C116" s="24" t="s">
        <v>296</v>
      </c>
      <c r="D116" s="24" t="s">
        <v>170</v>
      </c>
      <c r="E116" s="24">
        <v>-2.82</v>
      </c>
      <c r="F116" s="24">
        <v>1.37</v>
      </c>
    </row>
    <row r="117" s="24" customFormat="1" spans="1:6">
      <c r="A117" s="24" t="s">
        <v>142</v>
      </c>
      <c r="B117" s="24" t="str">
        <f>"002290"</f>
        <v>002290</v>
      </c>
      <c r="C117" s="24" t="s">
        <v>297</v>
      </c>
      <c r="D117" s="24" t="s">
        <v>228</v>
      </c>
      <c r="E117" s="24">
        <v>-2.83</v>
      </c>
      <c r="F117" s="24">
        <v>1.23</v>
      </c>
    </row>
    <row r="118" s="24" customFormat="1" spans="1:6">
      <c r="A118" s="24" t="s">
        <v>140</v>
      </c>
      <c r="B118" s="24" t="str">
        <f>"603555"</f>
        <v>603555</v>
      </c>
      <c r="C118" s="24" t="s">
        <v>298</v>
      </c>
      <c r="D118" s="24" t="s">
        <v>161</v>
      </c>
      <c r="E118" s="24">
        <v>-2.88</v>
      </c>
      <c r="F118" s="24">
        <v>1.76</v>
      </c>
    </row>
    <row r="119" s="24" customFormat="1" spans="1:6">
      <c r="A119" s="24" t="s">
        <v>142</v>
      </c>
      <c r="B119" s="24" t="str">
        <f>"300063"</f>
        <v>300063</v>
      </c>
      <c r="C119" s="24" t="s">
        <v>299</v>
      </c>
      <c r="D119" s="24" t="s">
        <v>170</v>
      </c>
      <c r="E119" s="24">
        <v>-2.88</v>
      </c>
      <c r="F119" s="24">
        <v>2.76</v>
      </c>
    </row>
    <row r="120" s="24" customFormat="1" spans="1:6">
      <c r="A120" s="24" t="s">
        <v>142</v>
      </c>
      <c r="B120" s="24" t="str">
        <f>"000835"</f>
        <v>000835</v>
      </c>
      <c r="C120" s="24" t="s">
        <v>300</v>
      </c>
      <c r="D120" s="24" t="s">
        <v>156</v>
      </c>
      <c r="E120" s="24">
        <v>-2.88</v>
      </c>
      <c r="F120" s="24">
        <v>-4.4</v>
      </c>
    </row>
    <row r="121" s="24" customFormat="1" spans="1:6">
      <c r="A121" s="24" t="s">
        <v>142</v>
      </c>
      <c r="B121" s="24" t="str">
        <f>"002427"</f>
        <v>002427</v>
      </c>
      <c r="C121" s="24" t="s">
        <v>301</v>
      </c>
      <c r="D121" s="24" t="s">
        <v>302</v>
      </c>
      <c r="E121" s="24">
        <v>-2.9</v>
      </c>
      <c r="F121" s="24">
        <v>12.03</v>
      </c>
    </row>
    <row r="122" s="24" customFormat="1" spans="1:6">
      <c r="A122" s="24" t="s">
        <v>142</v>
      </c>
      <c r="B122" s="24" t="str">
        <f>"300310"</f>
        <v>300310</v>
      </c>
      <c r="C122" s="24" t="s">
        <v>303</v>
      </c>
      <c r="D122" s="24" t="s">
        <v>179</v>
      </c>
      <c r="E122" s="24">
        <v>-2.9</v>
      </c>
      <c r="F122" s="24">
        <v>2.74</v>
      </c>
    </row>
    <row r="123" s="24" customFormat="1" spans="1:6">
      <c r="A123" s="24" t="s">
        <v>142</v>
      </c>
      <c r="B123" s="24" t="str">
        <f>"000679"</f>
        <v>000679</v>
      </c>
      <c r="C123" s="24" t="s">
        <v>304</v>
      </c>
      <c r="D123" s="24" t="s">
        <v>148</v>
      </c>
      <c r="E123" s="24">
        <v>-2.91</v>
      </c>
      <c r="F123" s="24">
        <v>1.5</v>
      </c>
    </row>
    <row r="124" s="24" customFormat="1" spans="1:6">
      <c r="A124" s="24" t="s">
        <v>142</v>
      </c>
      <c r="B124" s="24" t="str">
        <f>"200625"</f>
        <v>200625</v>
      </c>
      <c r="C124" s="24" t="s">
        <v>305</v>
      </c>
      <c r="D124" s="24"/>
      <c r="E124" s="24">
        <v>-2.92</v>
      </c>
      <c r="F124" s="24">
        <v>0.46</v>
      </c>
    </row>
    <row r="125" s="24" customFormat="1" spans="1:6">
      <c r="A125" s="24" t="s">
        <v>142</v>
      </c>
      <c r="B125" s="24" t="str">
        <f>"000410"</f>
        <v>000410</v>
      </c>
      <c r="C125" s="24" t="s">
        <v>306</v>
      </c>
      <c r="D125" s="24" t="s">
        <v>165</v>
      </c>
      <c r="E125" s="24">
        <v>-3.01</v>
      </c>
      <c r="F125" s="24">
        <v>-3.61</v>
      </c>
    </row>
    <row r="126" s="24" customFormat="1" spans="1:6">
      <c r="A126" s="24" t="s">
        <v>142</v>
      </c>
      <c r="B126" s="24" t="str">
        <f>"300350"</f>
        <v>300350</v>
      </c>
      <c r="C126" s="24" t="s">
        <v>307</v>
      </c>
      <c r="D126" s="24" t="s">
        <v>177</v>
      </c>
      <c r="E126" s="24">
        <v>-3.03</v>
      </c>
      <c r="F126" s="24">
        <v>3.43</v>
      </c>
    </row>
    <row r="127" s="24" customFormat="1" spans="1:6">
      <c r="A127" s="24" t="s">
        <v>142</v>
      </c>
      <c r="B127" s="24" t="str">
        <f>"000752"</f>
        <v>000752</v>
      </c>
      <c r="C127" s="24" t="s">
        <v>308</v>
      </c>
      <c r="D127" s="24" t="s">
        <v>309</v>
      </c>
      <c r="E127" s="24">
        <v>-3.04</v>
      </c>
      <c r="F127" s="24">
        <v>3.94</v>
      </c>
    </row>
    <row r="128" s="24" customFormat="1" spans="1:6">
      <c r="A128" s="24" t="s">
        <v>140</v>
      </c>
      <c r="B128" s="24" t="str">
        <f>"600815"</f>
        <v>600815</v>
      </c>
      <c r="C128" s="24" t="s">
        <v>310</v>
      </c>
      <c r="D128" s="24" t="s">
        <v>173</v>
      </c>
      <c r="E128" s="24">
        <v>-3.05</v>
      </c>
      <c r="F128" s="24">
        <v>-5.41</v>
      </c>
    </row>
    <row r="129" s="24" customFormat="1" spans="1:6">
      <c r="A129" s="24" t="s">
        <v>142</v>
      </c>
      <c r="B129" s="24" t="str">
        <f>"000806"</f>
        <v>000806</v>
      </c>
      <c r="C129" s="24" t="s">
        <v>311</v>
      </c>
      <c r="D129" s="24" t="s">
        <v>293</v>
      </c>
      <c r="E129" s="24">
        <v>-3.07</v>
      </c>
      <c r="F129" s="24">
        <v>1.76</v>
      </c>
    </row>
    <row r="130" s="24" customFormat="1" spans="1:6">
      <c r="A130" s="24" t="s">
        <v>142</v>
      </c>
      <c r="B130" s="24" t="str">
        <f>"300419"</f>
        <v>300419</v>
      </c>
      <c r="C130" s="24" t="s">
        <v>312</v>
      </c>
      <c r="D130" s="24" t="s">
        <v>159</v>
      </c>
      <c r="E130" s="24">
        <v>-3.14</v>
      </c>
      <c r="F130" s="24">
        <v>2.56</v>
      </c>
    </row>
    <row r="131" s="24" customFormat="1" spans="1:6">
      <c r="A131" s="24" t="s">
        <v>142</v>
      </c>
      <c r="B131" s="24" t="str">
        <f>"002098"</f>
        <v>002098</v>
      </c>
      <c r="C131" s="24" t="s">
        <v>313</v>
      </c>
      <c r="D131" s="24" t="s">
        <v>161</v>
      </c>
      <c r="E131" s="24">
        <v>-3.15</v>
      </c>
      <c r="F131" s="24">
        <v>3.68</v>
      </c>
    </row>
    <row r="132" s="24" customFormat="1" spans="1:6">
      <c r="A132" s="24" t="s">
        <v>140</v>
      </c>
      <c r="B132" s="24" t="str">
        <f>"600610"</f>
        <v>600610</v>
      </c>
      <c r="C132" s="24" t="s">
        <v>314</v>
      </c>
      <c r="D132" s="24" t="s">
        <v>315</v>
      </c>
      <c r="E132" s="24">
        <v>-3.16</v>
      </c>
      <c r="F132" s="24">
        <v>262.28</v>
      </c>
    </row>
    <row r="133" s="24" customFormat="1" spans="1:6">
      <c r="A133" s="24" t="s">
        <v>140</v>
      </c>
      <c r="B133" s="24" t="str">
        <f>"600470"</f>
        <v>600470</v>
      </c>
      <c r="C133" s="24" t="s">
        <v>316</v>
      </c>
      <c r="D133" s="24" t="s">
        <v>278</v>
      </c>
      <c r="E133" s="24">
        <v>-3.17</v>
      </c>
      <c r="F133" s="24">
        <v>1.33</v>
      </c>
    </row>
    <row r="134" s="24" customFormat="1" spans="1:6">
      <c r="A134" s="24" t="s">
        <v>142</v>
      </c>
      <c r="B134" s="24" t="str">
        <f>"002249"</f>
        <v>002249</v>
      </c>
      <c r="C134" s="24" t="s">
        <v>317</v>
      </c>
      <c r="D134" s="24" t="s">
        <v>165</v>
      </c>
      <c r="E134" s="24">
        <v>-3.17</v>
      </c>
      <c r="F134" s="24">
        <v>1.47</v>
      </c>
    </row>
    <row r="135" s="24" customFormat="1" spans="1:6">
      <c r="A135" s="24" t="s">
        <v>140</v>
      </c>
      <c r="B135" s="24" t="str">
        <f>"600462"</f>
        <v>600462</v>
      </c>
      <c r="C135" s="24" t="s">
        <v>318</v>
      </c>
      <c r="D135" s="24" t="s">
        <v>230</v>
      </c>
      <c r="E135" s="24">
        <v>-3.25</v>
      </c>
      <c r="F135" s="24">
        <v>-58.08</v>
      </c>
    </row>
    <row r="136" s="24" customFormat="1" spans="1:6">
      <c r="A136" s="24" t="s">
        <v>142</v>
      </c>
      <c r="B136" s="24" t="str">
        <f>"002086"</f>
        <v>002086</v>
      </c>
      <c r="C136" s="24" t="s">
        <v>319</v>
      </c>
      <c r="D136" s="24" t="s">
        <v>145</v>
      </c>
      <c r="E136" s="24">
        <v>-3.26</v>
      </c>
      <c r="F136" s="24">
        <v>0.94</v>
      </c>
    </row>
    <row r="137" s="24" customFormat="1" spans="1:6">
      <c r="A137" s="24" t="s">
        <v>142</v>
      </c>
      <c r="B137" s="24" t="str">
        <f>"300148"</f>
        <v>300148</v>
      </c>
      <c r="C137" s="24" t="s">
        <v>320</v>
      </c>
      <c r="D137" s="24" t="s">
        <v>170</v>
      </c>
      <c r="E137" s="24">
        <v>-3.29</v>
      </c>
      <c r="F137" s="24">
        <v>2.28</v>
      </c>
    </row>
    <row r="138" s="24" customFormat="1" spans="1:6">
      <c r="A138" s="24" t="s">
        <v>142</v>
      </c>
      <c r="B138" s="24" t="str">
        <f>"002642"</f>
        <v>002642</v>
      </c>
      <c r="C138" s="24" t="s">
        <v>321</v>
      </c>
      <c r="D138" s="24" t="s">
        <v>159</v>
      </c>
      <c r="E138" s="24">
        <v>-3.3</v>
      </c>
      <c r="F138" s="24">
        <v>1.98</v>
      </c>
    </row>
    <row r="139" s="24" customFormat="1" spans="1:6">
      <c r="A139" s="24" t="s">
        <v>142</v>
      </c>
      <c r="B139" s="24" t="str">
        <f>"300256"</f>
        <v>300256</v>
      </c>
      <c r="C139" s="24" t="s">
        <v>322</v>
      </c>
      <c r="D139" s="24" t="s">
        <v>197</v>
      </c>
      <c r="E139" s="24">
        <v>-3.32</v>
      </c>
      <c r="F139" s="24">
        <v>7.51</v>
      </c>
    </row>
    <row r="140" s="24" customFormat="1" spans="1:6">
      <c r="A140" s="24" t="s">
        <v>142</v>
      </c>
      <c r="B140" s="24" t="str">
        <f>"300287"</f>
        <v>300287</v>
      </c>
      <c r="C140" s="24" t="s">
        <v>323</v>
      </c>
      <c r="D140" s="24" t="s">
        <v>159</v>
      </c>
      <c r="E140" s="24">
        <v>-3.32</v>
      </c>
      <c r="F140" s="24">
        <v>2.41</v>
      </c>
    </row>
    <row r="141" s="24" customFormat="1" spans="1:6">
      <c r="A141" s="24" t="s">
        <v>142</v>
      </c>
      <c r="B141" s="24" t="str">
        <f>"002103"</f>
        <v>002103</v>
      </c>
      <c r="C141" s="24" t="s">
        <v>324</v>
      </c>
      <c r="D141" s="24" t="s">
        <v>214</v>
      </c>
      <c r="E141" s="24">
        <v>-3.35</v>
      </c>
      <c r="F141" s="24">
        <v>2.69</v>
      </c>
    </row>
    <row r="142" s="24" customFormat="1" spans="1:6">
      <c r="A142" s="24" t="s">
        <v>140</v>
      </c>
      <c r="B142" s="24" t="str">
        <f>"600721"</f>
        <v>600721</v>
      </c>
      <c r="C142" s="24" t="s">
        <v>325</v>
      </c>
      <c r="D142" s="24" t="s">
        <v>326</v>
      </c>
      <c r="E142" s="24">
        <v>-3.35</v>
      </c>
      <c r="F142" s="24">
        <v>3.54</v>
      </c>
    </row>
    <row r="143" s="24" customFormat="1" spans="1:6">
      <c r="A143" s="24" t="s">
        <v>142</v>
      </c>
      <c r="B143" s="24" t="str">
        <f>"002509"</f>
        <v>002509</v>
      </c>
      <c r="C143" s="24" t="s">
        <v>327</v>
      </c>
      <c r="D143" s="24" t="s">
        <v>315</v>
      </c>
      <c r="E143" s="24">
        <v>-3.37</v>
      </c>
      <c r="F143" s="24">
        <v>0.81</v>
      </c>
    </row>
    <row r="144" s="24" customFormat="1" spans="1:6">
      <c r="A144" s="24" t="s">
        <v>142</v>
      </c>
      <c r="B144" s="24" t="str">
        <f>"002766"</f>
        <v>002766</v>
      </c>
      <c r="C144" s="24" t="s">
        <v>328</v>
      </c>
      <c r="D144" s="24" t="s">
        <v>156</v>
      </c>
      <c r="E144" s="24">
        <v>-3.49</v>
      </c>
      <c r="F144" s="24">
        <v>2.84</v>
      </c>
    </row>
    <row r="145" s="24" customFormat="1" spans="1:6">
      <c r="A145" s="24" t="s">
        <v>142</v>
      </c>
      <c r="B145" s="24" t="str">
        <f>"002519"</f>
        <v>002519</v>
      </c>
      <c r="C145" s="24" t="s">
        <v>329</v>
      </c>
      <c r="D145" s="24" t="s">
        <v>193</v>
      </c>
      <c r="E145" s="24">
        <v>-3.5</v>
      </c>
      <c r="F145" s="24">
        <v>1.81</v>
      </c>
    </row>
    <row r="146" s="24" customFormat="1" spans="1:6">
      <c r="A146" s="24" t="s">
        <v>142</v>
      </c>
      <c r="B146" s="24" t="str">
        <f>"002420"</f>
        <v>002420</v>
      </c>
      <c r="C146" s="24" t="s">
        <v>330</v>
      </c>
      <c r="D146" s="24" t="s">
        <v>184</v>
      </c>
      <c r="E146" s="24">
        <v>-3.52</v>
      </c>
      <c r="F146" s="24">
        <v>3.61</v>
      </c>
    </row>
    <row r="147" s="24" customFormat="1" spans="1:6">
      <c r="A147" s="24" t="s">
        <v>142</v>
      </c>
      <c r="B147" s="24" t="str">
        <f>"002638"</f>
        <v>002638</v>
      </c>
      <c r="C147" s="24" t="s">
        <v>331</v>
      </c>
      <c r="D147" s="24" t="s">
        <v>230</v>
      </c>
      <c r="E147" s="24">
        <v>-3.65</v>
      </c>
      <c r="F147" s="24">
        <v>1.38</v>
      </c>
    </row>
    <row r="148" s="24" customFormat="1" spans="1:6">
      <c r="A148" s="24" t="s">
        <v>142</v>
      </c>
      <c r="B148" s="24" t="str">
        <f>"300061"</f>
        <v>300061</v>
      </c>
      <c r="C148" s="24" t="s">
        <v>332</v>
      </c>
      <c r="D148" s="24" t="s">
        <v>333</v>
      </c>
      <c r="E148" s="24">
        <v>-3.65</v>
      </c>
      <c r="F148" s="24">
        <v>3.5</v>
      </c>
    </row>
    <row r="149" s="24" customFormat="1" spans="1:6">
      <c r="A149" s="24" t="s">
        <v>142</v>
      </c>
      <c r="B149" s="24" t="str">
        <f>"002121"</f>
        <v>002121</v>
      </c>
      <c r="C149" s="24" t="s">
        <v>334</v>
      </c>
      <c r="D149" s="24" t="s">
        <v>251</v>
      </c>
      <c r="E149" s="24">
        <v>-3.66</v>
      </c>
      <c r="F149" s="24">
        <v>1.95</v>
      </c>
    </row>
    <row r="150" s="24" customFormat="1" spans="1:6">
      <c r="A150" s="24" t="s">
        <v>142</v>
      </c>
      <c r="B150" s="24" t="str">
        <f>"002072"</f>
        <v>002072</v>
      </c>
      <c r="C150" s="24" t="s">
        <v>335</v>
      </c>
      <c r="D150" s="24" t="s">
        <v>336</v>
      </c>
      <c r="E150" s="24">
        <v>-3.66</v>
      </c>
      <c r="F150" s="24">
        <v>-4.28</v>
      </c>
    </row>
    <row r="151" s="24" customFormat="1" spans="1:6">
      <c r="A151" s="24" t="s">
        <v>142</v>
      </c>
      <c r="B151" s="24" t="str">
        <f>"000701"</f>
        <v>000701</v>
      </c>
      <c r="C151" s="24" t="s">
        <v>337</v>
      </c>
      <c r="D151" s="24" t="s">
        <v>267</v>
      </c>
      <c r="E151" s="24">
        <v>-3.73</v>
      </c>
      <c r="F151" s="24">
        <v>0.71</v>
      </c>
    </row>
    <row r="152" s="24" customFormat="1" spans="1:6">
      <c r="A152" s="24" t="s">
        <v>140</v>
      </c>
      <c r="B152" s="24" t="str">
        <f>"900951"</f>
        <v>900951</v>
      </c>
      <c r="C152" s="24" t="s">
        <v>338</v>
      </c>
      <c r="D152" s="24"/>
      <c r="E152" s="24">
        <v>-3.77</v>
      </c>
      <c r="F152" s="24">
        <v>-12.97</v>
      </c>
    </row>
    <row r="153" s="24" customFormat="1" spans="1:6">
      <c r="A153" s="24" t="s">
        <v>142</v>
      </c>
      <c r="B153" s="24" t="str">
        <f>"300032"</f>
        <v>300032</v>
      </c>
      <c r="C153" s="24" t="s">
        <v>339</v>
      </c>
      <c r="D153" s="24" t="s">
        <v>152</v>
      </c>
      <c r="E153" s="24">
        <v>-3.86</v>
      </c>
      <c r="F153" s="24">
        <v>2.24</v>
      </c>
    </row>
    <row r="154" s="24" customFormat="1" spans="1:6">
      <c r="A154" s="24" t="s">
        <v>142</v>
      </c>
      <c r="B154" s="24" t="str">
        <f>"300173"</f>
        <v>300173</v>
      </c>
      <c r="C154" s="24" t="s">
        <v>340</v>
      </c>
      <c r="D154" s="24" t="s">
        <v>173</v>
      </c>
      <c r="E154" s="24">
        <v>-3.9</v>
      </c>
      <c r="F154" s="24">
        <v>4.63</v>
      </c>
    </row>
    <row r="155" s="24" customFormat="1" spans="1:6">
      <c r="A155" s="24" t="s">
        <v>142</v>
      </c>
      <c r="B155" s="24" t="str">
        <f>"002654"</f>
        <v>002654</v>
      </c>
      <c r="C155" s="24" t="s">
        <v>341</v>
      </c>
      <c r="D155" s="24" t="s">
        <v>230</v>
      </c>
      <c r="E155" s="24">
        <v>-3.91</v>
      </c>
      <c r="F155" s="24">
        <v>3.32</v>
      </c>
    </row>
    <row r="156" s="24" customFormat="1" spans="1:6">
      <c r="A156" s="24" t="s">
        <v>140</v>
      </c>
      <c r="B156" s="24" t="str">
        <f>"600423"</f>
        <v>600423</v>
      </c>
      <c r="C156" s="24" t="s">
        <v>342</v>
      </c>
      <c r="D156" s="24" t="s">
        <v>278</v>
      </c>
      <c r="E156" s="24">
        <v>-3.97</v>
      </c>
      <c r="F156" s="24">
        <v>1.4</v>
      </c>
    </row>
    <row r="157" s="24" customFormat="1" spans="1:6">
      <c r="A157" s="24" t="s">
        <v>140</v>
      </c>
      <c r="B157" s="24" t="str">
        <f>"603169"</f>
        <v>603169</v>
      </c>
      <c r="C157" s="24" t="s">
        <v>343</v>
      </c>
      <c r="D157" s="24" t="s">
        <v>173</v>
      </c>
      <c r="E157" s="24">
        <v>-4</v>
      </c>
      <c r="F157" s="24">
        <v>3.38</v>
      </c>
    </row>
    <row r="158" s="24" customFormat="1" spans="1:6">
      <c r="A158" s="24" t="s">
        <v>142</v>
      </c>
      <c r="B158" s="24" t="str">
        <f>"000933"</f>
        <v>000933</v>
      </c>
      <c r="C158" s="24" t="s">
        <v>344</v>
      </c>
      <c r="D158" s="24" t="s">
        <v>167</v>
      </c>
      <c r="E158" s="24">
        <v>-4.03</v>
      </c>
      <c r="F158" s="24">
        <v>1</v>
      </c>
    </row>
    <row r="159" s="24" customFormat="1" spans="1:6">
      <c r="A159" s="24" t="s">
        <v>142</v>
      </c>
      <c r="B159" s="24" t="str">
        <f>"002323"</f>
        <v>002323</v>
      </c>
      <c r="C159" s="24" t="s">
        <v>345</v>
      </c>
      <c r="D159" s="24" t="s">
        <v>315</v>
      </c>
      <c r="E159" s="24">
        <v>-4.08</v>
      </c>
      <c r="F159" s="24">
        <v>6.15</v>
      </c>
    </row>
    <row r="160" s="24" customFormat="1" spans="1:6">
      <c r="A160" s="24" t="s">
        <v>140</v>
      </c>
      <c r="B160" s="24" t="str">
        <f>"600119"</f>
        <v>600119</v>
      </c>
      <c r="C160" s="24" t="s">
        <v>346</v>
      </c>
      <c r="D160" s="24" t="s">
        <v>177</v>
      </c>
      <c r="E160" s="24">
        <v>-4.09</v>
      </c>
      <c r="F160" s="24">
        <v>-17.63</v>
      </c>
    </row>
    <row r="161" s="24" customFormat="1" spans="1:6">
      <c r="A161" s="24" t="s">
        <v>142</v>
      </c>
      <c r="B161" s="24" t="str">
        <f>"002219"</f>
        <v>002219</v>
      </c>
      <c r="C161" s="24" t="s">
        <v>347</v>
      </c>
      <c r="D161" s="24" t="s">
        <v>348</v>
      </c>
      <c r="E161" s="24">
        <v>-4.13</v>
      </c>
      <c r="F161" s="24">
        <v>-7.75</v>
      </c>
    </row>
    <row r="162" s="24" customFormat="1" spans="1:6">
      <c r="A162" s="24" t="s">
        <v>142</v>
      </c>
      <c r="B162" s="24" t="str">
        <f>"300008"</f>
        <v>300008</v>
      </c>
      <c r="C162" s="24" t="s">
        <v>349</v>
      </c>
      <c r="D162" s="24" t="s">
        <v>214</v>
      </c>
      <c r="E162" s="24">
        <v>-4.22</v>
      </c>
      <c r="F162" s="24">
        <v>3.75</v>
      </c>
    </row>
    <row r="163" s="24" customFormat="1" spans="1:6">
      <c r="A163" s="24" t="s">
        <v>142</v>
      </c>
      <c r="B163" s="24" t="str">
        <f>"002021"</f>
        <v>002021</v>
      </c>
      <c r="C163" s="24" t="s">
        <v>350</v>
      </c>
      <c r="D163" s="24" t="s">
        <v>173</v>
      </c>
      <c r="E163" s="24">
        <v>-4.24</v>
      </c>
      <c r="F163" s="24">
        <v>2.15</v>
      </c>
    </row>
    <row r="164" s="24" customFormat="1" spans="1:6">
      <c r="A164" s="24" t="s">
        <v>140</v>
      </c>
      <c r="B164" s="24" t="str">
        <f>"600734"</f>
        <v>600734</v>
      </c>
      <c r="C164" s="24" t="s">
        <v>351</v>
      </c>
      <c r="D164" s="24" t="s">
        <v>352</v>
      </c>
      <c r="E164" s="24">
        <v>-4.31</v>
      </c>
      <c r="F164" s="24">
        <v>2.31</v>
      </c>
    </row>
    <row r="165" s="24" customFormat="1" spans="1:6">
      <c r="A165" s="24" t="s">
        <v>142</v>
      </c>
      <c r="B165" s="24" t="str">
        <f>"002343"</f>
        <v>002343</v>
      </c>
      <c r="C165" s="24" t="s">
        <v>353</v>
      </c>
      <c r="D165" s="24" t="s">
        <v>170</v>
      </c>
      <c r="E165" s="24">
        <v>-4.32</v>
      </c>
      <c r="F165" s="24">
        <v>3.75</v>
      </c>
    </row>
    <row r="166" s="24" customFormat="1" spans="1:6">
      <c r="A166" s="24" t="s">
        <v>140</v>
      </c>
      <c r="B166" s="24" t="str">
        <f>"600880"</f>
        <v>600880</v>
      </c>
      <c r="C166" s="24" t="s">
        <v>354</v>
      </c>
      <c r="D166" s="24" t="s">
        <v>170</v>
      </c>
      <c r="E166" s="24">
        <v>-4.33</v>
      </c>
      <c r="F166" s="24">
        <v>1.51</v>
      </c>
    </row>
    <row r="167" s="24" customFormat="1" spans="1:6">
      <c r="A167" s="24" t="s">
        <v>142</v>
      </c>
      <c r="B167" s="24" t="str">
        <f>"002426"</f>
        <v>002426</v>
      </c>
      <c r="C167" s="24" t="s">
        <v>355</v>
      </c>
      <c r="D167" s="24" t="s">
        <v>184</v>
      </c>
      <c r="E167" s="24">
        <v>-4.4</v>
      </c>
      <c r="F167" s="24">
        <v>1.12</v>
      </c>
    </row>
    <row r="168" s="24" customFormat="1" spans="1:6">
      <c r="A168" s="24" t="s">
        <v>142</v>
      </c>
      <c r="B168" s="24" t="str">
        <f>"002280"</f>
        <v>002280</v>
      </c>
      <c r="C168" s="24" t="s">
        <v>356</v>
      </c>
      <c r="D168" s="24" t="s">
        <v>156</v>
      </c>
      <c r="E168" s="24">
        <v>-4.42</v>
      </c>
      <c r="F168" s="24">
        <v>2.37</v>
      </c>
    </row>
    <row r="169" s="24" customFormat="1" spans="1:6">
      <c r="A169" s="24" t="s">
        <v>142</v>
      </c>
      <c r="B169" s="24" t="str">
        <f>"300279"</f>
        <v>300279</v>
      </c>
      <c r="C169" s="24" t="s">
        <v>357</v>
      </c>
      <c r="D169" s="24" t="s">
        <v>184</v>
      </c>
      <c r="E169" s="24">
        <v>-4.48</v>
      </c>
      <c r="F169" s="24">
        <v>3.88</v>
      </c>
    </row>
    <row r="170" s="24" customFormat="1" spans="1:6">
      <c r="A170" s="24" t="s">
        <v>142</v>
      </c>
      <c r="B170" s="24" t="str">
        <f>"300004"</f>
        <v>300004</v>
      </c>
      <c r="C170" s="24" t="s">
        <v>358</v>
      </c>
      <c r="D170" s="24" t="s">
        <v>165</v>
      </c>
      <c r="E170" s="24">
        <v>-4.51</v>
      </c>
      <c r="F170" s="24">
        <v>1.41</v>
      </c>
    </row>
    <row r="171" s="24" customFormat="1" spans="1:6">
      <c r="A171" s="24" t="s">
        <v>140</v>
      </c>
      <c r="B171" s="24" t="str">
        <f>"600166"</f>
        <v>600166</v>
      </c>
      <c r="C171" s="24" t="s">
        <v>359</v>
      </c>
      <c r="D171" s="24" t="s">
        <v>175</v>
      </c>
      <c r="E171" s="24">
        <v>-4.58</v>
      </c>
      <c r="F171" s="24">
        <v>0.83</v>
      </c>
    </row>
    <row r="172" s="24" customFormat="1" spans="1:6">
      <c r="A172" s="24" t="s">
        <v>142</v>
      </c>
      <c r="B172" s="24" t="str">
        <f>"002336"</f>
        <v>002336</v>
      </c>
      <c r="C172" s="24" t="s">
        <v>360</v>
      </c>
      <c r="D172" s="24" t="s">
        <v>361</v>
      </c>
      <c r="E172" s="24">
        <v>-4.59</v>
      </c>
      <c r="F172" s="24">
        <v>1.72</v>
      </c>
    </row>
    <row r="173" s="24" customFormat="1" spans="1:6">
      <c r="A173" s="24" t="s">
        <v>142</v>
      </c>
      <c r="B173" s="24" t="str">
        <f>"300056"</f>
        <v>300056</v>
      </c>
      <c r="C173" s="24" t="s">
        <v>362</v>
      </c>
      <c r="D173" s="24" t="s">
        <v>173</v>
      </c>
      <c r="E173" s="24">
        <v>-4.6</v>
      </c>
      <c r="F173" s="24">
        <v>3.86</v>
      </c>
    </row>
    <row r="174" s="24" customFormat="1" spans="1:6">
      <c r="A174" s="24" t="s">
        <v>140</v>
      </c>
      <c r="B174" s="24" t="str">
        <f>"600212"</f>
        <v>600212</v>
      </c>
      <c r="C174" s="24" t="s">
        <v>363</v>
      </c>
      <c r="D174" s="24" t="s">
        <v>188</v>
      </c>
      <c r="E174" s="24">
        <v>-4.61</v>
      </c>
      <c r="F174" s="24">
        <v>4.91</v>
      </c>
    </row>
    <row r="175" s="24" customFormat="1" spans="1:6">
      <c r="A175" s="24" t="s">
        <v>140</v>
      </c>
      <c r="B175" s="24" t="str">
        <f>"600225"</f>
        <v>600225</v>
      </c>
      <c r="C175" s="24" t="s">
        <v>364</v>
      </c>
      <c r="D175" s="24" t="s">
        <v>244</v>
      </c>
      <c r="E175" s="24">
        <v>-4.65</v>
      </c>
      <c r="F175" s="24">
        <v>4.26</v>
      </c>
    </row>
    <row r="176" s="24" customFormat="1" spans="1:6">
      <c r="A176" s="24" t="s">
        <v>142</v>
      </c>
      <c r="B176" s="24" t="str">
        <f>"300467"</f>
        <v>300467</v>
      </c>
      <c r="C176" s="24" t="s">
        <v>365</v>
      </c>
      <c r="D176" s="24" t="s">
        <v>163</v>
      </c>
      <c r="E176" s="24">
        <v>-4.68</v>
      </c>
      <c r="F176" s="24">
        <v>4.13</v>
      </c>
    </row>
    <row r="177" s="24" customFormat="1" spans="1:6">
      <c r="A177" s="24" t="s">
        <v>140</v>
      </c>
      <c r="B177" s="24" t="str">
        <f>"900955"</f>
        <v>900955</v>
      </c>
      <c r="C177" s="24" t="s">
        <v>366</v>
      </c>
      <c r="D177" s="24"/>
      <c r="E177" s="24">
        <v>-4.7</v>
      </c>
      <c r="F177" s="24">
        <v>1</v>
      </c>
    </row>
    <row r="178" s="24" customFormat="1" spans="1:6">
      <c r="A178" s="24" t="s">
        <v>142</v>
      </c>
      <c r="B178" s="24" t="str">
        <f>"300100"</f>
        <v>300100</v>
      </c>
      <c r="C178" s="24" t="s">
        <v>367</v>
      </c>
      <c r="D178" s="24" t="s">
        <v>204</v>
      </c>
      <c r="E178" s="24">
        <v>-4.7</v>
      </c>
      <c r="F178" s="24">
        <v>1.26</v>
      </c>
    </row>
    <row r="179" s="24" customFormat="1" spans="1:6">
      <c r="A179" s="24" t="s">
        <v>142</v>
      </c>
      <c r="B179" s="24" t="str">
        <f>"000727"</f>
        <v>000727</v>
      </c>
      <c r="C179" s="24" t="s">
        <v>368</v>
      </c>
      <c r="D179" s="24" t="s">
        <v>197</v>
      </c>
      <c r="E179" s="24">
        <v>-4.71</v>
      </c>
      <c r="F179" s="24">
        <v>1.06</v>
      </c>
    </row>
    <row r="180" s="24" customFormat="1" spans="1:6">
      <c r="A180" s="24" t="s">
        <v>142</v>
      </c>
      <c r="B180" s="24" t="str">
        <f>"300266"</f>
        <v>300266</v>
      </c>
      <c r="C180" s="24" t="s">
        <v>369</v>
      </c>
      <c r="D180" s="24" t="s">
        <v>214</v>
      </c>
      <c r="E180" s="24">
        <v>-4.76</v>
      </c>
      <c r="F180" s="24">
        <v>3.18</v>
      </c>
    </row>
    <row r="181" s="24" customFormat="1" spans="1:6">
      <c r="A181" s="24" t="s">
        <v>142</v>
      </c>
      <c r="B181" s="24" t="str">
        <f>"300292"</f>
        <v>300292</v>
      </c>
      <c r="C181" s="24" t="s">
        <v>370</v>
      </c>
      <c r="D181" s="24" t="s">
        <v>193</v>
      </c>
      <c r="E181" s="24">
        <v>-4.77</v>
      </c>
      <c r="F181" s="24">
        <v>5.73</v>
      </c>
    </row>
    <row r="182" s="24" customFormat="1" spans="1:6">
      <c r="A182" s="24" t="s">
        <v>140</v>
      </c>
      <c r="B182" s="24" t="str">
        <f>"600680"</f>
        <v>600680</v>
      </c>
      <c r="C182" s="24" t="s">
        <v>371</v>
      </c>
      <c r="D182" s="24"/>
      <c r="E182" s="24">
        <v>-4.77</v>
      </c>
      <c r="F182" s="24">
        <v>4.73</v>
      </c>
    </row>
    <row r="183" s="24" customFormat="1" spans="1:6">
      <c r="A183" s="24" t="s">
        <v>142</v>
      </c>
      <c r="B183" s="24" t="str">
        <f>"300128"</f>
        <v>300128</v>
      </c>
      <c r="C183" s="24" t="s">
        <v>372</v>
      </c>
      <c r="D183" s="24" t="s">
        <v>230</v>
      </c>
      <c r="E183" s="24">
        <v>-4.84</v>
      </c>
      <c r="F183" s="24">
        <v>4.55</v>
      </c>
    </row>
    <row r="184" s="24" customFormat="1" spans="1:6">
      <c r="A184" s="24" t="s">
        <v>142</v>
      </c>
      <c r="B184" s="24" t="str">
        <f>"200016"</f>
        <v>200016</v>
      </c>
      <c r="C184" s="24" t="s">
        <v>373</v>
      </c>
      <c r="D184" s="24"/>
      <c r="E184" s="24">
        <v>-4.88</v>
      </c>
      <c r="F184" s="24">
        <v>0.88</v>
      </c>
    </row>
    <row r="185" s="24" customFormat="1" spans="1:6">
      <c r="A185" s="24" t="s">
        <v>140</v>
      </c>
      <c r="B185" s="24" t="str">
        <f>"600525"</f>
        <v>600525</v>
      </c>
      <c r="C185" s="24" t="s">
        <v>374</v>
      </c>
      <c r="D185" s="24" t="s">
        <v>251</v>
      </c>
      <c r="E185" s="24">
        <v>-4.9</v>
      </c>
      <c r="F185" s="24">
        <v>2.68</v>
      </c>
    </row>
    <row r="186" s="24" customFormat="1" spans="1:6">
      <c r="A186" s="24" t="s">
        <v>140</v>
      </c>
      <c r="B186" s="24" t="str">
        <f>"600396"</f>
        <v>600396</v>
      </c>
      <c r="C186" s="24" t="s">
        <v>375</v>
      </c>
      <c r="D186" s="24" t="s">
        <v>188</v>
      </c>
      <c r="E186" s="24">
        <v>-4.9</v>
      </c>
      <c r="F186" s="24">
        <v>1.39</v>
      </c>
    </row>
    <row r="187" s="24" customFormat="1" spans="1:6">
      <c r="A187" s="24" t="s">
        <v>142</v>
      </c>
      <c r="B187" s="24" t="str">
        <f>"002207"</f>
        <v>002207</v>
      </c>
      <c r="C187" s="24" t="s">
        <v>376</v>
      </c>
      <c r="D187" s="24" t="s">
        <v>377</v>
      </c>
      <c r="E187" s="24">
        <v>-4.91</v>
      </c>
      <c r="F187" s="24">
        <v>104.73</v>
      </c>
    </row>
    <row r="188" s="24" customFormat="1" spans="1:6">
      <c r="A188" s="24" t="s">
        <v>142</v>
      </c>
      <c r="B188" s="24" t="str">
        <f>"002196"</f>
        <v>002196</v>
      </c>
      <c r="C188" s="24" t="s">
        <v>378</v>
      </c>
      <c r="D188" s="24" t="s">
        <v>165</v>
      </c>
      <c r="E188" s="24">
        <v>-4.95</v>
      </c>
      <c r="F188" s="24">
        <v>1.63</v>
      </c>
    </row>
    <row r="189" s="24" customFormat="1" spans="1:6">
      <c r="A189" s="24" t="s">
        <v>142</v>
      </c>
      <c r="B189" s="24" t="str">
        <f>"300111"</f>
        <v>300111</v>
      </c>
      <c r="C189" s="24" t="s">
        <v>379</v>
      </c>
      <c r="D189" s="24" t="s">
        <v>197</v>
      </c>
      <c r="E189" s="24">
        <v>-4.97</v>
      </c>
      <c r="F189" s="24">
        <v>-108.09</v>
      </c>
    </row>
    <row r="190" s="24" customFormat="1" spans="1:6">
      <c r="A190" s="24" t="s">
        <v>142</v>
      </c>
      <c r="B190" s="24" t="str">
        <f>"002512"</f>
        <v>002512</v>
      </c>
      <c r="C190" s="24" t="s">
        <v>380</v>
      </c>
      <c r="D190" s="24" t="s">
        <v>152</v>
      </c>
      <c r="E190" s="24">
        <v>-5</v>
      </c>
      <c r="F190" s="24">
        <v>6.15</v>
      </c>
    </row>
    <row r="191" s="24" customFormat="1" spans="1:6">
      <c r="A191" s="24" t="s">
        <v>142</v>
      </c>
      <c r="B191" s="24" t="str">
        <f>"002279"</f>
        <v>002279</v>
      </c>
      <c r="C191" s="24" t="s">
        <v>381</v>
      </c>
      <c r="D191" s="24" t="s">
        <v>156</v>
      </c>
      <c r="E191" s="24">
        <v>-5</v>
      </c>
      <c r="F191" s="24">
        <v>14.45</v>
      </c>
    </row>
    <row r="192" s="24" customFormat="1" spans="1:6">
      <c r="A192" s="24" t="s">
        <v>142</v>
      </c>
      <c r="B192" s="24" t="str">
        <f>"002447"</f>
        <v>002447</v>
      </c>
      <c r="C192" s="24" t="s">
        <v>382</v>
      </c>
      <c r="D192" s="24" t="s">
        <v>163</v>
      </c>
      <c r="E192" s="24">
        <v>-5.06</v>
      </c>
      <c r="F192" s="24">
        <v>3.31</v>
      </c>
    </row>
    <row r="193" s="24" customFormat="1" spans="1:6">
      <c r="A193" s="24" t="s">
        <v>142</v>
      </c>
      <c r="B193" s="24" t="str">
        <f>"002147"</f>
        <v>002147</v>
      </c>
      <c r="C193" s="24" t="s">
        <v>383</v>
      </c>
      <c r="D193" s="24" t="s">
        <v>384</v>
      </c>
      <c r="E193" s="24">
        <v>-5.11</v>
      </c>
      <c r="F193" s="24">
        <v>0.47</v>
      </c>
    </row>
    <row r="194" s="24" customFormat="1" spans="1:6">
      <c r="A194" s="24" t="s">
        <v>140</v>
      </c>
      <c r="B194" s="24" t="str">
        <f>"600653"</f>
        <v>600653</v>
      </c>
      <c r="C194" s="24" t="s">
        <v>385</v>
      </c>
      <c r="D194" s="24" t="s">
        <v>207</v>
      </c>
      <c r="E194" s="24">
        <v>-5.14</v>
      </c>
      <c r="F194" s="24">
        <v>1.65</v>
      </c>
    </row>
    <row r="195" s="24" customFormat="1" spans="1:6">
      <c r="A195" s="24" t="s">
        <v>142</v>
      </c>
      <c r="B195" s="24" t="str">
        <f>"000422"</f>
        <v>000422</v>
      </c>
      <c r="C195" s="24" t="s">
        <v>386</v>
      </c>
      <c r="D195" s="24" t="s">
        <v>278</v>
      </c>
      <c r="E195" s="24">
        <v>-5.17</v>
      </c>
      <c r="F195" s="24">
        <v>19</v>
      </c>
    </row>
    <row r="196" s="24" customFormat="1" spans="1:6">
      <c r="A196" s="24" t="s">
        <v>140</v>
      </c>
      <c r="B196" s="24" t="str">
        <f>"600594"</f>
        <v>600594</v>
      </c>
      <c r="C196" s="24" t="s">
        <v>387</v>
      </c>
      <c r="D196" s="24" t="s">
        <v>388</v>
      </c>
      <c r="E196" s="24">
        <v>-5.19</v>
      </c>
      <c r="F196" s="24">
        <v>1.55</v>
      </c>
    </row>
    <row r="197" s="24" customFormat="1" spans="1:6">
      <c r="A197" s="24" t="s">
        <v>140</v>
      </c>
      <c r="B197" s="24" t="str">
        <f>"600280"</f>
        <v>600280</v>
      </c>
      <c r="C197" s="24" t="s">
        <v>389</v>
      </c>
      <c r="D197" s="24" t="s">
        <v>148</v>
      </c>
      <c r="E197" s="24">
        <v>-5.2</v>
      </c>
      <c r="F197" s="24">
        <v>1.76</v>
      </c>
    </row>
    <row r="198" s="24" customFormat="1" spans="1:6">
      <c r="A198" s="24" t="s">
        <v>142</v>
      </c>
      <c r="B198" s="24" t="str">
        <f>"300312"</f>
        <v>300312</v>
      </c>
      <c r="C198" s="24" t="s">
        <v>390</v>
      </c>
      <c r="D198" s="24" t="s">
        <v>179</v>
      </c>
      <c r="E198" s="24">
        <v>-5.2</v>
      </c>
      <c r="F198" s="24">
        <v>10.67</v>
      </c>
    </row>
    <row r="199" s="24" customFormat="1" spans="1:6">
      <c r="A199" s="24" t="s">
        <v>142</v>
      </c>
      <c r="B199" s="24" t="str">
        <f>"300306"</f>
        <v>300306</v>
      </c>
      <c r="C199" s="24" t="s">
        <v>391</v>
      </c>
      <c r="D199" s="24" t="s">
        <v>152</v>
      </c>
      <c r="E199" s="24">
        <v>-5.2</v>
      </c>
      <c r="F199" s="24">
        <v>2.14</v>
      </c>
    </row>
    <row r="200" s="24" customFormat="1" spans="1:6">
      <c r="A200" s="24" t="s">
        <v>142</v>
      </c>
      <c r="B200" s="24" t="str">
        <f>"000890"</f>
        <v>000890</v>
      </c>
      <c r="C200" s="24" t="s">
        <v>392</v>
      </c>
      <c r="D200" s="24" t="s">
        <v>258</v>
      </c>
      <c r="E200" s="24">
        <v>-5.21</v>
      </c>
      <c r="F200" s="24">
        <v>3.99</v>
      </c>
    </row>
    <row r="201" s="24" customFormat="1" spans="1:6">
      <c r="A201" s="24" t="s">
        <v>142</v>
      </c>
      <c r="B201" s="24" t="str">
        <f>"300027"</f>
        <v>300027</v>
      </c>
      <c r="C201" s="24" t="s">
        <v>393</v>
      </c>
      <c r="D201" s="24" t="s">
        <v>170</v>
      </c>
      <c r="E201" s="24">
        <v>-5.26</v>
      </c>
      <c r="F201" s="24">
        <v>1.72</v>
      </c>
    </row>
    <row r="202" s="24" customFormat="1" spans="1:6">
      <c r="A202" s="24" t="s">
        <v>142</v>
      </c>
      <c r="B202" s="24" t="str">
        <f>"000687"</f>
        <v>000687</v>
      </c>
      <c r="C202" s="24" t="s">
        <v>394</v>
      </c>
      <c r="D202" s="24" t="s">
        <v>395</v>
      </c>
      <c r="E202" s="24">
        <v>-5.26</v>
      </c>
      <c r="F202" s="24">
        <v>-948.29</v>
      </c>
    </row>
    <row r="203" s="24" customFormat="1" spans="1:6">
      <c r="A203" s="24" t="s">
        <v>140</v>
      </c>
      <c r="B203" s="24" t="str">
        <f>"600179"</f>
        <v>600179</v>
      </c>
      <c r="C203" s="24" t="s">
        <v>396</v>
      </c>
      <c r="D203" s="24" t="s">
        <v>397</v>
      </c>
      <c r="E203" s="24">
        <v>-5.29</v>
      </c>
      <c r="F203" s="24">
        <v>2.41</v>
      </c>
    </row>
    <row r="204" s="24" customFormat="1" spans="1:6">
      <c r="A204" s="24" t="s">
        <v>142</v>
      </c>
      <c r="B204" s="24" t="str">
        <f>"002188"</f>
        <v>002188</v>
      </c>
      <c r="C204" s="24" t="s">
        <v>398</v>
      </c>
      <c r="D204" s="24" t="s">
        <v>152</v>
      </c>
      <c r="E204" s="24">
        <v>-5.31</v>
      </c>
      <c r="F204" s="24">
        <v>-2.1</v>
      </c>
    </row>
    <row r="205" s="24" customFormat="1" spans="1:6">
      <c r="A205" s="24" t="s">
        <v>142</v>
      </c>
      <c r="B205" s="24" t="str">
        <f>"000010"</f>
        <v>000010</v>
      </c>
      <c r="C205" s="24" t="s">
        <v>399</v>
      </c>
      <c r="D205" s="24" t="s">
        <v>315</v>
      </c>
      <c r="E205" s="24">
        <v>-5.36</v>
      </c>
      <c r="F205" s="24">
        <v>11.7</v>
      </c>
    </row>
    <row r="206" s="24" customFormat="1" spans="1:6">
      <c r="A206" s="24" t="s">
        <v>142</v>
      </c>
      <c r="B206" s="24" t="str">
        <f>"000780"</f>
        <v>000780</v>
      </c>
      <c r="C206" s="24" t="s">
        <v>400</v>
      </c>
      <c r="D206" s="24" t="s">
        <v>401</v>
      </c>
      <c r="E206" s="24">
        <v>-5.4</v>
      </c>
      <c r="F206" s="24">
        <v>0.68</v>
      </c>
    </row>
    <row r="207" s="24" customFormat="1" spans="1:6">
      <c r="A207" s="24" t="s">
        <v>140</v>
      </c>
      <c r="B207" s="24" t="str">
        <f>"600821"</f>
        <v>600821</v>
      </c>
      <c r="C207" s="24" t="s">
        <v>402</v>
      </c>
      <c r="D207" s="24" t="s">
        <v>148</v>
      </c>
      <c r="E207" s="24">
        <v>-5.4</v>
      </c>
      <c r="F207" s="24">
        <v>15.97</v>
      </c>
    </row>
    <row r="208" s="24" customFormat="1" spans="1:6">
      <c r="A208" s="24" t="s">
        <v>142</v>
      </c>
      <c r="B208" s="24" t="str">
        <f>"002077"</f>
        <v>002077</v>
      </c>
      <c r="C208" s="24" t="s">
        <v>403</v>
      </c>
      <c r="D208" s="24" t="s">
        <v>244</v>
      </c>
      <c r="E208" s="24">
        <v>-5.41</v>
      </c>
      <c r="F208" s="24">
        <v>1.61</v>
      </c>
    </row>
    <row r="209" s="24" customFormat="1" spans="1:6">
      <c r="A209" s="24" t="s">
        <v>142</v>
      </c>
      <c r="B209" s="24" t="str">
        <f>"000972"</f>
        <v>000972</v>
      </c>
      <c r="C209" s="24" t="s">
        <v>404</v>
      </c>
      <c r="D209" s="24" t="s">
        <v>190</v>
      </c>
      <c r="E209" s="24">
        <v>-5.44</v>
      </c>
      <c r="F209" s="24">
        <v>5.42</v>
      </c>
    </row>
    <row r="210" s="24" customFormat="1" spans="1:6">
      <c r="A210" s="24" t="s">
        <v>142</v>
      </c>
      <c r="B210" s="24" t="str">
        <f>"300011"</f>
        <v>300011</v>
      </c>
      <c r="C210" s="24" t="s">
        <v>405</v>
      </c>
      <c r="D210" s="24" t="s">
        <v>251</v>
      </c>
      <c r="E210" s="24">
        <v>-5.45</v>
      </c>
      <c r="F210" s="24">
        <v>2.12</v>
      </c>
    </row>
    <row r="211" s="24" customFormat="1" spans="1:6">
      <c r="A211" s="24" t="s">
        <v>140</v>
      </c>
      <c r="B211" s="24" t="str">
        <f>"600526"</f>
        <v>600526</v>
      </c>
      <c r="C211" s="24" t="s">
        <v>406</v>
      </c>
      <c r="D211" s="24" t="s">
        <v>251</v>
      </c>
      <c r="E211" s="24">
        <v>-5.49</v>
      </c>
      <c r="F211" s="24">
        <v>1.49</v>
      </c>
    </row>
    <row r="212" s="24" customFormat="1" spans="1:6">
      <c r="A212" s="24" t="s">
        <v>142</v>
      </c>
      <c r="B212" s="24" t="str">
        <f>"300351"</f>
        <v>300351</v>
      </c>
      <c r="C212" s="24" t="s">
        <v>407</v>
      </c>
      <c r="D212" s="24" t="s">
        <v>197</v>
      </c>
      <c r="E212" s="24">
        <v>-5.51</v>
      </c>
      <c r="F212" s="24">
        <v>1.35</v>
      </c>
    </row>
    <row r="213" s="24" customFormat="1" spans="1:6">
      <c r="A213" s="24" t="s">
        <v>142</v>
      </c>
      <c r="B213" s="24" t="str">
        <f>"300018"</f>
        <v>300018</v>
      </c>
      <c r="C213" s="24" t="s">
        <v>408</v>
      </c>
      <c r="D213" s="24" t="s">
        <v>251</v>
      </c>
      <c r="E213" s="24">
        <v>-5.53</v>
      </c>
      <c r="F213" s="24">
        <v>2.44</v>
      </c>
    </row>
    <row r="214" s="24" customFormat="1" spans="1:6">
      <c r="A214" s="24" t="s">
        <v>140</v>
      </c>
      <c r="B214" s="24" t="str">
        <f>"600530"</f>
        <v>600530</v>
      </c>
      <c r="C214" s="24" t="s">
        <v>409</v>
      </c>
      <c r="D214" s="24" t="s">
        <v>326</v>
      </c>
      <c r="E214" s="24">
        <v>-5.56</v>
      </c>
      <c r="F214" s="24">
        <v>3.78</v>
      </c>
    </row>
    <row r="215" s="24" customFormat="1" spans="1:6">
      <c r="A215" s="24" t="s">
        <v>140</v>
      </c>
      <c r="B215" s="24" t="str">
        <f>"600726"</f>
        <v>600726</v>
      </c>
      <c r="C215" s="24" t="s">
        <v>410</v>
      </c>
      <c r="D215" s="24" t="s">
        <v>188</v>
      </c>
      <c r="E215" s="24">
        <v>-5.72</v>
      </c>
      <c r="F215" s="24">
        <v>2.79</v>
      </c>
    </row>
    <row r="216" s="24" customFormat="1" spans="1:6">
      <c r="A216" s="24" t="s">
        <v>140</v>
      </c>
      <c r="B216" s="24" t="str">
        <f>"600747"</f>
        <v>600747</v>
      </c>
      <c r="C216" s="24" t="s">
        <v>411</v>
      </c>
      <c r="D216" s="24" t="s">
        <v>267</v>
      </c>
      <c r="E216" s="24">
        <v>-5.76</v>
      </c>
      <c r="F216" s="24">
        <v>0.91</v>
      </c>
    </row>
    <row r="217" s="24" customFormat="1" spans="1:6">
      <c r="A217" s="24" t="s">
        <v>140</v>
      </c>
      <c r="B217" s="24" t="str">
        <f>"600518"</f>
        <v>600518</v>
      </c>
      <c r="C217" s="24" t="s">
        <v>412</v>
      </c>
      <c r="D217" s="24" t="s">
        <v>388</v>
      </c>
      <c r="E217" s="24">
        <v>-5.77</v>
      </c>
      <c r="F217" s="24">
        <v>0.67</v>
      </c>
    </row>
    <row r="218" s="24" customFormat="1" spans="1:6">
      <c r="A218" s="24" t="s">
        <v>142</v>
      </c>
      <c r="B218" s="24" t="str">
        <f>"300219"</f>
        <v>300219</v>
      </c>
      <c r="C218" s="24" t="s">
        <v>413</v>
      </c>
      <c r="D218" s="24" t="s">
        <v>230</v>
      </c>
      <c r="E218" s="24">
        <v>-5.86</v>
      </c>
      <c r="F218" s="24">
        <v>2.83</v>
      </c>
    </row>
    <row r="219" s="24" customFormat="1" spans="1:6">
      <c r="A219" s="24" t="s">
        <v>142</v>
      </c>
      <c r="B219" s="24" t="str">
        <f>"000863"</f>
        <v>000863</v>
      </c>
      <c r="C219" s="24" t="s">
        <v>414</v>
      </c>
      <c r="D219" s="24" t="s">
        <v>244</v>
      </c>
      <c r="E219" s="24">
        <v>-5.89</v>
      </c>
      <c r="F219" s="24">
        <v>0.99</v>
      </c>
    </row>
    <row r="220" s="24" customFormat="1" spans="1:6">
      <c r="A220" s="24" t="s">
        <v>142</v>
      </c>
      <c r="B220" s="24" t="str">
        <f>"000927"</f>
        <v>000927</v>
      </c>
      <c r="C220" s="24" t="s">
        <v>415</v>
      </c>
      <c r="D220" s="24" t="s">
        <v>175</v>
      </c>
      <c r="E220" s="24">
        <v>-5.93</v>
      </c>
      <c r="F220" s="24">
        <v>-10.49</v>
      </c>
    </row>
    <row r="221" s="24" customFormat="1" spans="1:6">
      <c r="A221" s="24" t="s">
        <v>142</v>
      </c>
      <c r="B221" s="24" t="str">
        <f>"000868"</f>
        <v>000868</v>
      </c>
      <c r="C221" s="24" t="s">
        <v>416</v>
      </c>
      <c r="D221" s="24" t="s">
        <v>175</v>
      </c>
      <c r="E221" s="24">
        <v>-5.93</v>
      </c>
      <c r="F221" s="24">
        <v>6.93</v>
      </c>
    </row>
    <row r="222" s="24" customFormat="1" spans="1:6">
      <c r="A222" s="24" t="s">
        <v>142</v>
      </c>
      <c r="B222" s="24" t="str">
        <f>"000918"</f>
        <v>000918</v>
      </c>
      <c r="C222" s="24" t="s">
        <v>417</v>
      </c>
      <c r="D222" s="24" t="s">
        <v>244</v>
      </c>
      <c r="E222" s="24">
        <v>-5.94</v>
      </c>
      <c r="F222" s="24">
        <v>3.06</v>
      </c>
    </row>
    <row r="223" s="24" customFormat="1" spans="1:6">
      <c r="A223" s="24" t="s">
        <v>142</v>
      </c>
      <c r="B223" s="24" t="str">
        <f>"300315"</f>
        <v>300315</v>
      </c>
      <c r="C223" s="24" t="s">
        <v>418</v>
      </c>
      <c r="D223" s="24" t="s">
        <v>156</v>
      </c>
      <c r="E223" s="24">
        <v>-5.97</v>
      </c>
      <c r="F223" s="24">
        <v>5.32</v>
      </c>
    </row>
    <row r="224" s="24" customFormat="1" spans="1:6">
      <c r="A224" s="24" t="s">
        <v>142</v>
      </c>
      <c r="B224" s="24" t="str">
        <f>"002248"</f>
        <v>002248</v>
      </c>
      <c r="C224" s="24" t="s">
        <v>419</v>
      </c>
      <c r="D224" s="24" t="s">
        <v>165</v>
      </c>
      <c r="E224" s="24">
        <v>-6.03</v>
      </c>
      <c r="F224" s="24">
        <v>19.01</v>
      </c>
    </row>
    <row r="225" s="24" customFormat="1" spans="1:6">
      <c r="A225" s="24" t="s">
        <v>140</v>
      </c>
      <c r="B225" s="24" t="str">
        <f>"600243"</f>
        <v>600243</v>
      </c>
      <c r="C225" s="24" t="s">
        <v>420</v>
      </c>
      <c r="D225" s="24" t="s">
        <v>165</v>
      </c>
      <c r="E225" s="24">
        <v>-6.03</v>
      </c>
      <c r="F225" s="24">
        <v>1.03</v>
      </c>
    </row>
    <row r="226" s="24" customFormat="1" spans="1:6">
      <c r="A226" s="24" t="s">
        <v>142</v>
      </c>
      <c r="B226" s="24" t="str">
        <f>"002529"</f>
        <v>002529</v>
      </c>
      <c r="C226" s="24" t="s">
        <v>421</v>
      </c>
      <c r="D226" s="24" t="s">
        <v>165</v>
      </c>
      <c r="E226" s="24">
        <v>-6.05</v>
      </c>
      <c r="F226" s="24">
        <v>0.99</v>
      </c>
    </row>
    <row r="227" s="24" customFormat="1" spans="1:6">
      <c r="A227" s="24" t="s">
        <v>140</v>
      </c>
      <c r="B227" s="24" t="str">
        <f>"600221"</f>
        <v>600221</v>
      </c>
      <c r="C227" s="24" t="s">
        <v>422</v>
      </c>
      <c r="D227" s="24" t="s">
        <v>423</v>
      </c>
      <c r="E227" s="24">
        <v>-6.16</v>
      </c>
      <c r="F227" s="24">
        <v>0.53</v>
      </c>
    </row>
    <row r="228" s="24" customFormat="1" spans="1:6">
      <c r="A228" s="24" t="s">
        <v>140</v>
      </c>
      <c r="B228" s="24" t="str">
        <f>"600100"</f>
        <v>600100</v>
      </c>
      <c r="C228" s="24" t="s">
        <v>424</v>
      </c>
      <c r="D228" s="24" t="s">
        <v>352</v>
      </c>
      <c r="E228" s="24">
        <v>-6.2</v>
      </c>
      <c r="F228" s="24">
        <v>1.65</v>
      </c>
    </row>
    <row r="229" s="24" customFormat="1" spans="1:6">
      <c r="A229" s="24" t="s">
        <v>140</v>
      </c>
      <c r="B229" s="24" t="str">
        <f>"600677"</f>
        <v>600677</v>
      </c>
      <c r="C229" s="24" t="s">
        <v>425</v>
      </c>
      <c r="D229" s="24" t="s">
        <v>193</v>
      </c>
      <c r="E229" s="24">
        <v>-6.22</v>
      </c>
      <c r="F229" s="24">
        <v>1.24</v>
      </c>
    </row>
    <row r="230" s="24" customFormat="1" spans="1:6">
      <c r="A230" s="24" t="s">
        <v>140</v>
      </c>
      <c r="B230" s="24" t="str">
        <f>"600550"</f>
        <v>600550</v>
      </c>
      <c r="C230" s="24" t="s">
        <v>426</v>
      </c>
      <c r="D230" s="24" t="s">
        <v>293</v>
      </c>
      <c r="E230" s="24">
        <v>-6.24</v>
      </c>
      <c r="F230" s="24">
        <v>7.89</v>
      </c>
    </row>
    <row r="231" s="24" customFormat="1" spans="1:6">
      <c r="A231" s="24" t="s">
        <v>142</v>
      </c>
      <c r="B231" s="24" t="str">
        <f>"300250"</f>
        <v>300250</v>
      </c>
      <c r="C231" s="24" t="s">
        <v>427</v>
      </c>
      <c r="D231" s="24" t="s">
        <v>179</v>
      </c>
      <c r="E231" s="24">
        <v>-6.29</v>
      </c>
      <c r="F231" s="24">
        <v>4.52</v>
      </c>
    </row>
    <row r="232" s="24" customFormat="1" spans="1:6">
      <c r="A232" s="24" t="s">
        <v>142</v>
      </c>
      <c r="B232" s="24" t="str">
        <f>"300359"</f>
        <v>300359</v>
      </c>
      <c r="C232" s="24" t="s">
        <v>428</v>
      </c>
      <c r="D232" s="24" t="s">
        <v>156</v>
      </c>
      <c r="E232" s="24">
        <v>-6.35</v>
      </c>
      <c r="F232" s="24">
        <v>6.9</v>
      </c>
    </row>
    <row r="233" s="24" customFormat="1" spans="1:6">
      <c r="A233" s="24" t="s">
        <v>142</v>
      </c>
      <c r="B233" s="24" t="str">
        <f>"300461"</f>
        <v>300461</v>
      </c>
      <c r="C233" s="24" t="s">
        <v>429</v>
      </c>
      <c r="D233" s="24" t="s">
        <v>173</v>
      </c>
      <c r="E233" s="24">
        <v>-6.39</v>
      </c>
      <c r="F233" s="24">
        <v>14.99</v>
      </c>
    </row>
    <row r="234" s="24" customFormat="1" spans="1:6">
      <c r="A234" s="24" t="s">
        <v>142</v>
      </c>
      <c r="B234" s="24" t="str">
        <f>"300370"</f>
        <v>300370</v>
      </c>
      <c r="C234" s="24" t="s">
        <v>430</v>
      </c>
      <c r="D234" s="24" t="s">
        <v>152</v>
      </c>
      <c r="E234" s="24">
        <v>-6.41</v>
      </c>
      <c r="F234" s="24">
        <v>6.57</v>
      </c>
    </row>
    <row r="235" s="24" customFormat="1" spans="1:6">
      <c r="A235" s="24" t="s">
        <v>140</v>
      </c>
      <c r="B235" s="24" t="str">
        <f>"600707"</f>
        <v>600707</v>
      </c>
      <c r="C235" s="24" t="s">
        <v>431</v>
      </c>
      <c r="D235" s="24" t="s">
        <v>230</v>
      </c>
      <c r="E235" s="24">
        <v>-6.59</v>
      </c>
      <c r="F235" s="24">
        <v>0.68</v>
      </c>
    </row>
    <row r="236" s="24" customFormat="1" spans="1:6">
      <c r="A236" s="24" t="s">
        <v>142</v>
      </c>
      <c r="B236" s="24" t="str">
        <f>"002617"</f>
        <v>002617</v>
      </c>
      <c r="C236" s="24" t="s">
        <v>432</v>
      </c>
      <c r="D236" s="24" t="s">
        <v>251</v>
      </c>
      <c r="E236" s="24">
        <v>-6.62</v>
      </c>
      <c r="F236" s="24">
        <v>2.53</v>
      </c>
    </row>
    <row r="237" s="24" customFormat="1" spans="1:6">
      <c r="A237" s="24" t="s">
        <v>142</v>
      </c>
      <c r="B237" s="24" t="str">
        <f>"002259"</f>
        <v>002259</v>
      </c>
      <c r="C237" s="24" t="s">
        <v>433</v>
      </c>
      <c r="D237" s="24" t="s">
        <v>195</v>
      </c>
      <c r="E237" s="24">
        <v>-6.62</v>
      </c>
      <c r="F237" s="24">
        <v>1.03</v>
      </c>
    </row>
    <row r="238" s="24" customFormat="1" spans="1:6">
      <c r="A238" s="24" t="s">
        <v>142</v>
      </c>
      <c r="B238" s="24" t="str">
        <f>"300323"</f>
        <v>300323</v>
      </c>
      <c r="C238" s="24" t="s">
        <v>434</v>
      </c>
      <c r="D238" s="24" t="s">
        <v>230</v>
      </c>
      <c r="E238" s="24">
        <v>-6.65</v>
      </c>
      <c r="F238" s="24">
        <v>1.9</v>
      </c>
    </row>
    <row r="239" s="24" customFormat="1" spans="1:6">
      <c r="A239" s="24" t="s">
        <v>140</v>
      </c>
      <c r="B239" s="24" t="str">
        <f>"900945"</f>
        <v>900945</v>
      </c>
      <c r="C239" s="24" t="s">
        <v>435</v>
      </c>
      <c r="D239" s="24"/>
      <c r="E239" s="24">
        <v>-6.65</v>
      </c>
      <c r="F239" s="24">
        <v>0.54</v>
      </c>
    </row>
    <row r="240" s="24" customFormat="1" spans="1:6">
      <c r="A240" s="24" t="s">
        <v>140</v>
      </c>
      <c r="B240" s="24" t="str">
        <f>"601038"</f>
        <v>601038</v>
      </c>
      <c r="C240" s="24" t="s">
        <v>436</v>
      </c>
      <c r="D240" s="24" t="s">
        <v>173</v>
      </c>
      <c r="E240" s="24">
        <v>-6.66</v>
      </c>
      <c r="F240" s="24">
        <v>1.48</v>
      </c>
    </row>
    <row r="241" s="24" customFormat="1" spans="1:6">
      <c r="A241" s="24" t="s">
        <v>142</v>
      </c>
      <c r="B241" s="24" t="str">
        <f>"002329"</f>
        <v>002329</v>
      </c>
      <c r="C241" s="24" t="s">
        <v>437</v>
      </c>
      <c r="D241" s="24" t="s">
        <v>190</v>
      </c>
      <c r="E241" s="24">
        <v>-6.76</v>
      </c>
      <c r="F241" s="24">
        <v>2.21</v>
      </c>
    </row>
    <row r="242" s="24" customFormat="1" spans="1:6">
      <c r="A242" s="24" t="s">
        <v>142</v>
      </c>
      <c r="B242" s="24" t="str">
        <f>"000803"</f>
        <v>000803</v>
      </c>
      <c r="C242" s="24" t="s">
        <v>438</v>
      </c>
      <c r="D242" s="24" t="s">
        <v>251</v>
      </c>
      <c r="E242" s="24">
        <v>-6.81</v>
      </c>
      <c r="F242" s="24">
        <v>-14.93</v>
      </c>
    </row>
    <row r="243" s="24" customFormat="1" spans="1:6">
      <c r="A243" s="24" t="s">
        <v>142</v>
      </c>
      <c r="B243" s="24" t="str">
        <f>"002390"</f>
        <v>002390</v>
      </c>
      <c r="C243" s="24" t="s">
        <v>439</v>
      </c>
      <c r="D243" s="24" t="s">
        <v>388</v>
      </c>
      <c r="E243" s="24">
        <v>-6.91</v>
      </c>
      <c r="F243" s="24">
        <v>2.27</v>
      </c>
    </row>
    <row r="244" s="24" customFormat="1" spans="1:6">
      <c r="A244" s="24" t="s">
        <v>142</v>
      </c>
      <c r="B244" s="24" t="str">
        <f>"000953"</f>
        <v>000953</v>
      </c>
      <c r="C244" s="24" t="s">
        <v>440</v>
      </c>
      <c r="D244" s="24" t="s">
        <v>278</v>
      </c>
      <c r="E244" s="24">
        <v>-6.94</v>
      </c>
      <c r="F244" s="24">
        <v>-11.45</v>
      </c>
    </row>
    <row r="245" s="24" customFormat="1" spans="1:6">
      <c r="A245" s="24" t="s">
        <v>140</v>
      </c>
      <c r="B245" s="24" t="str">
        <f>"600816"</f>
        <v>600816</v>
      </c>
      <c r="C245" s="24" t="s">
        <v>441</v>
      </c>
      <c r="D245" s="24" t="s">
        <v>442</v>
      </c>
      <c r="E245" s="24">
        <v>-6.99</v>
      </c>
      <c r="F245" s="24">
        <v>1.33</v>
      </c>
    </row>
    <row r="246" s="24" customFormat="1" spans="1:6">
      <c r="A246" s="24" t="s">
        <v>140</v>
      </c>
      <c r="B246" s="24" t="str">
        <f>"600241"</f>
        <v>600241</v>
      </c>
      <c r="C246" s="24" t="s">
        <v>443</v>
      </c>
      <c r="D246" s="24" t="s">
        <v>267</v>
      </c>
      <c r="E246" s="24">
        <v>-7.02</v>
      </c>
      <c r="F246" s="24">
        <v>1</v>
      </c>
    </row>
    <row r="247" s="24" customFormat="1" spans="1:6">
      <c r="A247" s="24" t="s">
        <v>142</v>
      </c>
      <c r="B247" s="24" t="str">
        <f>"002160"</f>
        <v>002160</v>
      </c>
      <c r="C247" s="24" t="s">
        <v>444</v>
      </c>
      <c r="D247" s="24" t="s">
        <v>167</v>
      </c>
      <c r="E247" s="24">
        <v>-7.02</v>
      </c>
      <c r="F247" s="24">
        <v>1.41</v>
      </c>
    </row>
    <row r="248" s="24" customFormat="1" spans="1:6">
      <c r="A248" s="24" t="s">
        <v>142</v>
      </c>
      <c r="B248" s="24" t="str">
        <f>"000625"</f>
        <v>000625</v>
      </c>
      <c r="C248" s="24" t="s">
        <v>445</v>
      </c>
      <c r="D248" s="24" t="s">
        <v>175</v>
      </c>
      <c r="E248" s="24">
        <v>-7.04</v>
      </c>
      <c r="F248" s="24">
        <v>1.08</v>
      </c>
    </row>
    <row r="249" s="24" customFormat="1" spans="1:6">
      <c r="A249" s="24" t="s">
        <v>142</v>
      </c>
      <c r="B249" s="24" t="str">
        <f>"000837"</f>
        <v>000837</v>
      </c>
      <c r="C249" s="24" t="s">
        <v>446</v>
      </c>
      <c r="D249" s="24" t="s">
        <v>165</v>
      </c>
      <c r="E249" s="24">
        <v>-7.06</v>
      </c>
      <c r="F249" s="24">
        <v>0.95</v>
      </c>
    </row>
    <row r="250" s="24" customFormat="1" spans="1:6">
      <c r="A250" s="24" t="s">
        <v>142</v>
      </c>
      <c r="B250" s="24" t="str">
        <f>"002172"</f>
        <v>002172</v>
      </c>
      <c r="C250" s="24" t="s">
        <v>447</v>
      </c>
      <c r="D250" s="24" t="s">
        <v>302</v>
      </c>
      <c r="E250" s="24">
        <v>-7.1</v>
      </c>
      <c r="F250" s="24">
        <v>1.76</v>
      </c>
    </row>
    <row r="251" s="24" customFormat="1" spans="1:6">
      <c r="A251" s="24" t="s">
        <v>142</v>
      </c>
      <c r="B251" s="24" t="str">
        <f>"002431"</f>
        <v>002431</v>
      </c>
      <c r="C251" s="24" t="s">
        <v>448</v>
      </c>
      <c r="D251" s="24" t="s">
        <v>315</v>
      </c>
      <c r="E251" s="24">
        <v>-7.12</v>
      </c>
      <c r="F251" s="24">
        <v>0.71</v>
      </c>
    </row>
    <row r="252" s="24" customFormat="1" spans="1:6">
      <c r="A252" s="24" t="s">
        <v>142</v>
      </c>
      <c r="B252" s="24" t="str">
        <f>"000692"</f>
        <v>000692</v>
      </c>
      <c r="C252" s="24" t="s">
        <v>449</v>
      </c>
      <c r="D252" s="24" t="s">
        <v>450</v>
      </c>
      <c r="E252" s="24">
        <v>-7.17</v>
      </c>
      <c r="F252" s="24">
        <v>1.33</v>
      </c>
    </row>
    <row r="253" s="24" customFormat="1" spans="1:6">
      <c r="A253" s="24" t="s">
        <v>142</v>
      </c>
      <c r="B253" s="24" t="str">
        <f>"300278"</f>
        <v>300278</v>
      </c>
      <c r="C253" s="24" t="s">
        <v>451</v>
      </c>
      <c r="D253" s="24" t="s">
        <v>173</v>
      </c>
      <c r="E253" s="24">
        <v>-7.31</v>
      </c>
      <c r="F253" s="24">
        <v>7.82</v>
      </c>
    </row>
    <row r="254" s="24" customFormat="1" spans="1:6">
      <c r="A254" s="24" t="s">
        <v>142</v>
      </c>
      <c r="B254" s="24" t="str">
        <f>"000428"</f>
        <v>000428</v>
      </c>
      <c r="C254" s="24" t="s">
        <v>452</v>
      </c>
      <c r="D254" s="24" t="s">
        <v>453</v>
      </c>
      <c r="E254" s="24">
        <v>-7.37</v>
      </c>
      <c r="F254" s="24">
        <v>1</v>
      </c>
    </row>
    <row r="255" s="24" customFormat="1" spans="1:6">
      <c r="A255" s="24" t="s">
        <v>142</v>
      </c>
      <c r="B255" s="24" t="str">
        <f>"002292"</f>
        <v>002292</v>
      </c>
      <c r="C255" s="24" t="s">
        <v>454</v>
      </c>
      <c r="D255" s="24" t="s">
        <v>283</v>
      </c>
      <c r="E255" s="24">
        <v>-7.53</v>
      </c>
      <c r="F255" s="24">
        <v>6.28</v>
      </c>
    </row>
    <row r="256" s="24" customFormat="1" spans="1:6">
      <c r="A256" s="24" t="s">
        <v>142</v>
      </c>
      <c r="B256" s="24" t="str">
        <f>"300210"</f>
        <v>300210</v>
      </c>
      <c r="C256" s="24" t="s">
        <v>455</v>
      </c>
      <c r="D256" s="24" t="s">
        <v>173</v>
      </c>
      <c r="E256" s="24">
        <v>-7.59</v>
      </c>
      <c r="F256" s="24">
        <v>1.23</v>
      </c>
    </row>
    <row r="257" s="24" customFormat="1" spans="1:6">
      <c r="A257" s="24" t="s">
        <v>142</v>
      </c>
      <c r="B257" s="24" t="str">
        <f>"000599"</f>
        <v>000599</v>
      </c>
      <c r="C257" s="24" t="s">
        <v>456</v>
      </c>
      <c r="D257" s="24" t="s">
        <v>204</v>
      </c>
      <c r="E257" s="24">
        <v>-7.59</v>
      </c>
      <c r="F257" s="24">
        <v>0.87</v>
      </c>
    </row>
    <row r="258" s="24" customFormat="1" spans="1:6">
      <c r="A258" s="24" t="s">
        <v>140</v>
      </c>
      <c r="B258" s="24" t="str">
        <f>"600112"</f>
        <v>600112</v>
      </c>
      <c r="C258" s="24" t="s">
        <v>457</v>
      </c>
      <c r="D258" s="24" t="s">
        <v>251</v>
      </c>
      <c r="E258" s="24">
        <v>-7.61</v>
      </c>
      <c r="F258" s="24">
        <v>0.83</v>
      </c>
    </row>
    <row r="259" s="24" customFormat="1" spans="1:6">
      <c r="A259" s="24" t="s">
        <v>140</v>
      </c>
      <c r="B259" s="24" t="str">
        <f>"601168"</f>
        <v>601168</v>
      </c>
      <c r="C259" s="24" t="s">
        <v>458</v>
      </c>
      <c r="D259" s="24" t="s">
        <v>167</v>
      </c>
      <c r="E259" s="24">
        <v>-7.64</v>
      </c>
      <c r="F259" s="24">
        <v>1.53</v>
      </c>
    </row>
    <row r="260" s="24" customFormat="1" spans="1:6">
      <c r="A260" s="24" t="s">
        <v>142</v>
      </c>
      <c r="B260" s="24" t="str">
        <f>"000829"</f>
        <v>000829</v>
      </c>
      <c r="C260" s="24" t="s">
        <v>459</v>
      </c>
      <c r="D260" s="24" t="s">
        <v>207</v>
      </c>
      <c r="E260" s="24">
        <v>-7.65</v>
      </c>
      <c r="F260" s="24">
        <v>3.87</v>
      </c>
    </row>
    <row r="261" s="24" customFormat="1" spans="1:6">
      <c r="A261" s="24" t="s">
        <v>140</v>
      </c>
      <c r="B261" s="24" t="str">
        <f>"600306"</f>
        <v>600306</v>
      </c>
      <c r="C261" s="24" t="s">
        <v>460</v>
      </c>
      <c r="D261" s="24" t="s">
        <v>148</v>
      </c>
      <c r="E261" s="24">
        <v>-7.77</v>
      </c>
      <c r="F261" s="24">
        <v>-15.01</v>
      </c>
    </row>
    <row r="262" s="24" customFormat="1" spans="1:6">
      <c r="A262" s="24" t="s">
        <v>140</v>
      </c>
      <c r="B262" s="24" t="str">
        <f>"600715"</f>
        <v>600715</v>
      </c>
      <c r="C262" s="24" t="s">
        <v>461</v>
      </c>
      <c r="D262" s="24" t="s">
        <v>170</v>
      </c>
      <c r="E262" s="24">
        <v>-7.79</v>
      </c>
      <c r="F262" s="24">
        <v>2</v>
      </c>
    </row>
    <row r="263" s="24" customFormat="1" spans="1:6">
      <c r="A263" s="24" t="s">
        <v>142</v>
      </c>
      <c r="B263" s="24" t="str">
        <f>"300442"</f>
        <v>300442</v>
      </c>
      <c r="C263" s="24" t="s">
        <v>462</v>
      </c>
      <c r="D263" s="24" t="s">
        <v>173</v>
      </c>
      <c r="E263" s="24">
        <v>-7.8</v>
      </c>
      <c r="F263" s="24">
        <v>2.33</v>
      </c>
    </row>
    <row r="264" s="24" customFormat="1" spans="1:6">
      <c r="A264" s="24" t="s">
        <v>142</v>
      </c>
      <c r="B264" s="24" t="str">
        <f>"300199"</f>
        <v>300199</v>
      </c>
      <c r="C264" s="24" t="s">
        <v>463</v>
      </c>
      <c r="D264" s="24" t="s">
        <v>464</v>
      </c>
      <c r="E264" s="24">
        <v>-7.81</v>
      </c>
      <c r="F264" s="24">
        <v>2.15</v>
      </c>
    </row>
    <row r="265" s="24" customFormat="1" spans="1:6">
      <c r="A265" s="24" t="s">
        <v>142</v>
      </c>
      <c r="B265" s="24" t="str">
        <f>"002325"</f>
        <v>002325</v>
      </c>
      <c r="C265" s="24" t="s">
        <v>465</v>
      </c>
      <c r="D265" s="24" t="s">
        <v>315</v>
      </c>
      <c r="E265" s="24">
        <v>-7.82</v>
      </c>
      <c r="F265" s="24">
        <v>1.31</v>
      </c>
    </row>
    <row r="266" s="24" customFormat="1" spans="1:6">
      <c r="A266" s="24" t="s">
        <v>142</v>
      </c>
      <c r="B266" s="24" t="str">
        <f>"300178"</f>
        <v>300178</v>
      </c>
      <c r="C266" s="24" t="s">
        <v>466</v>
      </c>
      <c r="D266" s="24" t="s">
        <v>467</v>
      </c>
      <c r="E266" s="24">
        <v>-7.83</v>
      </c>
      <c r="F266" s="24">
        <v>1.16</v>
      </c>
    </row>
    <row r="267" s="24" customFormat="1" spans="1:6">
      <c r="A267" s="24" t="s">
        <v>140</v>
      </c>
      <c r="B267" s="24" t="str">
        <f>"600418"</f>
        <v>600418</v>
      </c>
      <c r="C267" s="24" t="s">
        <v>468</v>
      </c>
      <c r="D267" s="24" t="s">
        <v>175</v>
      </c>
      <c r="E267" s="24">
        <v>-7.89</v>
      </c>
      <c r="F267" s="24">
        <v>0.69</v>
      </c>
    </row>
    <row r="268" s="24" customFormat="1" spans="1:6">
      <c r="A268" s="24" t="s">
        <v>142</v>
      </c>
      <c r="B268" s="24" t="str">
        <f>"300447"</f>
        <v>300447</v>
      </c>
      <c r="C268" s="24" t="s">
        <v>469</v>
      </c>
      <c r="D268" s="24" t="s">
        <v>251</v>
      </c>
      <c r="E268" s="24">
        <v>-7.95</v>
      </c>
      <c r="F268" s="24">
        <v>3.44</v>
      </c>
    </row>
    <row r="269" s="24" customFormat="1" spans="1:6">
      <c r="A269" s="24" t="s">
        <v>140</v>
      </c>
      <c r="B269" s="24" t="str">
        <f>"600079"</f>
        <v>600079</v>
      </c>
      <c r="C269" s="24" t="s">
        <v>470</v>
      </c>
      <c r="D269" s="24" t="s">
        <v>464</v>
      </c>
      <c r="E269" s="24">
        <v>-8.15</v>
      </c>
      <c r="F269" s="24">
        <v>3.55</v>
      </c>
    </row>
    <row r="270" s="24" customFormat="1" spans="1:6">
      <c r="A270" s="24" t="s">
        <v>142</v>
      </c>
      <c r="B270" s="24" t="str">
        <f>"002554"</f>
        <v>002554</v>
      </c>
      <c r="C270" s="24" t="s">
        <v>471</v>
      </c>
      <c r="D270" s="24" t="s">
        <v>377</v>
      </c>
      <c r="E270" s="24">
        <v>-8.17</v>
      </c>
      <c r="F270" s="24">
        <v>1.75</v>
      </c>
    </row>
    <row r="271" s="24" customFormat="1" spans="1:6">
      <c r="A271" s="24" t="s">
        <v>140</v>
      </c>
      <c r="B271" s="24" t="str">
        <f>"600555"</f>
        <v>600555</v>
      </c>
      <c r="C271" s="24" t="s">
        <v>472</v>
      </c>
      <c r="D271" s="24" t="s">
        <v>453</v>
      </c>
      <c r="E271" s="24">
        <v>-8.25</v>
      </c>
      <c r="F271" s="24">
        <v>1.7</v>
      </c>
    </row>
    <row r="272" s="24" customFormat="1" spans="1:6">
      <c r="A272" s="24" t="s">
        <v>142</v>
      </c>
      <c r="B272" s="24" t="str">
        <f>"002535"</f>
        <v>002535</v>
      </c>
      <c r="C272" s="24" t="s">
        <v>473</v>
      </c>
      <c r="D272" s="24" t="s">
        <v>173</v>
      </c>
      <c r="E272" s="24">
        <v>-8.26</v>
      </c>
      <c r="F272" s="24">
        <v>0.67</v>
      </c>
    </row>
    <row r="273" s="24" customFormat="1" spans="1:6">
      <c r="A273" s="24" t="s">
        <v>142</v>
      </c>
      <c r="B273" s="24" t="str">
        <f>"000995"</f>
        <v>000995</v>
      </c>
      <c r="C273" s="24" t="s">
        <v>474</v>
      </c>
      <c r="D273" s="24" t="s">
        <v>309</v>
      </c>
      <c r="E273" s="24">
        <v>-8.3</v>
      </c>
      <c r="F273" s="24">
        <v>-7.18</v>
      </c>
    </row>
    <row r="274" s="24" customFormat="1" spans="1:6">
      <c r="A274" s="24" t="s">
        <v>142</v>
      </c>
      <c r="B274" s="24" t="str">
        <f>"200468"</f>
        <v>200468</v>
      </c>
      <c r="C274" s="24" t="s">
        <v>475</v>
      </c>
      <c r="D274" s="24"/>
      <c r="E274" s="24">
        <v>-8.39</v>
      </c>
      <c r="F274" s="24">
        <v>1.5</v>
      </c>
    </row>
    <row r="275" s="24" customFormat="1" spans="1:6">
      <c r="A275" s="24" t="s">
        <v>140</v>
      </c>
      <c r="B275" s="24" t="str">
        <f>"600458"</f>
        <v>600458</v>
      </c>
      <c r="C275" s="24" t="s">
        <v>476</v>
      </c>
      <c r="D275" s="24" t="s">
        <v>228</v>
      </c>
      <c r="E275" s="24">
        <v>-8.41</v>
      </c>
      <c r="F275" s="24">
        <v>1.08</v>
      </c>
    </row>
    <row r="276" s="24" customFormat="1" spans="1:6">
      <c r="A276" s="24" t="s">
        <v>142</v>
      </c>
      <c r="B276" s="24" t="str">
        <f>"002178"</f>
        <v>002178</v>
      </c>
      <c r="C276" s="24" t="s">
        <v>477</v>
      </c>
      <c r="D276" s="24" t="s">
        <v>214</v>
      </c>
      <c r="E276" s="24">
        <v>-8.47</v>
      </c>
      <c r="F276" s="24">
        <v>3.56</v>
      </c>
    </row>
    <row r="277" s="24" customFormat="1" spans="1:6">
      <c r="A277" s="24" t="s">
        <v>142</v>
      </c>
      <c r="B277" s="24" t="str">
        <f>"002113"</f>
        <v>002113</v>
      </c>
      <c r="C277" s="24" t="s">
        <v>478</v>
      </c>
      <c r="D277" s="24" t="s">
        <v>156</v>
      </c>
      <c r="E277" s="24">
        <v>-8.5</v>
      </c>
      <c r="F277" s="24">
        <v>2.7</v>
      </c>
    </row>
    <row r="278" s="24" customFormat="1" spans="1:6">
      <c r="A278" s="24" t="s">
        <v>140</v>
      </c>
      <c r="B278" s="24" t="str">
        <f>"600198"</f>
        <v>600198</v>
      </c>
      <c r="C278" s="24" t="s">
        <v>479</v>
      </c>
      <c r="D278" s="24" t="s">
        <v>179</v>
      </c>
      <c r="E278" s="24">
        <v>-8.51</v>
      </c>
      <c r="F278" s="24">
        <v>-7.5</v>
      </c>
    </row>
    <row r="279" s="24" customFormat="1" spans="1:6">
      <c r="A279" s="24" t="s">
        <v>142</v>
      </c>
      <c r="B279" s="24" t="str">
        <f>"002052"</f>
        <v>002052</v>
      </c>
      <c r="C279" s="24" t="s">
        <v>480</v>
      </c>
      <c r="D279" s="24" t="s">
        <v>193</v>
      </c>
      <c r="E279" s="24">
        <v>-8.59</v>
      </c>
      <c r="F279" s="24">
        <v>3.77</v>
      </c>
    </row>
    <row r="280" s="24" customFormat="1" spans="1:6">
      <c r="A280" s="24" t="s">
        <v>142</v>
      </c>
      <c r="B280" s="24" t="str">
        <f>"000409"</f>
        <v>000409</v>
      </c>
      <c r="C280" s="24" t="s">
        <v>481</v>
      </c>
      <c r="D280" s="24" t="s">
        <v>267</v>
      </c>
      <c r="E280" s="24">
        <v>-8.61</v>
      </c>
      <c r="F280" s="24">
        <v>5.21</v>
      </c>
    </row>
    <row r="281" s="24" customFormat="1" spans="1:6">
      <c r="A281" s="24" t="s">
        <v>142</v>
      </c>
      <c r="B281" s="24" t="str">
        <f>"000670"</f>
        <v>000670</v>
      </c>
      <c r="C281" s="24" t="s">
        <v>482</v>
      </c>
      <c r="D281" s="24" t="s">
        <v>276</v>
      </c>
      <c r="E281" s="24">
        <v>-8.63</v>
      </c>
      <c r="F281" s="24">
        <v>11.08</v>
      </c>
    </row>
    <row r="282" s="24" customFormat="1" spans="1:6">
      <c r="A282" s="24" t="s">
        <v>142</v>
      </c>
      <c r="B282" s="24" t="str">
        <f>"300405"</f>
        <v>300405</v>
      </c>
      <c r="C282" s="24" t="s">
        <v>483</v>
      </c>
      <c r="D282" s="24" t="s">
        <v>256</v>
      </c>
      <c r="E282" s="24">
        <v>-8.64</v>
      </c>
      <c r="F282" s="24">
        <v>1.53</v>
      </c>
    </row>
    <row r="283" s="24" customFormat="1" spans="1:6">
      <c r="A283" s="24" t="s">
        <v>142</v>
      </c>
      <c r="B283" s="24" t="str">
        <f>"000609"</f>
        <v>000609</v>
      </c>
      <c r="C283" s="24" t="s">
        <v>484</v>
      </c>
      <c r="D283" s="24" t="s">
        <v>244</v>
      </c>
      <c r="E283" s="24">
        <v>-8.77</v>
      </c>
      <c r="F283" s="24">
        <v>0.96</v>
      </c>
    </row>
    <row r="284" s="24" customFormat="1" spans="1:6">
      <c r="A284" s="24" t="s">
        <v>142</v>
      </c>
      <c r="B284" s="24" t="str">
        <f>"002496"</f>
        <v>002496</v>
      </c>
      <c r="C284" s="24" t="s">
        <v>485</v>
      </c>
      <c r="D284" s="24" t="s">
        <v>278</v>
      </c>
      <c r="E284" s="24">
        <v>-8.78</v>
      </c>
      <c r="F284" s="24">
        <v>1.42</v>
      </c>
    </row>
    <row r="285" s="24" customFormat="1" spans="1:6">
      <c r="A285" s="24" t="s">
        <v>142</v>
      </c>
      <c r="B285" s="24" t="str">
        <f>"000816"</f>
        <v>000816</v>
      </c>
      <c r="C285" s="24" t="s">
        <v>486</v>
      </c>
      <c r="D285" s="24" t="s">
        <v>165</v>
      </c>
      <c r="E285" s="24">
        <v>-8.8</v>
      </c>
      <c r="F285" s="24">
        <v>0.61</v>
      </c>
    </row>
    <row r="286" s="24" customFormat="1" spans="1:6">
      <c r="A286" s="24" t="s">
        <v>142</v>
      </c>
      <c r="B286" s="24" t="str">
        <f>"200054"</f>
        <v>200054</v>
      </c>
      <c r="C286" s="24" t="s">
        <v>487</v>
      </c>
      <c r="D286" s="24"/>
      <c r="E286" s="24">
        <v>-8.83</v>
      </c>
      <c r="F286" s="24">
        <v>2.08</v>
      </c>
    </row>
    <row r="287" s="24" customFormat="1" spans="1:6">
      <c r="A287" s="24" t="s">
        <v>142</v>
      </c>
      <c r="B287" s="24" t="str">
        <f>"002681"</f>
        <v>002681</v>
      </c>
      <c r="C287" s="24" t="s">
        <v>488</v>
      </c>
      <c r="D287" s="24" t="s">
        <v>184</v>
      </c>
      <c r="E287" s="24">
        <v>-9</v>
      </c>
      <c r="F287" s="24">
        <v>3.47</v>
      </c>
    </row>
    <row r="288" s="24" customFormat="1" spans="1:6">
      <c r="A288" s="24" t="s">
        <v>142</v>
      </c>
      <c r="B288" s="24" t="str">
        <f>"300466"</f>
        <v>300466</v>
      </c>
      <c r="C288" s="24" t="s">
        <v>489</v>
      </c>
      <c r="D288" s="24" t="s">
        <v>152</v>
      </c>
      <c r="E288" s="24">
        <v>-9.01</v>
      </c>
      <c r="F288" s="24">
        <v>3.56</v>
      </c>
    </row>
    <row r="289" s="24" customFormat="1" spans="1:6">
      <c r="A289" s="24" t="s">
        <v>142</v>
      </c>
      <c r="B289" s="24" t="str">
        <f>"300069"</f>
        <v>300069</v>
      </c>
      <c r="C289" s="24" t="s">
        <v>490</v>
      </c>
      <c r="D289" s="24" t="s">
        <v>251</v>
      </c>
      <c r="E289" s="24">
        <v>-9.07</v>
      </c>
      <c r="F289" s="24">
        <v>5.69</v>
      </c>
    </row>
    <row r="290" s="24" customFormat="1" spans="1:6">
      <c r="A290" s="24" t="s">
        <v>142</v>
      </c>
      <c r="B290" s="24" t="str">
        <f>"300029"</f>
        <v>300029</v>
      </c>
      <c r="C290" s="24" t="s">
        <v>491</v>
      </c>
      <c r="D290" s="24" t="s">
        <v>173</v>
      </c>
      <c r="E290" s="24">
        <v>-9.11</v>
      </c>
      <c r="F290" s="24">
        <v>13.19</v>
      </c>
    </row>
    <row r="291" s="24" customFormat="1" spans="1:6">
      <c r="A291" s="24" t="s">
        <v>142</v>
      </c>
      <c r="B291" s="24" t="str">
        <f>"002630"</f>
        <v>002630</v>
      </c>
      <c r="C291" s="24" t="s">
        <v>492</v>
      </c>
      <c r="D291" s="24" t="s">
        <v>165</v>
      </c>
      <c r="E291" s="24">
        <v>-9.14</v>
      </c>
      <c r="F291" s="24">
        <v>0.8</v>
      </c>
    </row>
    <row r="292" s="24" customFormat="1" spans="1:6">
      <c r="A292" s="24" t="s">
        <v>140</v>
      </c>
      <c r="B292" s="24" t="str">
        <f>"900921"</f>
        <v>900921</v>
      </c>
      <c r="C292" s="24" t="s">
        <v>493</v>
      </c>
      <c r="D292" s="24"/>
      <c r="E292" s="24">
        <v>-9.18</v>
      </c>
      <c r="F292" s="24">
        <v>1.11</v>
      </c>
    </row>
    <row r="293" s="24" customFormat="1" spans="1:6">
      <c r="A293" s="24" t="s">
        <v>142</v>
      </c>
      <c r="B293" s="24" t="str">
        <f>"000611"</f>
        <v>000611</v>
      </c>
      <c r="C293" s="24" t="s">
        <v>494</v>
      </c>
      <c r="D293" s="24" t="s">
        <v>253</v>
      </c>
      <c r="E293" s="24">
        <v>-9.24</v>
      </c>
      <c r="F293" s="24">
        <v>3.16</v>
      </c>
    </row>
    <row r="294" s="24" customFormat="1" spans="1:6">
      <c r="A294" s="24" t="s">
        <v>140</v>
      </c>
      <c r="B294" s="24" t="str">
        <f>"600961"</f>
        <v>600961</v>
      </c>
      <c r="C294" s="24" t="s">
        <v>495</v>
      </c>
      <c r="D294" s="24" t="s">
        <v>167</v>
      </c>
      <c r="E294" s="24">
        <v>-9.42</v>
      </c>
      <c r="F294" s="24">
        <v>-2.62</v>
      </c>
    </row>
    <row r="295" s="24" customFormat="1" spans="1:6">
      <c r="A295" s="24" t="s">
        <v>142</v>
      </c>
      <c r="B295" s="24" t="str">
        <f>"002261"</f>
        <v>002261</v>
      </c>
      <c r="C295" s="24" t="s">
        <v>496</v>
      </c>
      <c r="D295" s="24" t="s">
        <v>163</v>
      </c>
      <c r="E295" s="24">
        <v>-9.6</v>
      </c>
      <c r="F295" s="24">
        <v>7.73</v>
      </c>
    </row>
    <row r="296" s="24" customFormat="1" spans="1:6">
      <c r="A296" s="24" t="s">
        <v>140</v>
      </c>
      <c r="B296" s="24" t="str">
        <f>"600499"</f>
        <v>600499</v>
      </c>
      <c r="C296" s="24" t="s">
        <v>497</v>
      </c>
      <c r="D296" s="24" t="s">
        <v>173</v>
      </c>
      <c r="E296" s="24">
        <v>-9.63</v>
      </c>
      <c r="F296" s="24">
        <v>1.87</v>
      </c>
    </row>
    <row r="297" s="24" customFormat="1" spans="1:6">
      <c r="A297" s="24" t="s">
        <v>142</v>
      </c>
      <c r="B297" s="24" t="str">
        <f>"002719"</f>
        <v>002719</v>
      </c>
      <c r="C297" s="24" t="s">
        <v>498</v>
      </c>
      <c r="D297" s="24" t="s">
        <v>190</v>
      </c>
      <c r="E297" s="24">
        <v>-9.65</v>
      </c>
      <c r="F297" s="24">
        <v>1.73</v>
      </c>
    </row>
    <row r="298" s="24" customFormat="1" spans="1:6">
      <c r="A298" s="24" t="s">
        <v>142</v>
      </c>
      <c r="B298" s="24" t="str">
        <f>"300010"</f>
        <v>300010</v>
      </c>
      <c r="C298" s="24" t="s">
        <v>499</v>
      </c>
      <c r="D298" s="24" t="s">
        <v>159</v>
      </c>
      <c r="E298" s="24">
        <v>-9.72</v>
      </c>
      <c r="F298" s="24">
        <v>27.34</v>
      </c>
    </row>
    <row r="299" s="24" customFormat="1" spans="1:6">
      <c r="A299" s="24" t="s">
        <v>140</v>
      </c>
      <c r="B299" s="24" t="str">
        <f>"600805"</f>
        <v>600805</v>
      </c>
      <c r="C299" s="24" t="s">
        <v>500</v>
      </c>
      <c r="D299" s="24" t="s">
        <v>260</v>
      </c>
      <c r="E299" s="24">
        <v>-9.81</v>
      </c>
      <c r="F299" s="24">
        <v>0.62</v>
      </c>
    </row>
    <row r="300" s="24" customFormat="1" spans="1:6">
      <c r="A300" s="24" t="s">
        <v>142</v>
      </c>
      <c r="B300" s="24" t="str">
        <f>"002759"</f>
        <v>002759</v>
      </c>
      <c r="C300" s="24" t="s">
        <v>501</v>
      </c>
      <c r="D300" s="24" t="s">
        <v>184</v>
      </c>
      <c r="E300" s="24">
        <v>-9.82</v>
      </c>
      <c r="F300" s="24">
        <v>2.63</v>
      </c>
    </row>
    <row r="301" s="24" customFormat="1" spans="1:6">
      <c r="A301" s="24" t="s">
        <v>142</v>
      </c>
      <c r="B301" s="24" t="str">
        <f>"000638"</f>
        <v>000638</v>
      </c>
      <c r="C301" s="24" t="s">
        <v>502</v>
      </c>
      <c r="D301" s="24" t="s">
        <v>267</v>
      </c>
      <c r="E301" s="24">
        <v>-9.96</v>
      </c>
      <c r="F301" s="24">
        <v>25.5</v>
      </c>
    </row>
    <row r="302" s="24" customFormat="1" spans="1:6">
      <c r="A302" s="24" t="s">
        <v>140</v>
      </c>
      <c r="B302" s="24" t="str">
        <f>"900953"</f>
        <v>900953</v>
      </c>
      <c r="C302" s="24" t="s">
        <v>503</v>
      </c>
      <c r="D302" s="24"/>
      <c r="E302" s="24">
        <v>-10.02</v>
      </c>
      <c r="F302" s="24">
        <v>2.71</v>
      </c>
    </row>
    <row r="303" s="24" customFormat="1" spans="1:6">
      <c r="A303" s="24" t="s">
        <v>142</v>
      </c>
      <c r="B303" s="24" t="str">
        <f>"000807"</f>
        <v>000807</v>
      </c>
      <c r="C303" s="24" t="s">
        <v>504</v>
      </c>
      <c r="D303" s="24" t="s">
        <v>167</v>
      </c>
      <c r="E303" s="24">
        <v>-10.03</v>
      </c>
      <c r="F303" s="24">
        <v>1.31</v>
      </c>
    </row>
    <row r="304" s="24" customFormat="1" spans="1:6">
      <c r="A304" s="24" t="s">
        <v>140</v>
      </c>
      <c r="B304" s="24" t="str">
        <f>"600981"</f>
        <v>600981</v>
      </c>
      <c r="C304" s="24" t="s">
        <v>505</v>
      </c>
      <c r="D304" s="24" t="s">
        <v>506</v>
      </c>
      <c r="E304" s="24">
        <v>-10.05</v>
      </c>
      <c r="F304" s="24">
        <v>1.48</v>
      </c>
    </row>
    <row r="305" s="24" customFormat="1" spans="1:6">
      <c r="A305" s="24" t="s">
        <v>142</v>
      </c>
      <c r="B305" s="24" t="str">
        <f>"000506"</f>
        <v>000506</v>
      </c>
      <c r="C305" s="24" t="s">
        <v>507</v>
      </c>
      <c r="D305" s="24" t="s">
        <v>244</v>
      </c>
      <c r="E305" s="24">
        <v>-10.07</v>
      </c>
      <c r="F305" s="24">
        <v>2.36</v>
      </c>
    </row>
    <row r="306" s="24" customFormat="1" spans="1:6">
      <c r="A306" s="24" t="s">
        <v>140</v>
      </c>
      <c r="B306" s="24" t="str">
        <f>"600069"</f>
        <v>600069</v>
      </c>
      <c r="C306" s="24" t="s">
        <v>508</v>
      </c>
      <c r="D306" s="24" t="s">
        <v>509</v>
      </c>
      <c r="E306" s="24">
        <v>-10.22</v>
      </c>
      <c r="F306" s="24">
        <v>1.72</v>
      </c>
    </row>
    <row r="307" s="24" customFormat="1" spans="1:6">
      <c r="A307" s="24" t="s">
        <v>140</v>
      </c>
      <c r="B307" s="24" t="str">
        <f>"600290"</f>
        <v>600290</v>
      </c>
      <c r="C307" s="24" t="s">
        <v>510</v>
      </c>
      <c r="D307" s="24" t="s">
        <v>251</v>
      </c>
      <c r="E307" s="24">
        <v>-10.25</v>
      </c>
      <c r="F307" s="24">
        <v>0.36</v>
      </c>
    </row>
    <row r="308" s="24" customFormat="1" spans="1:6">
      <c r="A308" s="24" t="s">
        <v>142</v>
      </c>
      <c r="B308" s="24" t="str">
        <f>"002073"</f>
        <v>002073</v>
      </c>
      <c r="C308" s="24" t="s">
        <v>511</v>
      </c>
      <c r="D308" s="24" t="s">
        <v>173</v>
      </c>
      <c r="E308" s="24">
        <v>-10.26</v>
      </c>
      <c r="F308" s="24">
        <v>0.92</v>
      </c>
    </row>
    <row r="309" s="24" customFormat="1" spans="1:6">
      <c r="A309" s="24" t="s">
        <v>142</v>
      </c>
      <c r="B309" s="24" t="str">
        <f>"300176"</f>
        <v>300176</v>
      </c>
      <c r="C309" s="24" t="s">
        <v>512</v>
      </c>
      <c r="D309" s="24" t="s">
        <v>204</v>
      </c>
      <c r="E309" s="24">
        <v>-10.38</v>
      </c>
      <c r="F309" s="24">
        <v>3.17</v>
      </c>
    </row>
    <row r="310" s="24" customFormat="1" spans="1:6">
      <c r="A310" s="24" t="s">
        <v>142</v>
      </c>
      <c r="B310" s="24" t="str">
        <f>"000965"</f>
        <v>000965</v>
      </c>
      <c r="C310" s="24" t="s">
        <v>513</v>
      </c>
      <c r="D310" s="24" t="s">
        <v>244</v>
      </c>
      <c r="E310" s="24">
        <v>-10.42</v>
      </c>
      <c r="F310" s="24">
        <v>0.65</v>
      </c>
    </row>
    <row r="311" s="24" customFormat="1" spans="1:6">
      <c r="A311" s="24" t="s">
        <v>142</v>
      </c>
      <c r="B311" s="24" t="str">
        <f>"002660"</f>
        <v>002660</v>
      </c>
      <c r="C311" s="24" t="s">
        <v>514</v>
      </c>
      <c r="D311" s="24" t="s">
        <v>251</v>
      </c>
      <c r="E311" s="24">
        <v>-10.43</v>
      </c>
      <c r="F311" s="24">
        <v>3.77</v>
      </c>
    </row>
    <row r="312" s="24" customFormat="1" spans="1:6">
      <c r="A312" s="24" t="s">
        <v>142</v>
      </c>
      <c r="B312" s="24" t="str">
        <f>"300048"</f>
        <v>300048</v>
      </c>
      <c r="C312" s="24" t="s">
        <v>515</v>
      </c>
      <c r="D312" s="24" t="s">
        <v>251</v>
      </c>
      <c r="E312" s="24">
        <v>-10.43</v>
      </c>
      <c r="F312" s="24">
        <v>1.25</v>
      </c>
    </row>
    <row r="313" s="24" customFormat="1" spans="1:6">
      <c r="A313" s="24" t="s">
        <v>142</v>
      </c>
      <c r="B313" s="24" t="str">
        <f>"002137"</f>
        <v>002137</v>
      </c>
      <c r="C313" s="24" t="s">
        <v>516</v>
      </c>
      <c r="D313" s="24" t="s">
        <v>163</v>
      </c>
      <c r="E313" s="24">
        <v>-10.47</v>
      </c>
      <c r="F313" s="24">
        <v>3.52</v>
      </c>
    </row>
    <row r="314" s="24" customFormat="1" spans="1:6">
      <c r="A314" s="24" t="s">
        <v>140</v>
      </c>
      <c r="B314" s="24" t="str">
        <f>"600685"</f>
        <v>600685</v>
      </c>
      <c r="C314" s="24" t="s">
        <v>517</v>
      </c>
      <c r="D314" s="24" t="s">
        <v>173</v>
      </c>
      <c r="E314" s="24">
        <v>-10.5</v>
      </c>
      <c r="F314" s="24">
        <v>1.94</v>
      </c>
    </row>
    <row r="315" s="24" customFormat="1" spans="1:6">
      <c r="A315" s="24" t="s">
        <v>142</v>
      </c>
      <c r="B315" s="24" t="str">
        <f>"000593"</f>
        <v>000593</v>
      </c>
      <c r="C315" s="24" t="s">
        <v>518</v>
      </c>
      <c r="D315" s="24" t="s">
        <v>195</v>
      </c>
      <c r="E315" s="24">
        <v>-10.51</v>
      </c>
      <c r="F315" s="24">
        <v>3.14</v>
      </c>
    </row>
    <row r="316" s="24" customFormat="1" spans="1:6">
      <c r="A316" s="24" t="s">
        <v>142</v>
      </c>
      <c r="B316" s="24" t="str">
        <f>"002527"</f>
        <v>002527</v>
      </c>
      <c r="C316" s="24" t="s">
        <v>519</v>
      </c>
      <c r="D316" s="24" t="s">
        <v>251</v>
      </c>
      <c r="E316" s="24">
        <v>-10.61</v>
      </c>
      <c r="F316" s="24">
        <v>2.43</v>
      </c>
    </row>
    <row r="317" s="24" customFormat="1" spans="1:6">
      <c r="A317" s="24" t="s">
        <v>140</v>
      </c>
      <c r="B317" s="24" t="str">
        <f>"603389"</f>
        <v>603389</v>
      </c>
      <c r="C317" s="24" t="s">
        <v>520</v>
      </c>
      <c r="D317" s="24" t="s">
        <v>200</v>
      </c>
      <c r="E317" s="24">
        <v>-10.65</v>
      </c>
      <c r="F317" s="24">
        <v>1.63</v>
      </c>
    </row>
    <row r="318" s="24" customFormat="1" spans="1:6">
      <c r="A318" s="24" t="s">
        <v>140</v>
      </c>
      <c r="B318" s="24" t="str">
        <f>"600807"</f>
        <v>600807</v>
      </c>
      <c r="C318" s="24" t="s">
        <v>521</v>
      </c>
      <c r="D318" s="24" t="s">
        <v>244</v>
      </c>
      <c r="E318" s="24">
        <v>-10.73</v>
      </c>
      <c r="F318" s="24">
        <v>2.56</v>
      </c>
    </row>
    <row r="319" s="24" customFormat="1" spans="1:6">
      <c r="A319" s="24" t="s">
        <v>142</v>
      </c>
      <c r="B319" s="24" t="str">
        <f>"300742"</f>
        <v>300742</v>
      </c>
      <c r="C319" s="24" t="s">
        <v>522</v>
      </c>
      <c r="D319" s="24" t="s">
        <v>204</v>
      </c>
      <c r="E319" s="24">
        <v>-10.89</v>
      </c>
      <c r="F319" s="24">
        <v>1.43</v>
      </c>
    </row>
    <row r="320" s="24" customFormat="1" spans="1:6">
      <c r="A320" s="24" t="s">
        <v>142</v>
      </c>
      <c r="B320" s="24" t="str">
        <f>"002131"</f>
        <v>002131</v>
      </c>
      <c r="C320" s="24" t="s">
        <v>523</v>
      </c>
      <c r="D320" s="24" t="s">
        <v>170</v>
      </c>
      <c r="E320" s="24">
        <v>-10.94</v>
      </c>
      <c r="F320" s="24">
        <v>3.45</v>
      </c>
    </row>
    <row r="321" s="24" customFormat="1" spans="1:6">
      <c r="A321" s="24" t="s">
        <v>142</v>
      </c>
      <c r="B321" s="24" t="str">
        <f>"002355"</f>
        <v>002355</v>
      </c>
      <c r="C321" s="24" t="s">
        <v>524</v>
      </c>
      <c r="D321" s="24" t="s">
        <v>204</v>
      </c>
      <c r="E321" s="24">
        <v>-10.95</v>
      </c>
      <c r="F321" s="24">
        <v>1.36</v>
      </c>
    </row>
    <row r="322" s="24" customFormat="1" spans="1:6">
      <c r="A322" s="24" t="s">
        <v>142</v>
      </c>
      <c r="B322" s="24" t="str">
        <f>"002813"</f>
        <v>002813</v>
      </c>
      <c r="C322" s="24" t="s">
        <v>525</v>
      </c>
      <c r="D322" s="24" t="s">
        <v>152</v>
      </c>
      <c r="E322" s="24">
        <v>-11.04</v>
      </c>
      <c r="F322" s="24">
        <v>4.43</v>
      </c>
    </row>
    <row r="323" s="24" customFormat="1" spans="1:6">
      <c r="A323" s="24" t="s">
        <v>140</v>
      </c>
      <c r="B323" s="24" t="str">
        <f>"600303"</f>
        <v>600303</v>
      </c>
      <c r="C323" s="24" t="s">
        <v>526</v>
      </c>
      <c r="D323" s="24" t="s">
        <v>175</v>
      </c>
      <c r="E323" s="24">
        <v>-11.21</v>
      </c>
      <c r="F323" s="24">
        <v>0.78</v>
      </c>
    </row>
    <row r="324" s="24" customFormat="1" spans="1:6">
      <c r="A324" s="24" t="s">
        <v>140</v>
      </c>
      <c r="B324" s="24" t="str">
        <f>"600186"</f>
        <v>600186</v>
      </c>
      <c r="C324" s="24" t="s">
        <v>527</v>
      </c>
      <c r="D324" s="24" t="s">
        <v>190</v>
      </c>
      <c r="E324" s="24">
        <v>-11.23</v>
      </c>
      <c r="F324" s="24">
        <v>-18.22</v>
      </c>
    </row>
    <row r="325" s="24" customFormat="1" spans="1:6">
      <c r="A325" s="24" t="s">
        <v>142</v>
      </c>
      <c r="B325" s="24" t="str">
        <f>"300299"</f>
        <v>300299</v>
      </c>
      <c r="C325" s="24" t="s">
        <v>528</v>
      </c>
      <c r="D325" s="24" t="s">
        <v>156</v>
      </c>
      <c r="E325" s="24">
        <v>-11.5</v>
      </c>
      <c r="F325" s="24">
        <v>17.74</v>
      </c>
    </row>
    <row r="326" s="24" customFormat="1" spans="1:6">
      <c r="A326" s="24" t="s">
        <v>142</v>
      </c>
      <c r="B326" s="24" t="str">
        <f>"000426"</f>
        <v>000426</v>
      </c>
      <c r="C326" s="24" t="s">
        <v>529</v>
      </c>
      <c r="D326" s="24" t="s">
        <v>167</v>
      </c>
      <c r="E326" s="24">
        <v>-11.51</v>
      </c>
      <c r="F326" s="24">
        <v>1.86</v>
      </c>
    </row>
    <row r="327" s="24" customFormat="1" spans="1:6">
      <c r="A327" s="24" t="s">
        <v>140</v>
      </c>
      <c r="B327" s="24" t="str">
        <f>"600207"</f>
        <v>600207</v>
      </c>
      <c r="C327" s="24" t="s">
        <v>530</v>
      </c>
      <c r="D327" s="24" t="s">
        <v>246</v>
      </c>
      <c r="E327" s="24">
        <v>-11.71</v>
      </c>
      <c r="F327" s="24">
        <v>2.39</v>
      </c>
    </row>
    <row r="328" s="24" customFormat="1" spans="1:6">
      <c r="A328" s="24" t="s">
        <v>142</v>
      </c>
      <c r="B328" s="24" t="str">
        <f>"200550"</f>
        <v>200550</v>
      </c>
      <c r="C328" s="24" t="s">
        <v>531</v>
      </c>
      <c r="D328" s="24"/>
      <c r="E328" s="24">
        <v>-11.75</v>
      </c>
      <c r="F328" s="24">
        <v>0.42</v>
      </c>
    </row>
    <row r="329" s="24" customFormat="1" spans="1:6">
      <c r="A329" s="24" t="s">
        <v>142</v>
      </c>
      <c r="B329" s="24" t="str">
        <f>"300152"</f>
        <v>300152</v>
      </c>
      <c r="C329" s="24" t="s">
        <v>532</v>
      </c>
      <c r="D329" s="24" t="s">
        <v>251</v>
      </c>
      <c r="E329" s="24">
        <v>-11.81</v>
      </c>
      <c r="F329" s="24">
        <v>2.92</v>
      </c>
    </row>
    <row r="330" s="24" customFormat="1" spans="1:6">
      <c r="A330" s="24" t="s">
        <v>142</v>
      </c>
      <c r="B330" s="24" t="str">
        <f>"300325"</f>
        <v>300325</v>
      </c>
      <c r="C330" s="24" t="s">
        <v>533</v>
      </c>
      <c r="D330" s="24" t="s">
        <v>228</v>
      </c>
      <c r="E330" s="24">
        <v>-11.99</v>
      </c>
      <c r="F330" s="24">
        <v>2.7</v>
      </c>
    </row>
    <row r="331" s="24" customFormat="1" spans="1:6">
      <c r="A331" s="24" t="s">
        <v>140</v>
      </c>
      <c r="B331" s="24" t="str">
        <f>"600509"</f>
        <v>600509</v>
      </c>
      <c r="C331" s="24" t="s">
        <v>534</v>
      </c>
      <c r="D331" s="24" t="s">
        <v>188</v>
      </c>
      <c r="E331" s="24">
        <v>-11.99</v>
      </c>
      <c r="F331" s="24">
        <v>0.57</v>
      </c>
    </row>
    <row r="332" s="24" customFormat="1" spans="1:6">
      <c r="A332" s="24" t="s">
        <v>140</v>
      </c>
      <c r="B332" s="24" t="str">
        <f>"600354"</f>
        <v>600354</v>
      </c>
      <c r="C332" s="24" t="s">
        <v>535</v>
      </c>
      <c r="D332" s="24" t="s">
        <v>145</v>
      </c>
      <c r="E332" s="24">
        <v>-12.24</v>
      </c>
      <c r="F332" s="24">
        <v>4.74</v>
      </c>
    </row>
    <row r="333" s="24" customFormat="1" spans="1:6">
      <c r="A333" s="24" t="s">
        <v>140</v>
      </c>
      <c r="B333" s="24" t="str">
        <f>"900946"</f>
        <v>900946</v>
      </c>
      <c r="C333" s="24" t="s">
        <v>536</v>
      </c>
      <c r="D333" s="24"/>
      <c r="E333" s="24">
        <v>-12.3</v>
      </c>
      <c r="F333" s="24">
        <v>2.42</v>
      </c>
    </row>
    <row r="334" s="24" customFormat="1" spans="1:6">
      <c r="A334" s="24" t="s">
        <v>140</v>
      </c>
      <c r="B334" s="24" t="str">
        <f>"600302"</f>
        <v>600302</v>
      </c>
      <c r="C334" s="24" t="s">
        <v>537</v>
      </c>
      <c r="D334" s="24" t="s">
        <v>173</v>
      </c>
      <c r="E334" s="24">
        <v>-12.52</v>
      </c>
      <c r="F334" s="24">
        <v>1.22</v>
      </c>
    </row>
    <row r="335" s="24" customFormat="1" spans="1:6">
      <c r="A335" s="24" t="s">
        <v>142</v>
      </c>
      <c r="B335" s="24" t="str">
        <f>"002665"</f>
        <v>002665</v>
      </c>
      <c r="C335" s="24" t="s">
        <v>538</v>
      </c>
      <c r="D335" s="24" t="s">
        <v>165</v>
      </c>
      <c r="E335" s="24">
        <v>-12.72</v>
      </c>
      <c r="F335" s="24">
        <v>1.12</v>
      </c>
    </row>
    <row r="336" s="24" customFormat="1" spans="1:6">
      <c r="A336" s="24" t="s">
        <v>140</v>
      </c>
      <c r="B336" s="24" t="str">
        <f>"600561"</f>
        <v>600561</v>
      </c>
      <c r="C336" s="24" t="s">
        <v>539</v>
      </c>
      <c r="D336" s="24" t="s">
        <v>540</v>
      </c>
      <c r="E336" s="24">
        <v>-12.73</v>
      </c>
      <c r="F336" s="24">
        <v>0.98</v>
      </c>
    </row>
    <row r="337" s="24" customFormat="1" spans="1:6">
      <c r="A337" s="24" t="s">
        <v>142</v>
      </c>
      <c r="B337" s="24" t="str">
        <f>"300366"</f>
        <v>300366</v>
      </c>
      <c r="C337" s="24" t="s">
        <v>541</v>
      </c>
      <c r="D337" s="24" t="s">
        <v>179</v>
      </c>
      <c r="E337" s="24">
        <v>-12.74</v>
      </c>
      <c r="F337" s="24">
        <v>3.02</v>
      </c>
    </row>
    <row r="338" s="24" customFormat="1" spans="1:6">
      <c r="A338" s="24" t="s">
        <v>142</v>
      </c>
      <c r="B338" s="24" t="str">
        <f>"000595"</f>
        <v>000595</v>
      </c>
      <c r="C338" s="24" t="s">
        <v>542</v>
      </c>
      <c r="D338" s="24" t="s">
        <v>165</v>
      </c>
      <c r="E338" s="24">
        <v>-12.91</v>
      </c>
      <c r="F338" s="24">
        <v>8.54</v>
      </c>
    </row>
    <row r="339" s="24" customFormat="1" spans="1:6">
      <c r="A339" s="24" t="s">
        <v>142</v>
      </c>
      <c r="B339" s="24" t="str">
        <f>"002505"</f>
        <v>002505</v>
      </c>
      <c r="C339" s="24" t="s">
        <v>543</v>
      </c>
      <c r="D339" s="24" t="s">
        <v>145</v>
      </c>
      <c r="E339" s="24">
        <v>-12.97</v>
      </c>
      <c r="F339" s="24">
        <v>2.33</v>
      </c>
    </row>
    <row r="340" s="24" customFormat="1" spans="1:6">
      <c r="A340" s="24" t="s">
        <v>140</v>
      </c>
      <c r="B340" s="24" t="str">
        <f>"600684"</f>
        <v>600684</v>
      </c>
      <c r="C340" s="24" t="s">
        <v>544</v>
      </c>
      <c r="D340" s="24" t="s">
        <v>244</v>
      </c>
      <c r="E340" s="24">
        <v>-13.05</v>
      </c>
      <c r="F340" s="24">
        <v>0.86</v>
      </c>
    </row>
    <row r="341" s="24" customFormat="1" spans="1:6">
      <c r="A341" s="24" t="s">
        <v>142</v>
      </c>
      <c r="B341" s="24" t="str">
        <f>"300167"</f>
        <v>300167</v>
      </c>
      <c r="C341" s="24" t="s">
        <v>545</v>
      </c>
      <c r="D341" s="24" t="s">
        <v>179</v>
      </c>
      <c r="E341" s="24">
        <v>-13.08</v>
      </c>
      <c r="F341" s="24">
        <v>2.89</v>
      </c>
    </row>
    <row r="342" s="24" customFormat="1" spans="1:6">
      <c r="A342" s="24" t="s">
        <v>142</v>
      </c>
      <c r="B342" s="24" t="str">
        <f>"000917"</f>
        <v>000917</v>
      </c>
      <c r="C342" s="24" t="s">
        <v>546</v>
      </c>
      <c r="D342" s="24" t="s">
        <v>170</v>
      </c>
      <c r="E342" s="24">
        <v>-13.17</v>
      </c>
      <c r="F342" s="24">
        <v>0.91</v>
      </c>
    </row>
    <row r="343" s="24" customFormat="1" spans="1:6">
      <c r="A343" s="24" t="s">
        <v>140</v>
      </c>
      <c r="B343" s="24" t="str">
        <f>"603603"</f>
        <v>603603</v>
      </c>
      <c r="C343" s="24" t="s">
        <v>547</v>
      </c>
      <c r="D343" s="24" t="s">
        <v>214</v>
      </c>
      <c r="E343" s="24">
        <v>-13.17</v>
      </c>
      <c r="F343" s="24">
        <v>2.85</v>
      </c>
    </row>
    <row r="344" s="24" customFormat="1" spans="1:6">
      <c r="A344" s="24" t="s">
        <v>140</v>
      </c>
      <c r="B344" s="24" t="str">
        <f>"600238"</f>
        <v>600238</v>
      </c>
      <c r="C344" s="24" t="s">
        <v>548</v>
      </c>
      <c r="D344" s="24" t="s">
        <v>309</v>
      </c>
      <c r="E344" s="24">
        <v>-13.24</v>
      </c>
      <c r="F344" s="24">
        <v>3.09</v>
      </c>
    </row>
    <row r="345" s="24" customFormat="1" spans="1:6">
      <c r="A345" s="24" t="s">
        <v>142</v>
      </c>
      <c r="B345" s="24" t="str">
        <f>"002629"</f>
        <v>002629</v>
      </c>
      <c r="C345" s="24" t="s">
        <v>549</v>
      </c>
      <c r="D345" s="24" t="s">
        <v>377</v>
      </c>
      <c r="E345" s="24">
        <v>-13.37</v>
      </c>
      <c r="F345" s="24">
        <v>73.34</v>
      </c>
    </row>
    <row r="346" s="24" customFormat="1" spans="1:6">
      <c r="A346" s="24" t="s">
        <v>142</v>
      </c>
      <c r="B346" s="24" t="str">
        <f>"002696"</f>
        <v>002696</v>
      </c>
      <c r="C346" s="24" t="s">
        <v>550</v>
      </c>
      <c r="D346" s="24" t="s">
        <v>145</v>
      </c>
      <c r="E346" s="24">
        <v>-13.44</v>
      </c>
      <c r="F346" s="24">
        <v>1.77</v>
      </c>
    </row>
    <row r="347" s="24" customFormat="1" spans="1:6">
      <c r="A347" s="24" t="s">
        <v>142</v>
      </c>
      <c r="B347" s="24" t="str">
        <f>"300471"</f>
        <v>300471</v>
      </c>
      <c r="C347" s="24" t="s">
        <v>551</v>
      </c>
      <c r="D347" s="24" t="s">
        <v>173</v>
      </c>
      <c r="E347" s="24">
        <v>-13.48</v>
      </c>
      <c r="F347" s="24">
        <v>3.9</v>
      </c>
    </row>
    <row r="348" s="24" customFormat="1" spans="1:6">
      <c r="A348" s="24" t="s">
        <v>142</v>
      </c>
      <c r="B348" s="24" t="str">
        <f>"300540"</f>
        <v>300540</v>
      </c>
      <c r="C348" s="24" t="s">
        <v>552</v>
      </c>
      <c r="D348" s="24" t="s">
        <v>165</v>
      </c>
      <c r="E348" s="24">
        <v>-13.54</v>
      </c>
      <c r="F348" s="24">
        <v>2.93</v>
      </c>
    </row>
    <row r="349" s="24" customFormat="1" spans="1:6">
      <c r="A349" s="24" t="s">
        <v>140</v>
      </c>
      <c r="B349" s="24" t="str">
        <f>"600733"</f>
        <v>600733</v>
      </c>
      <c r="C349" s="24" t="s">
        <v>553</v>
      </c>
      <c r="D349" s="24" t="s">
        <v>175</v>
      </c>
      <c r="E349" s="24">
        <v>-13.57</v>
      </c>
      <c r="F349" s="24">
        <v>1.35</v>
      </c>
    </row>
    <row r="350" s="24" customFormat="1" spans="1:6">
      <c r="A350" s="24" t="s">
        <v>142</v>
      </c>
      <c r="B350" s="24" t="str">
        <f>"002256"</f>
        <v>002256</v>
      </c>
      <c r="C350" s="24" t="s">
        <v>554</v>
      </c>
      <c r="D350" s="24" t="s">
        <v>228</v>
      </c>
      <c r="E350" s="24">
        <v>-13.67</v>
      </c>
      <c r="F350" s="24">
        <v>2.25</v>
      </c>
    </row>
    <row r="351" s="24" customFormat="1" spans="1:6">
      <c r="A351" s="24" t="s">
        <v>142</v>
      </c>
      <c r="B351" s="24" t="str">
        <f>"300051"</f>
        <v>300051</v>
      </c>
      <c r="C351" s="24" t="s">
        <v>555</v>
      </c>
      <c r="D351" s="24" t="s">
        <v>163</v>
      </c>
      <c r="E351" s="24">
        <v>-13.71</v>
      </c>
      <c r="F351" s="24">
        <v>16.86</v>
      </c>
    </row>
    <row r="352" s="24" customFormat="1" spans="1:6">
      <c r="A352" s="24" t="s">
        <v>140</v>
      </c>
      <c r="B352" s="24" t="str">
        <f>"601558"</f>
        <v>601558</v>
      </c>
      <c r="C352" s="24" t="s">
        <v>556</v>
      </c>
      <c r="D352" s="24" t="s">
        <v>293</v>
      </c>
      <c r="E352" s="24">
        <v>-13.76</v>
      </c>
      <c r="F352" s="24">
        <v>5.87</v>
      </c>
    </row>
    <row r="353" s="24" customFormat="1" spans="1:6">
      <c r="A353" s="24" t="s">
        <v>140</v>
      </c>
      <c r="B353" s="24" t="str">
        <f>"603168"</f>
        <v>603168</v>
      </c>
      <c r="C353" s="24" t="s">
        <v>557</v>
      </c>
      <c r="D353" s="24" t="s">
        <v>464</v>
      </c>
      <c r="E353" s="24">
        <v>-13.89</v>
      </c>
      <c r="F353" s="24">
        <v>1.76</v>
      </c>
    </row>
    <row r="354" s="24" customFormat="1" spans="1:6">
      <c r="A354" s="24" t="s">
        <v>140</v>
      </c>
      <c r="B354" s="24" t="str">
        <f>"600200"</f>
        <v>600200</v>
      </c>
      <c r="C354" s="24" t="s">
        <v>558</v>
      </c>
      <c r="D354" s="24" t="s">
        <v>260</v>
      </c>
      <c r="E354" s="24">
        <v>-14.05</v>
      </c>
      <c r="F354" s="24">
        <v>3.16</v>
      </c>
    </row>
    <row r="355" s="24" customFormat="1" spans="1:6">
      <c r="A355" s="24" t="s">
        <v>142</v>
      </c>
      <c r="B355" s="24" t="str">
        <f>"002480"</f>
        <v>002480</v>
      </c>
      <c r="C355" s="24" t="s">
        <v>559</v>
      </c>
      <c r="D355" s="24" t="s">
        <v>165</v>
      </c>
      <c r="E355" s="24">
        <v>-14.07</v>
      </c>
      <c r="F355" s="24">
        <v>1.1</v>
      </c>
    </row>
    <row r="356" s="24" customFormat="1" spans="1:6">
      <c r="A356" s="24" t="s">
        <v>140</v>
      </c>
      <c r="B356" s="24" t="str">
        <f>"600331"</f>
        <v>600331</v>
      </c>
      <c r="C356" s="24" t="s">
        <v>560</v>
      </c>
      <c r="D356" s="24" t="s">
        <v>167</v>
      </c>
      <c r="E356" s="24">
        <v>-14.13</v>
      </c>
      <c r="F356" s="24">
        <v>2.09</v>
      </c>
    </row>
    <row r="357" s="24" customFormat="1" spans="1:6">
      <c r="A357" s="24" t="s">
        <v>140</v>
      </c>
      <c r="B357" s="24" t="str">
        <f>"601127"</f>
        <v>601127</v>
      </c>
      <c r="C357" s="24" t="s">
        <v>561</v>
      </c>
      <c r="D357" s="24" t="s">
        <v>175</v>
      </c>
      <c r="E357" s="24">
        <v>-14.32</v>
      </c>
      <c r="F357" s="24">
        <v>1.82</v>
      </c>
    </row>
    <row r="358" s="24" customFormat="1" spans="1:6">
      <c r="A358" s="24" t="s">
        <v>142</v>
      </c>
      <c r="B358" s="24" t="str">
        <f>"300410"</f>
        <v>300410</v>
      </c>
      <c r="C358" s="24" t="s">
        <v>562</v>
      </c>
      <c r="D358" s="24" t="s">
        <v>152</v>
      </c>
      <c r="E358" s="24">
        <v>-14.39</v>
      </c>
      <c r="F358" s="24">
        <v>2.73</v>
      </c>
    </row>
    <row r="359" s="24" customFormat="1" spans="1:6">
      <c r="A359" s="24" t="s">
        <v>142</v>
      </c>
      <c r="B359" s="24" t="str">
        <f>"002309"</f>
        <v>002309</v>
      </c>
      <c r="C359" s="24" t="s">
        <v>563</v>
      </c>
      <c r="D359" s="24" t="s">
        <v>251</v>
      </c>
      <c r="E359" s="24">
        <v>-14.4</v>
      </c>
      <c r="F359" s="24">
        <v>0.59</v>
      </c>
    </row>
    <row r="360" s="24" customFormat="1" spans="1:6">
      <c r="A360" s="24" t="s">
        <v>140</v>
      </c>
      <c r="B360" s="24" t="str">
        <f>"600793"</f>
        <v>600793</v>
      </c>
      <c r="C360" s="24" t="s">
        <v>564</v>
      </c>
      <c r="D360" s="24" t="s">
        <v>509</v>
      </c>
      <c r="E360" s="24">
        <v>-14.4</v>
      </c>
      <c r="F360" s="24">
        <v>2.46</v>
      </c>
    </row>
    <row r="361" s="24" customFormat="1" spans="1:6">
      <c r="A361" s="24" t="s">
        <v>140</v>
      </c>
      <c r="B361" s="24" t="str">
        <f>"603958"</f>
        <v>603958</v>
      </c>
      <c r="C361" s="24" t="s">
        <v>565</v>
      </c>
      <c r="D361" s="24" t="s">
        <v>161</v>
      </c>
      <c r="E361" s="24">
        <v>-14.51</v>
      </c>
      <c r="F361" s="24">
        <v>1.47</v>
      </c>
    </row>
    <row r="362" s="24" customFormat="1" spans="1:6">
      <c r="A362" s="24" t="s">
        <v>140</v>
      </c>
      <c r="B362" s="24" t="str">
        <f>"600281"</f>
        <v>600281</v>
      </c>
      <c r="C362" s="24" t="s">
        <v>566</v>
      </c>
      <c r="D362" s="24" t="s">
        <v>267</v>
      </c>
      <c r="E362" s="24">
        <v>-14.55</v>
      </c>
      <c r="F362" s="24">
        <v>4.83</v>
      </c>
    </row>
    <row r="363" s="24" customFormat="1" spans="1:6">
      <c r="A363" s="24" t="s">
        <v>142</v>
      </c>
      <c r="B363" s="24" t="str">
        <f>"002124"</f>
        <v>002124</v>
      </c>
      <c r="C363" s="24" t="s">
        <v>567</v>
      </c>
      <c r="D363" s="24" t="s">
        <v>145</v>
      </c>
      <c r="E363" s="24">
        <v>-14.8</v>
      </c>
      <c r="F363" s="24">
        <v>4.73</v>
      </c>
    </row>
    <row r="364" s="24" customFormat="1" spans="1:6">
      <c r="A364" s="24" t="s">
        <v>142</v>
      </c>
      <c r="B364" s="24" t="str">
        <f>"000016"</f>
        <v>000016</v>
      </c>
      <c r="C364" s="24" t="s">
        <v>568</v>
      </c>
      <c r="D364" s="24" t="s">
        <v>184</v>
      </c>
      <c r="E364" s="24">
        <v>-14.85</v>
      </c>
      <c r="F364" s="24">
        <v>2.66</v>
      </c>
    </row>
    <row r="365" s="24" customFormat="1" spans="1:6">
      <c r="A365" s="24" t="s">
        <v>140</v>
      </c>
      <c r="B365" s="24" t="str">
        <f>"600151"</f>
        <v>600151</v>
      </c>
      <c r="C365" s="24" t="s">
        <v>569</v>
      </c>
      <c r="D365" s="24" t="s">
        <v>152</v>
      </c>
      <c r="E365" s="24">
        <v>-14.98</v>
      </c>
      <c r="F365" s="24">
        <v>1.09</v>
      </c>
    </row>
    <row r="366" s="24" customFormat="1" spans="1:6">
      <c r="A366" s="24" t="s">
        <v>142</v>
      </c>
      <c r="B366" s="24" t="str">
        <f>"300334"</f>
        <v>300334</v>
      </c>
      <c r="C366" s="24" t="s">
        <v>570</v>
      </c>
      <c r="D366" s="24" t="s">
        <v>214</v>
      </c>
      <c r="E366" s="24">
        <v>-15.07</v>
      </c>
      <c r="F366" s="24">
        <v>1.33</v>
      </c>
    </row>
    <row r="367" s="24" customFormat="1" spans="1:6">
      <c r="A367" s="24" t="s">
        <v>140</v>
      </c>
      <c r="B367" s="24" t="str">
        <f>"603008"</f>
        <v>603008</v>
      </c>
      <c r="C367" s="24" t="s">
        <v>571</v>
      </c>
      <c r="D367" s="24" t="s">
        <v>200</v>
      </c>
      <c r="E367" s="24">
        <v>-15.1</v>
      </c>
      <c r="F367" s="24">
        <v>2.6</v>
      </c>
    </row>
    <row r="368" s="24" customFormat="1" spans="1:6">
      <c r="A368" s="24" t="s">
        <v>142</v>
      </c>
      <c r="B368" s="24" t="str">
        <f>"002333"</f>
        <v>002333</v>
      </c>
      <c r="C368" s="24" t="s">
        <v>572</v>
      </c>
      <c r="D368" s="24" t="s">
        <v>573</v>
      </c>
      <c r="E368" s="24">
        <v>-15.13</v>
      </c>
      <c r="F368" s="24">
        <v>1.68</v>
      </c>
    </row>
    <row r="369" s="24" customFormat="1" spans="1:6">
      <c r="A369" s="24" t="s">
        <v>140</v>
      </c>
      <c r="B369" s="24" t="str">
        <f>"600291"</f>
        <v>600291</v>
      </c>
      <c r="C369" s="24" t="s">
        <v>574</v>
      </c>
      <c r="D369" s="24" t="s">
        <v>575</v>
      </c>
      <c r="E369" s="24">
        <v>-15.16</v>
      </c>
      <c r="F369" s="24">
        <v>0.8</v>
      </c>
    </row>
    <row r="370" s="24" customFormat="1" spans="1:6">
      <c r="A370" s="24" t="s">
        <v>140</v>
      </c>
      <c r="B370" s="24" t="str">
        <f>"600691"</f>
        <v>600691</v>
      </c>
      <c r="C370" s="24" t="s">
        <v>576</v>
      </c>
      <c r="D370" s="24" t="s">
        <v>256</v>
      </c>
      <c r="E370" s="24">
        <v>-15.25</v>
      </c>
      <c r="F370" s="24">
        <v>0.78</v>
      </c>
    </row>
    <row r="371" s="24" customFormat="1" spans="1:6">
      <c r="A371" s="24" t="s">
        <v>142</v>
      </c>
      <c r="B371" s="24" t="str">
        <f>"002694"</f>
        <v>002694</v>
      </c>
      <c r="C371" s="24" t="s">
        <v>577</v>
      </c>
      <c r="D371" s="24" t="s">
        <v>573</v>
      </c>
      <c r="E371" s="24">
        <v>-15.64</v>
      </c>
      <c r="F371" s="24">
        <v>1.9</v>
      </c>
    </row>
    <row r="372" s="24" customFormat="1" spans="1:6">
      <c r="A372" s="24" t="s">
        <v>140</v>
      </c>
      <c r="B372" s="24" t="str">
        <f>"600896"</f>
        <v>600896</v>
      </c>
      <c r="C372" s="24" t="s">
        <v>578</v>
      </c>
      <c r="D372" s="24" t="s">
        <v>348</v>
      </c>
      <c r="E372" s="24">
        <v>-15.77</v>
      </c>
      <c r="F372" s="24">
        <v>2.1</v>
      </c>
    </row>
    <row r="373" s="24" customFormat="1" spans="1:6">
      <c r="A373" s="24" t="s">
        <v>142</v>
      </c>
      <c r="B373" s="24" t="str">
        <f>"002197"</f>
        <v>002197</v>
      </c>
      <c r="C373" s="24" t="s">
        <v>579</v>
      </c>
      <c r="D373" s="24" t="s">
        <v>152</v>
      </c>
      <c r="E373" s="24">
        <v>-15.78</v>
      </c>
      <c r="F373" s="24">
        <v>1.89</v>
      </c>
    </row>
    <row r="374" s="24" customFormat="1" spans="1:6">
      <c r="A374" s="24" t="s">
        <v>140</v>
      </c>
      <c r="B374" s="24" t="str">
        <f>"603042"</f>
        <v>603042</v>
      </c>
      <c r="C374" s="24" t="s">
        <v>580</v>
      </c>
      <c r="D374" s="24" t="s">
        <v>193</v>
      </c>
      <c r="E374" s="24">
        <v>-15.83</v>
      </c>
      <c r="F374" s="24">
        <v>2.89</v>
      </c>
    </row>
    <row r="375" s="24" customFormat="1" spans="1:6">
      <c r="A375" s="24" t="s">
        <v>140</v>
      </c>
      <c r="B375" s="24" t="str">
        <f>"603366"</f>
        <v>603366</v>
      </c>
      <c r="C375" s="24" t="s">
        <v>581</v>
      </c>
      <c r="D375" s="24" t="s">
        <v>184</v>
      </c>
      <c r="E375" s="24">
        <v>-15.88</v>
      </c>
      <c r="F375" s="24">
        <v>1.72</v>
      </c>
    </row>
    <row r="376" s="24" customFormat="1" spans="1:6">
      <c r="A376" s="24" t="s">
        <v>140</v>
      </c>
      <c r="B376" s="24" t="str">
        <f>"600744"</f>
        <v>600744</v>
      </c>
      <c r="C376" s="24" t="s">
        <v>582</v>
      </c>
      <c r="D376" s="24" t="s">
        <v>188</v>
      </c>
      <c r="E376" s="24">
        <v>-15.93</v>
      </c>
      <c r="F376" s="24">
        <v>1.36</v>
      </c>
    </row>
    <row r="377" s="24" customFormat="1" spans="1:6">
      <c r="A377" s="24" t="s">
        <v>142</v>
      </c>
      <c r="B377" s="24" t="str">
        <f>"002872"</f>
        <v>002872</v>
      </c>
      <c r="C377" s="24" t="s">
        <v>583</v>
      </c>
      <c r="D377" s="24" t="s">
        <v>584</v>
      </c>
      <c r="E377" s="24">
        <v>-16.11</v>
      </c>
      <c r="F377" s="24">
        <v>0.5</v>
      </c>
    </row>
    <row r="378" s="24" customFormat="1" spans="1:6">
      <c r="A378" s="24" t="s">
        <v>140</v>
      </c>
      <c r="B378" s="24" t="str">
        <f>"600247"</f>
        <v>600247</v>
      </c>
      <c r="C378" s="24" t="s">
        <v>585</v>
      </c>
      <c r="D378" s="24" t="s">
        <v>267</v>
      </c>
      <c r="E378" s="24">
        <v>-16.24</v>
      </c>
      <c r="F378" s="24">
        <v>-51.91</v>
      </c>
    </row>
    <row r="379" s="24" customFormat="1" spans="1:6">
      <c r="A379" s="24" t="s">
        <v>140</v>
      </c>
      <c r="B379" s="24" t="str">
        <f>"600267"</f>
        <v>600267</v>
      </c>
      <c r="C379" s="24" t="s">
        <v>586</v>
      </c>
      <c r="D379" s="24" t="s">
        <v>464</v>
      </c>
      <c r="E379" s="24">
        <v>-16.39</v>
      </c>
      <c r="F379" s="24">
        <v>2.01</v>
      </c>
    </row>
    <row r="380" s="24" customFormat="1" spans="1:6">
      <c r="A380" s="24" t="s">
        <v>142</v>
      </c>
      <c r="B380" s="24" t="str">
        <f>"300337"</f>
        <v>300337</v>
      </c>
      <c r="C380" s="24" t="s">
        <v>587</v>
      </c>
      <c r="D380" s="24" t="s">
        <v>167</v>
      </c>
      <c r="E380" s="24">
        <v>-16.42</v>
      </c>
      <c r="F380" s="24">
        <v>2.26</v>
      </c>
    </row>
    <row r="381" s="24" customFormat="1" spans="1:6">
      <c r="A381" s="24" t="s">
        <v>140</v>
      </c>
      <c r="B381" s="24" t="str">
        <f>"600860"</f>
        <v>600860</v>
      </c>
      <c r="C381" s="24" t="s">
        <v>588</v>
      </c>
      <c r="D381" s="24" t="s">
        <v>173</v>
      </c>
      <c r="E381" s="24">
        <v>-16.44</v>
      </c>
      <c r="F381" s="24">
        <v>4.74</v>
      </c>
    </row>
    <row r="382" s="24" customFormat="1" spans="1:6">
      <c r="A382" s="24" t="s">
        <v>140</v>
      </c>
      <c r="B382" s="24" t="str">
        <f>"600152"</f>
        <v>600152</v>
      </c>
      <c r="C382" s="24" t="s">
        <v>589</v>
      </c>
      <c r="D382" s="24" t="s">
        <v>152</v>
      </c>
      <c r="E382" s="24">
        <v>-16.46</v>
      </c>
      <c r="F382" s="24">
        <v>2.17</v>
      </c>
    </row>
    <row r="383" s="24" customFormat="1" spans="1:6">
      <c r="A383" s="24" t="s">
        <v>142</v>
      </c>
      <c r="B383" s="24" t="str">
        <f>"000040"</f>
        <v>000040</v>
      </c>
      <c r="C383" s="24" t="s">
        <v>590</v>
      </c>
      <c r="D383" s="24" t="s">
        <v>188</v>
      </c>
      <c r="E383" s="24">
        <v>-16.48</v>
      </c>
      <c r="F383" s="24">
        <v>0.38</v>
      </c>
    </row>
    <row r="384" s="24" customFormat="1" spans="1:6">
      <c r="A384" s="24" t="s">
        <v>140</v>
      </c>
      <c r="B384" s="24" t="str">
        <f>"603178"</f>
        <v>603178</v>
      </c>
      <c r="C384" s="24" t="s">
        <v>591</v>
      </c>
      <c r="D384" s="24" t="s">
        <v>204</v>
      </c>
      <c r="E384" s="24">
        <v>-16.6</v>
      </c>
      <c r="F384" s="24">
        <v>2.72</v>
      </c>
    </row>
    <row r="385" s="24" customFormat="1" spans="1:6">
      <c r="A385" s="24" t="s">
        <v>140</v>
      </c>
      <c r="B385" s="24" t="str">
        <f>"600601"</f>
        <v>600601</v>
      </c>
      <c r="C385" s="24" t="s">
        <v>592</v>
      </c>
      <c r="D385" s="24" t="s">
        <v>352</v>
      </c>
      <c r="E385" s="24">
        <v>-16.61</v>
      </c>
      <c r="F385" s="24">
        <v>2.43</v>
      </c>
    </row>
    <row r="386" s="24" customFormat="1" spans="1:6">
      <c r="A386" s="24" t="s">
        <v>142</v>
      </c>
      <c r="B386" s="24" t="str">
        <f>"002452"</f>
        <v>002452</v>
      </c>
      <c r="C386" s="24" t="s">
        <v>593</v>
      </c>
      <c r="D386" s="24" t="s">
        <v>251</v>
      </c>
      <c r="E386" s="24">
        <v>-16.64</v>
      </c>
      <c r="F386" s="24">
        <v>2.2</v>
      </c>
    </row>
    <row r="387" s="24" customFormat="1" spans="1:6">
      <c r="A387" s="24" t="s">
        <v>142</v>
      </c>
      <c r="B387" s="24" t="str">
        <f>"000005"</f>
        <v>000005</v>
      </c>
      <c r="C387" s="24" t="s">
        <v>594</v>
      </c>
      <c r="D387" s="24" t="s">
        <v>214</v>
      </c>
      <c r="E387" s="24">
        <v>-16.73</v>
      </c>
      <c r="F387" s="24">
        <v>2.26</v>
      </c>
    </row>
    <row r="388" s="24" customFormat="1" spans="1:6">
      <c r="A388" s="24" t="s">
        <v>140</v>
      </c>
      <c r="B388" s="24" t="str">
        <f>"900913"</f>
        <v>900913</v>
      </c>
      <c r="C388" s="24" t="s">
        <v>595</v>
      </c>
      <c r="D388" s="24"/>
      <c r="E388" s="24">
        <v>-16.87</v>
      </c>
      <c r="F388" s="24">
        <v>0.73</v>
      </c>
    </row>
    <row r="389" s="24" customFormat="1" spans="1:6">
      <c r="A389" s="24" t="s">
        <v>142</v>
      </c>
      <c r="B389" s="24" t="str">
        <f>"002387"</f>
        <v>002387</v>
      </c>
      <c r="C389" s="24" t="s">
        <v>596</v>
      </c>
      <c r="D389" s="24" t="s">
        <v>230</v>
      </c>
      <c r="E389" s="24">
        <v>-16.88</v>
      </c>
      <c r="F389" s="24">
        <v>1.33</v>
      </c>
    </row>
    <row r="390" s="24" customFormat="1" spans="1:6">
      <c r="A390" s="24" t="s">
        <v>140</v>
      </c>
      <c r="B390" s="24" t="str">
        <f>"600058"</f>
        <v>600058</v>
      </c>
      <c r="C390" s="24" t="s">
        <v>597</v>
      </c>
      <c r="D390" s="24" t="s">
        <v>267</v>
      </c>
      <c r="E390" s="24">
        <v>-17.01</v>
      </c>
      <c r="F390" s="24">
        <v>1.76</v>
      </c>
    </row>
    <row r="391" s="24" customFormat="1" spans="1:6">
      <c r="A391" s="24" t="s">
        <v>140</v>
      </c>
      <c r="B391" s="24" t="str">
        <f>"600501"</f>
        <v>600501</v>
      </c>
      <c r="C391" s="24" t="s">
        <v>598</v>
      </c>
      <c r="D391" s="24" t="s">
        <v>173</v>
      </c>
      <c r="E391" s="24">
        <v>-17.05</v>
      </c>
      <c r="F391" s="24">
        <v>1.79</v>
      </c>
    </row>
    <row r="392" s="24" customFormat="1" spans="1:6">
      <c r="A392" s="24" t="s">
        <v>140</v>
      </c>
      <c r="B392" s="24" t="str">
        <f>"600983"</f>
        <v>600983</v>
      </c>
      <c r="C392" s="24" t="s">
        <v>599</v>
      </c>
      <c r="D392" s="24" t="s">
        <v>184</v>
      </c>
      <c r="E392" s="24">
        <v>-17.13</v>
      </c>
      <c r="F392" s="24">
        <v>0.82</v>
      </c>
    </row>
    <row r="393" s="24" customFormat="1" spans="1:6">
      <c r="A393" s="24" t="s">
        <v>142</v>
      </c>
      <c r="B393" s="24" t="str">
        <f>"002671"</f>
        <v>002671</v>
      </c>
      <c r="C393" s="24" t="s">
        <v>600</v>
      </c>
      <c r="D393" s="24" t="s">
        <v>573</v>
      </c>
      <c r="E393" s="24">
        <v>-17.15</v>
      </c>
      <c r="F393" s="24">
        <v>1.12</v>
      </c>
    </row>
    <row r="394" s="24" customFormat="1" spans="1:6">
      <c r="A394" s="24" t="s">
        <v>142</v>
      </c>
      <c r="B394" s="24" t="str">
        <f>"002450"</f>
        <v>002450</v>
      </c>
      <c r="C394" s="24" t="s">
        <v>601</v>
      </c>
      <c r="D394" s="24" t="s">
        <v>228</v>
      </c>
      <c r="E394" s="24">
        <v>-17.26</v>
      </c>
      <c r="F394" s="24">
        <v>0.7</v>
      </c>
    </row>
    <row r="395" s="24" customFormat="1" spans="1:6">
      <c r="A395" s="24" t="s">
        <v>142</v>
      </c>
      <c r="B395" s="24" t="str">
        <f>"000792"</f>
        <v>000792</v>
      </c>
      <c r="C395" s="24" t="s">
        <v>602</v>
      </c>
      <c r="D395" s="24" t="s">
        <v>278</v>
      </c>
      <c r="E395" s="24">
        <v>-17.36</v>
      </c>
      <c r="F395" s="24">
        <v>1.64</v>
      </c>
    </row>
    <row r="396" s="24" customFormat="1" spans="1:6">
      <c r="A396" s="24" t="s">
        <v>140</v>
      </c>
      <c r="B396" s="24" t="str">
        <f>"600145"</f>
        <v>600145</v>
      </c>
      <c r="C396" s="24" t="s">
        <v>603</v>
      </c>
      <c r="D396" s="24" t="s">
        <v>573</v>
      </c>
      <c r="E396" s="24">
        <v>-17.57</v>
      </c>
      <c r="F396" s="24">
        <v>-1.94</v>
      </c>
    </row>
    <row r="397" s="24" customFormat="1" spans="1:6">
      <c r="A397" s="24" t="s">
        <v>140</v>
      </c>
      <c r="B397" s="24" t="str">
        <f>"600052"</f>
        <v>600052</v>
      </c>
      <c r="C397" s="24" t="s">
        <v>604</v>
      </c>
      <c r="D397" s="24" t="s">
        <v>244</v>
      </c>
      <c r="E397" s="24">
        <v>-17.59</v>
      </c>
      <c r="F397" s="24">
        <v>1.13</v>
      </c>
    </row>
    <row r="398" s="24" customFormat="1" spans="1:6">
      <c r="A398" s="24" t="s">
        <v>142</v>
      </c>
      <c r="B398" s="24" t="str">
        <f>"002231"</f>
        <v>002231</v>
      </c>
      <c r="C398" s="24" t="s">
        <v>605</v>
      </c>
      <c r="D398" s="24" t="s">
        <v>193</v>
      </c>
      <c r="E398" s="24">
        <v>-17.76</v>
      </c>
      <c r="F398" s="24">
        <v>4.29</v>
      </c>
    </row>
    <row r="399" s="24" customFormat="1" spans="1:6">
      <c r="A399" s="24" t="s">
        <v>140</v>
      </c>
      <c r="B399" s="24" t="str">
        <f>"600359"</f>
        <v>600359</v>
      </c>
      <c r="C399" s="24" t="s">
        <v>606</v>
      </c>
      <c r="D399" s="24" t="s">
        <v>145</v>
      </c>
      <c r="E399" s="24">
        <v>-18.05</v>
      </c>
      <c r="F399" s="24">
        <v>5</v>
      </c>
    </row>
    <row r="400" s="24" customFormat="1" spans="1:6">
      <c r="A400" s="24" t="s">
        <v>140</v>
      </c>
      <c r="B400" s="24" t="str">
        <f>"600599"</f>
        <v>600599</v>
      </c>
      <c r="C400" s="24" t="s">
        <v>607</v>
      </c>
      <c r="D400" s="24" t="s">
        <v>608</v>
      </c>
      <c r="E400" s="24">
        <v>-18.15</v>
      </c>
      <c r="F400" s="24">
        <v>2.18</v>
      </c>
    </row>
    <row r="401" s="24" customFormat="1" spans="1:6">
      <c r="A401" s="24" t="s">
        <v>142</v>
      </c>
      <c r="B401" s="24" t="str">
        <f>"002006"</f>
        <v>002006</v>
      </c>
      <c r="C401" s="24" t="s">
        <v>609</v>
      </c>
      <c r="D401" s="24" t="s">
        <v>173</v>
      </c>
      <c r="E401" s="24">
        <v>-18.17</v>
      </c>
      <c r="F401" s="24">
        <v>2.1</v>
      </c>
    </row>
    <row r="402" s="24" customFormat="1" spans="1:6">
      <c r="A402" s="24" t="s">
        <v>142</v>
      </c>
      <c r="B402" s="24" t="str">
        <f>"002068"</f>
        <v>002068</v>
      </c>
      <c r="C402" s="24" t="s">
        <v>610</v>
      </c>
      <c r="D402" s="24" t="s">
        <v>256</v>
      </c>
      <c r="E402" s="24">
        <v>-18.2</v>
      </c>
      <c r="F402" s="24">
        <v>0.95</v>
      </c>
    </row>
    <row r="403" s="24" customFormat="1" spans="1:6">
      <c r="A403" s="24" t="s">
        <v>142</v>
      </c>
      <c r="B403" s="24" t="str">
        <f>"002114"</f>
        <v>002114</v>
      </c>
      <c r="C403" s="24" t="s">
        <v>611</v>
      </c>
      <c r="D403" s="24" t="s">
        <v>167</v>
      </c>
      <c r="E403" s="24">
        <v>-18.25</v>
      </c>
      <c r="F403" s="24">
        <v>1.45</v>
      </c>
    </row>
    <row r="404" s="24" customFormat="1" spans="1:6">
      <c r="A404" s="24" t="s">
        <v>140</v>
      </c>
      <c r="B404" s="24" t="str">
        <f>"600405"</f>
        <v>600405</v>
      </c>
      <c r="C404" s="24" t="s">
        <v>612</v>
      </c>
      <c r="D404" s="24" t="s">
        <v>251</v>
      </c>
      <c r="E404" s="24">
        <v>-18.42</v>
      </c>
      <c r="F404" s="24">
        <v>2.66</v>
      </c>
    </row>
    <row r="405" s="24" customFormat="1" spans="1:6">
      <c r="A405" s="24" t="s">
        <v>142</v>
      </c>
      <c r="B405" s="24" t="str">
        <f>"002662"</f>
        <v>002662</v>
      </c>
      <c r="C405" s="24" t="s">
        <v>613</v>
      </c>
      <c r="D405" s="24" t="s">
        <v>204</v>
      </c>
      <c r="E405" s="24">
        <v>-18.49</v>
      </c>
      <c r="F405" s="24">
        <v>0.75</v>
      </c>
    </row>
    <row r="406" s="24" customFormat="1" spans="1:6">
      <c r="A406" s="24" t="s">
        <v>142</v>
      </c>
      <c r="B406" s="24" t="str">
        <f>"002517"</f>
        <v>002517</v>
      </c>
      <c r="C406" s="24" t="s">
        <v>614</v>
      </c>
      <c r="D406" s="24" t="s">
        <v>156</v>
      </c>
      <c r="E406" s="24">
        <v>-18.51</v>
      </c>
      <c r="F406" s="24">
        <v>3.08</v>
      </c>
    </row>
    <row r="407" s="24" customFormat="1" spans="1:6">
      <c r="A407" s="24" t="s">
        <v>142</v>
      </c>
      <c r="B407" s="24" t="str">
        <f>"000737"</f>
        <v>000737</v>
      </c>
      <c r="C407" s="24" t="s">
        <v>615</v>
      </c>
      <c r="D407" s="24" t="s">
        <v>616</v>
      </c>
      <c r="E407" s="24">
        <v>-18.51</v>
      </c>
      <c r="F407" s="24">
        <v>3.68</v>
      </c>
    </row>
    <row r="408" s="24" customFormat="1" spans="1:6">
      <c r="A408" s="24" t="s">
        <v>142</v>
      </c>
      <c r="B408" s="24" t="str">
        <f>"002432"</f>
        <v>002432</v>
      </c>
      <c r="C408" s="24" t="s">
        <v>617</v>
      </c>
      <c r="D408" s="24" t="s">
        <v>618</v>
      </c>
      <c r="E408" s="24">
        <v>-18.57</v>
      </c>
      <c r="F408" s="24">
        <v>2.46</v>
      </c>
    </row>
    <row r="409" s="24" customFormat="1" spans="1:6">
      <c r="A409" s="24" t="s">
        <v>142</v>
      </c>
      <c r="B409" s="24" t="str">
        <f>"000908"</f>
        <v>000908</v>
      </c>
      <c r="C409" s="24" t="s">
        <v>619</v>
      </c>
      <c r="D409" s="24" t="s">
        <v>464</v>
      </c>
      <c r="E409" s="24">
        <v>-18.61</v>
      </c>
      <c r="F409" s="24">
        <v>1.9</v>
      </c>
    </row>
    <row r="410" s="24" customFormat="1" spans="1:6">
      <c r="A410" s="24" t="s">
        <v>140</v>
      </c>
      <c r="B410" s="24" t="str">
        <f>"900929"</f>
        <v>900929</v>
      </c>
      <c r="C410" s="24" t="s">
        <v>620</v>
      </c>
      <c r="D410" s="24"/>
      <c r="E410" s="24">
        <v>-18.86</v>
      </c>
      <c r="F410" s="24">
        <v>1.49</v>
      </c>
    </row>
    <row r="411" s="24" customFormat="1" spans="1:6">
      <c r="A411" s="24" t="s">
        <v>142</v>
      </c>
      <c r="B411" s="24" t="str">
        <f>"300194"</f>
        <v>300194</v>
      </c>
      <c r="C411" s="24" t="s">
        <v>621</v>
      </c>
      <c r="D411" s="24" t="s">
        <v>464</v>
      </c>
      <c r="E411" s="24">
        <v>-18.87</v>
      </c>
      <c r="F411" s="24">
        <v>2.26</v>
      </c>
    </row>
    <row r="412" s="24" customFormat="1" spans="1:6">
      <c r="A412" s="24" t="s">
        <v>142</v>
      </c>
      <c r="B412" s="24" t="str">
        <f>"000882"</f>
        <v>000882</v>
      </c>
      <c r="C412" s="24" t="s">
        <v>622</v>
      </c>
      <c r="D412" s="24" t="s">
        <v>623</v>
      </c>
      <c r="E412" s="24">
        <v>-18.9</v>
      </c>
      <c r="F412" s="24">
        <v>0.69</v>
      </c>
    </row>
    <row r="413" s="24" customFormat="1" spans="1:6">
      <c r="A413" s="24" t="s">
        <v>142</v>
      </c>
      <c r="B413" s="24" t="str">
        <f>"200055"</f>
        <v>200055</v>
      </c>
      <c r="C413" s="24" t="s">
        <v>624</v>
      </c>
      <c r="D413" s="24"/>
      <c r="E413" s="24">
        <v>-18.91</v>
      </c>
      <c r="F413" s="24">
        <v>0.59</v>
      </c>
    </row>
    <row r="414" s="24" customFormat="1" spans="1:6">
      <c r="A414" s="24" t="s">
        <v>142</v>
      </c>
      <c r="B414" s="24" t="str">
        <f>"002018"</f>
        <v>002018</v>
      </c>
      <c r="C414" s="24" t="s">
        <v>625</v>
      </c>
      <c r="D414" s="24" t="s">
        <v>246</v>
      </c>
      <c r="E414" s="24">
        <v>-19.02</v>
      </c>
      <c r="F414" s="24">
        <v>-0.44</v>
      </c>
    </row>
    <row r="415" s="24" customFormat="1" spans="1:6">
      <c r="A415" s="24" t="s">
        <v>142</v>
      </c>
      <c r="B415" s="24" t="str">
        <f>"001896"</f>
        <v>001896</v>
      </c>
      <c r="C415" s="24" t="s">
        <v>626</v>
      </c>
      <c r="D415" s="24" t="s">
        <v>188</v>
      </c>
      <c r="E415" s="24">
        <v>-19.14</v>
      </c>
      <c r="F415" s="24">
        <v>0.62</v>
      </c>
    </row>
    <row r="416" s="24" customFormat="1" spans="1:6">
      <c r="A416" s="24" t="s">
        <v>142</v>
      </c>
      <c r="B416" s="24" t="str">
        <f>"300095"</f>
        <v>300095</v>
      </c>
      <c r="C416" s="24" t="s">
        <v>627</v>
      </c>
      <c r="D416" s="24" t="s">
        <v>165</v>
      </c>
      <c r="E416" s="24">
        <v>-19.19</v>
      </c>
      <c r="F416" s="24">
        <v>2.42</v>
      </c>
    </row>
    <row r="417" s="24" customFormat="1" spans="1:6">
      <c r="A417" s="24" t="s">
        <v>140</v>
      </c>
      <c r="B417" s="24" t="str">
        <f>"600844"</f>
        <v>600844</v>
      </c>
      <c r="C417" s="24" t="s">
        <v>628</v>
      </c>
      <c r="D417" s="24" t="s">
        <v>256</v>
      </c>
      <c r="E417" s="24">
        <v>-19.4</v>
      </c>
      <c r="F417" s="24">
        <v>2.33</v>
      </c>
    </row>
    <row r="418" s="24" customFormat="1" spans="1:6">
      <c r="A418" s="24" t="s">
        <v>142</v>
      </c>
      <c r="B418" s="24" t="str">
        <f>"300072"</f>
        <v>300072</v>
      </c>
      <c r="C418" s="24" t="s">
        <v>629</v>
      </c>
      <c r="D418" s="24" t="s">
        <v>256</v>
      </c>
      <c r="E418" s="24">
        <v>-19.43</v>
      </c>
      <c r="F418" s="24">
        <v>1.46</v>
      </c>
    </row>
    <row r="419" s="24" customFormat="1" spans="1:6">
      <c r="A419" s="24" t="s">
        <v>142</v>
      </c>
      <c r="B419" s="24" t="str">
        <f>"002765"</f>
        <v>002765</v>
      </c>
      <c r="C419" s="24" t="s">
        <v>630</v>
      </c>
      <c r="D419" s="24" t="s">
        <v>204</v>
      </c>
      <c r="E419" s="24">
        <v>-19.48</v>
      </c>
      <c r="F419" s="24">
        <v>1.91</v>
      </c>
    </row>
    <row r="420" s="24" customFormat="1" spans="1:6">
      <c r="A420" s="24" t="s">
        <v>142</v>
      </c>
      <c r="B420" s="24" t="str">
        <f>"300478"</f>
        <v>300478</v>
      </c>
      <c r="C420" s="24" t="s">
        <v>631</v>
      </c>
      <c r="D420" s="24" t="s">
        <v>228</v>
      </c>
      <c r="E420" s="24">
        <v>-19.55</v>
      </c>
      <c r="F420" s="24">
        <v>2.56</v>
      </c>
    </row>
    <row r="421" s="24" customFormat="1" spans="1:6">
      <c r="A421" s="24" t="s">
        <v>142</v>
      </c>
      <c r="B421" s="24" t="str">
        <f>"300005"</f>
        <v>300005</v>
      </c>
      <c r="C421" s="24" t="s">
        <v>632</v>
      </c>
      <c r="D421" s="24" t="s">
        <v>283</v>
      </c>
      <c r="E421" s="24">
        <v>-19.7</v>
      </c>
      <c r="F421" s="24">
        <v>1.52</v>
      </c>
    </row>
    <row r="422" s="24" customFormat="1" spans="1:6">
      <c r="A422" s="24" t="s">
        <v>142</v>
      </c>
      <c r="B422" s="24" t="str">
        <f>"002786"</f>
        <v>002786</v>
      </c>
      <c r="C422" s="24" t="s">
        <v>633</v>
      </c>
      <c r="D422" s="24" t="s">
        <v>173</v>
      </c>
      <c r="E422" s="24">
        <v>-19.92</v>
      </c>
      <c r="F422" s="24">
        <v>2.97</v>
      </c>
    </row>
    <row r="423" s="24" customFormat="1" spans="1:6">
      <c r="A423" s="24" t="s">
        <v>142</v>
      </c>
      <c r="B423" s="24" t="str">
        <f>"300301"</f>
        <v>300301</v>
      </c>
      <c r="C423" s="24" t="s">
        <v>634</v>
      </c>
      <c r="D423" s="24" t="s">
        <v>230</v>
      </c>
      <c r="E423" s="24">
        <v>-20.04</v>
      </c>
      <c r="F423" s="24">
        <v>1.86</v>
      </c>
    </row>
    <row r="424" s="24" customFormat="1" spans="1:6">
      <c r="A424" s="24" t="s">
        <v>142</v>
      </c>
      <c r="B424" s="24" t="str">
        <f>"002548"</f>
        <v>002548</v>
      </c>
      <c r="C424" s="24" t="s">
        <v>635</v>
      </c>
      <c r="D424" s="24" t="s">
        <v>145</v>
      </c>
      <c r="E424" s="24">
        <v>-20.16</v>
      </c>
      <c r="F424" s="24">
        <v>3.1</v>
      </c>
    </row>
    <row r="425" s="24" customFormat="1" spans="1:6">
      <c r="A425" s="24" t="s">
        <v>142</v>
      </c>
      <c r="B425" s="24" t="str">
        <f>"002200"</f>
        <v>002200</v>
      </c>
      <c r="C425" s="24" t="s">
        <v>636</v>
      </c>
      <c r="D425" s="24" t="s">
        <v>315</v>
      </c>
      <c r="E425" s="24">
        <v>-20.19</v>
      </c>
      <c r="F425" s="24">
        <v>6.25</v>
      </c>
    </row>
    <row r="426" s="24" customFormat="1" spans="1:6">
      <c r="A426" s="24" t="s">
        <v>140</v>
      </c>
      <c r="B426" s="24" t="str">
        <f>"600311"</f>
        <v>600311</v>
      </c>
      <c r="C426" s="24" t="s">
        <v>637</v>
      </c>
      <c r="D426" s="24" t="s">
        <v>167</v>
      </c>
      <c r="E426" s="24">
        <v>-20.2</v>
      </c>
      <c r="F426" s="24">
        <v>4.31</v>
      </c>
    </row>
    <row r="427" s="24" customFormat="1" spans="1:6">
      <c r="A427" s="24" t="s">
        <v>142</v>
      </c>
      <c r="B427" s="24" t="str">
        <f>"000993"</f>
        <v>000993</v>
      </c>
      <c r="C427" s="24" t="s">
        <v>638</v>
      </c>
      <c r="D427" s="24" t="s">
        <v>188</v>
      </c>
      <c r="E427" s="24">
        <v>-20.53</v>
      </c>
      <c r="F427" s="24">
        <v>1.39</v>
      </c>
    </row>
    <row r="428" s="24" customFormat="1" spans="1:6">
      <c r="A428" s="24" t="s">
        <v>142</v>
      </c>
      <c r="B428" s="24" t="str">
        <f>"002024"</f>
        <v>002024</v>
      </c>
      <c r="C428" s="24" t="s">
        <v>639</v>
      </c>
      <c r="D428" s="24" t="s">
        <v>207</v>
      </c>
      <c r="E428" s="24">
        <v>-20.8</v>
      </c>
      <c r="F428" s="24">
        <v>1.07</v>
      </c>
    </row>
    <row r="429" s="24" customFormat="1" spans="1:6">
      <c r="A429" s="24" t="s">
        <v>142</v>
      </c>
      <c r="B429" s="24" t="str">
        <f>"002269"</f>
        <v>002269</v>
      </c>
      <c r="C429" s="24" t="s">
        <v>640</v>
      </c>
      <c r="D429" s="24" t="s">
        <v>161</v>
      </c>
      <c r="E429" s="24">
        <v>-21.01</v>
      </c>
      <c r="F429" s="24">
        <v>1.92</v>
      </c>
    </row>
    <row r="430" s="24" customFormat="1" spans="1:6">
      <c r="A430" s="24" t="s">
        <v>142</v>
      </c>
      <c r="B430" s="24" t="str">
        <f>"300097"</f>
        <v>300097</v>
      </c>
      <c r="C430" s="24" t="s">
        <v>641</v>
      </c>
      <c r="D430" s="24" t="s">
        <v>165</v>
      </c>
      <c r="E430" s="24">
        <v>-21.08</v>
      </c>
      <c r="F430" s="24">
        <v>2.51</v>
      </c>
    </row>
    <row r="431" s="24" customFormat="1" spans="1:6">
      <c r="A431" s="24" t="s">
        <v>142</v>
      </c>
      <c r="B431" s="24" t="str">
        <f>"002289"</f>
        <v>002289</v>
      </c>
      <c r="C431" s="24" t="s">
        <v>642</v>
      </c>
      <c r="D431" s="24" t="s">
        <v>230</v>
      </c>
      <c r="E431" s="24">
        <v>-21.12</v>
      </c>
      <c r="F431" s="24">
        <v>11.38</v>
      </c>
    </row>
    <row r="432" s="24" customFormat="1" spans="1:6">
      <c r="A432" s="24" t="s">
        <v>140</v>
      </c>
      <c r="B432" s="24" t="str">
        <f>"600172"</f>
        <v>600172</v>
      </c>
      <c r="C432" s="24" t="s">
        <v>643</v>
      </c>
      <c r="D432" s="24" t="s">
        <v>644</v>
      </c>
      <c r="E432" s="24">
        <v>-21.16</v>
      </c>
      <c r="F432" s="24">
        <v>0.81</v>
      </c>
    </row>
    <row r="433" s="24" customFormat="1" spans="1:6">
      <c r="A433" s="24" t="s">
        <v>142</v>
      </c>
      <c r="B433" s="24" t="str">
        <f>"002284"</f>
        <v>002284</v>
      </c>
      <c r="C433" s="24" t="s">
        <v>645</v>
      </c>
      <c r="D433" s="24" t="s">
        <v>204</v>
      </c>
      <c r="E433" s="24">
        <v>-21.28</v>
      </c>
      <c r="F433" s="24">
        <v>1.36</v>
      </c>
    </row>
    <row r="434" s="24" customFormat="1" spans="1:6">
      <c r="A434" s="24" t="s">
        <v>140</v>
      </c>
      <c r="B434" s="24" t="str">
        <f>"600249"</f>
        <v>600249</v>
      </c>
      <c r="C434" s="24" t="s">
        <v>646</v>
      </c>
      <c r="D434" s="24" t="s">
        <v>616</v>
      </c>
      <c r="E434" s="24">
        <v>-21.31</v>
      </c>
      <c r="F434" s="24">
        <v>1.22</v>
      </c>
    </row>
    <row r="435" s="24" customFormat="1" spans="1:6">
      <c r="A435" s="24" t="s">
        <v>142</v>
      </c>
      <c r="B435" s="24" t="str">
        <f>"000564"</f>
        <v>000564</v>
      </c>
      <c r="C435" s="24" t="s">
        <v>647</v>
      </c>
      <c r="D435" s="24" t="s">
        <v>148</v>
      </c>
      <c r="E435" s="24">
        <v>-21.33</v>
      </c>
      <c r="F435" s="24">
        <v>0.41</v>
      </c>
    </row>
    <row r="436" s="24" customFormat="1" spans="1:6">
      <c r="A436" s="24" t="s">
        <v>142</v>
      </c>
      <c r="B436" s="24" t="str">
        <f>"300102"</f>
        <v>300102</v>
      </c>
      <c r="C436" s="24" t="s">
        <v>648</v>
      </c>
      <c r="D436" s="24" t="s">
        <v>276</v>
      </c>
      <c r="E436" s="24">
        <v>-21.43</v>
      </c>
      <c r="F436" s="24">
        <v>1.13</v>
      </c>
    </row>
    <row r="437" s="24" customFormat="1" spans="1:6">
      <c r="A437" s="24" t="s">
        <v>142</v>
      </c>
      <c r="B437" s="24" t="str">
        <f>"300484"</f>
        <v>300484</v>
      </c>
      <c r="C437" s="24" t="s">
        <v>649</v>
      </c>
      <c r="D437" s="24" t="s">
        <v>251</v>
      </c>
      <c r="E437" s="24">
        <v>-21.43</v>
      </c>
      <c r="F437" s="24">
        <v>2.73</v>
      </c>
    </row>
    <row r="438" s="24" customFormat="1" spans="1:6">
      <c r="A438" s="24" t="s">
        <v>140</v>
      </c>
      <c r="B438" s="24" t="str">
        <f>"600478"</f>
        <v>600478</v>
      </c>
      <c r="C438" s="24" t="s">
        <v>650</v>
      </c>
      <c r="D438" s="24" t="s">
        <v>152</v>
      </c>
      <c r="E438" s="24">
        <v>-21.48</v>
      </c>
      <c r="F438" s="24">
        <v>2.71</v>
      </c>
    </row>
    <row r="439" s="24" customFormat="1" spans="1:6">
      <c r="A439" s="24" t="s">
        <v>142</v>
      </c>
      <c r="B439" s="24" t="str">
        <f>"000068"</f>
        <v>000068</v>
      </c>
      <c r="C439" s="24" t="s">
        <v>651</v>
      </c>
      <c r="D439" s="24" t="s">
        <v>159</v>
      </c>
      <c r="E439" s="24">
        <v>-21.62</v>
      </c>
      <c r="F439" s="24">
        <v>8.4</v>
      </c>
    </row>
    <row r="440" s="24" customFormat="1" spans="1:6">
      <c r="A440" s="24" t="s">
        <v>142</v>
      </c>
      <c r="B440" s="24" t="str">
        <f>"002699"</f>
        <v>002699</v>
      </c>
      <c r="C440" s="24" t="s">
        <v>652</v>
      </c>
      <c r="D440" s="24" t="s">
        <v>283</v>
      </c>
      <c r="E440" s="24">
        <v>-21.66</v>
      </c>
      <c r="F440" s="24">
        <v>2.96</v>
      </c>
    </row>
    <row r="441" s="24" customFormat="1" spans="1:6">
      <c r="A441" s="24" t="s">
        <v>142</v>
      </c>
      <c r="B441" s="24" t="str">
        <f>"300030"</f>
        <v>300030</v>
      </c>
      <c r="C441" s="24" t="s">
        <v>653</v>
      </c>
      <c r="D441" s="24" t="s">
        <v>618</v>
      </c>
      <c r="E441" s="24">
        <v>-21.79</v>
      </c>
      <c r="F441" s="24">
        <v>3.95</v>
      </c>
    </row>
    <row r="442" s="24" customFormat="1" spans="1:6">
      <c r="A442" s="24" t="s">
        <v>140</v>
      </c>
      <c r="B442" s="24" t="str">
        <f>"603758"</f>
        <v>603758</v>
      </c>
      <c r="C442" s="24" t="s">
        <v>654</v>
      </c>
      <c r="D442" s="24" t="s">
        <v>204</v>
      </c>
      <c r="E442" s="24">
        <v>-21.82</v>
      </c>
      <c r="F442" s="24">
        <v>1.27</v>
      </c>
    </row>
    <row r="443" s="24" customFormat="1" spans="1:6">
      <c r="A443" s="24" t="s">
        <v>142</v>
      </c>
      <c r="B443" s="24" t="str">
        <f>"300187"</f>
        <v>300187</v>
      </c>
      <c r="C443" s="24" t="s">
        <v>655</v>
      </c>
      <c r="D443" s="24" t="s">
        <v>214</v>
      </c>
      <c r="E443" s="24">
        <v>-21.86</v>
      </c>
      <c r="F443" s="24">
        <v>2.04</v>
      </c>
    </row>
    <row r="444" s="24" customFormat="1" spans="1:6">
      <c r="A444" s="24" t="s">
        <v>140</v>
      </c>
      <c r="B444" s="24" t="str">
        <f>"600358"</f>
        <v>600358</v>
      </c>
      <c r="C444" s="24" t="s">
        <v>656</v>
      </c>
      <c r="D444" s="24" t="s">
        <v>170</v>
      </c>
      <c r="E444" s="24">
        <v>-22.71</v>
      </c>
      <c r="F444" s="24">
        <v>4.69</v>
      </c>
    </row>
    <row r="445" s="24" customFormat="1" spans="1:6">
      <c r="A445" s="24" t="s">
        <v>140</v>
      </c>
      <c r="B445" s="24" t="str">
        <f>"600626"</f>
        <v>600626</v>
      </c>
      <c r="C445" s="24" t="s">
        <v>657</v>
      </c>
      <c r="D445" s="24" t="s">
        <v>267</v>
      </c>
      <c r="E445" s="24">
        <v>-23.01</v>
      </c>
      <c r="F445" s="24">
        <v>2.13</v>
      </c>
    </row>
    <row r="446" s="24" customFormat="1" spans="1:6">
      <c r="A446" s="24" t="s">
        <v>142</v>
      </c>
      <c r="B446" s="24" t="str">
        <f>"000698"</f>
        <v>000698</v>
      </c>
      <c r="C446" s="24" t="s">
        <v>658</v>
      </c>
      <c r="D446" s="24" t="s">
        <v>256</v>
      </c>
      <c r="E446" s="24">
        <v>-23.23</v>
      </c>
      <c r="F446" s="24">
        <v>0.75</v>
      </c>
    </row>
    <row r="447" s="24" customFormat="1" spans="1:6">
      <c r="A447" s="24" t="s">
        <v>142</v>
      </c>
      <c r="B447" s="24" t="str">
        <f>"000612"</f>
        <v>000612</v>
      </c>
      <c r="C447" s="24" t="s">
        <v>659</v>
      </c>
      <c r="D447" s="24" t="s">
        <v>167</v>
      </c>
      <c r="E447" s="24">
        <v>-23.26</v>
      </c>
      <c r="F447" s="24">
        <v>1.07</v>
      </c>
    </row>
    <row r="448" s="24" customFormat="1" spans="1:6">
      <c r="A448" s="24" t="s">
        <v>142</v>
      </c>
      <c r="B448" s="24" t="str">
        <f>"002059"</f>
        <v>002059</v>
      </c>
      <c r="C448" s="24" t="s">
        <v>660</v>
      </c>
      <c r="D448" s="24" t="s">
        <v>453</v>
      </c>
      <c r="E448" s="24">
        <v>-23.55</v>
      </c>
      <c r="F448" s="24">
        <v>2.14</v>
      </c>
    </row>
    <row r="449" s="24" customFormat="1" spans="1:6">
      <c r="A449" s="24" t="s">
        <v>142</v>
      </c>
      <c r="B449" s="24" t="str">
        <f>"002456"</f>
        <v>002456</v>
      </c>
      <c r="C449" s="24" t="s">
        <v>661</v>
      </c>
      <c r="D449" s="24" t="s">
        <v>230</v>
      </c>
      <c r="E449" s="24">
        <v>-23.66</v>
      </c>
      <c r="F449" s="24">
        <v>5.37</v>
      </c>
    </row>
    <row r="450" s="24" customFormat="1" spans="1:6">
      <c r="A450" s="24" t="s">
        <v>142</v>
      </c>
      <c r="B450" s="24" t="str">
        <f>"300163"</f>
        <v>300163</v>
      </c>
      <c r="C450" s="24" t="s">
        <v>662</v>
      </c>
      <c r="D450" s="24" t="s">
        <v>573</v>
      </c>
      <c r="E450" s="24">
        <v>-23.71</v>
      </c>
      <c r="F450" s="24">
        <v>2.77</v>
      </c>
    </row>
    <row r="451" s="24" customFormat="1" spans="1:6">
      <c r="A451" s="24" t="s">
        <v>142</v>
      </c>
      <c r="B451" s="24" t="str">
        <f>"002184"</f>
        <v>002184</v>
      </c>
      <c r="C451" s="24" t="s">
        <v>663</v>
      </c>
      <c r="D451" s="24" t="s">
        <v>251</v>
      </c>
      <c r="E451" s="24">
        <v>-23.74</v>
      </c>
      <c r="F451" s="24">
        <v>2.63</v>
      </c>
    </row>
    <row r="452" s="24" customFormat="1" spans="1:6">
      <c r="A452" s="24" t="s">
        <v>142</v>
      </c>
      <c r="B452" s="24" t="str">
        <f>"002405"</f>
        <v>002405</v>
      </c>
      <c r="C452" s="24" t="s">
        <v>664</v>
      </c>
      <c r="D452" s="24" t="s">
        <v>156</v>
      </c>
      <c r="E452" s="24">
        <v>-23.95</v>
      </c>
      <c r="F452" s="24">
        <v>5.76</v>
      </c>
    </row>
    <row r="453" s="24" customFormat="1" spans="1:6">
      <c r="A453" s="24" t="s">
        <v>142</v>
      </c>
      <c r="B453" s="24" t="str">
        <f>"002571"</f>
        <v>002571</v>
      </c>
      <c r="C453" s="24" t="s">
        <v>665</v>
      </c>
      <c r="D453" s="24" t="s">
        <v>200</v>
      </c>
      <c r="E453" s="24">
        <v>-24.16</v>
      </c>
      <c r="F453" s="24">
        <v>1.17</v>
      </c>
    </row>
    <row r="454" s="24" customFormat="1" spans="1:6">
      <c r="A454" s="24" t="s">
        <v>140</v>
      </c>
      <c r="B454" s="24" t="str">
        <f>"600881"</f>
        <v>600881</v>
      </c>
      <c r="C454" s="24" t="s">
        <v>666</v>
      </c>
      <c r="D454" s="24" t="s">
        <v>667</v>
      </c>
      <c r="E454" s="24">
        <v>-24.43</v>
      </c>
      <c r="F454" s="24">
        <v>0.72</v>
      </c>
    </row>
    <row r="455" s="24" customFormat="1" spans="1:6">
      <c r="A455" s="24" t="s">
        <v>142</v>
      </c>
      <c r="B455" s="24" t="str">
        <f>"200570"</f>
        <v>200570</v>
      </c>
      <c r="C455" s="24" t="s">
        <v>668</v>
      </c>
      <c r="D455" s="24"/>
      <c r="E455" s="24">
        <v>-24.45</v>
      </c>
      <c r="F455" s="24">
        <v>0.5</v>
      </c>
    </row>
    <row r="456" s="24" customFormat="1" spans="1:6">
      <c r="A456" s="24" t="s">
        <v>142</v>
      </c>
      <c r="B456" s="24" t="str">
        <f>"002848"</f>
        <v>002848</v>
      </c>
      <c r="C456" s="24" t="s">
        <v>669</v>
      </c>
      <c r="D456" s="24" t="s">
        <v>184</v>
      </c>
      <c r="E456" s="24">
        <v>-24.48</v>
      </c>
      <c r="F456" s="24">
        <v>3.03</v>
      </c>
    </row>
    <row r="457" s="24" customFormat="1" spans="1:6">
      <c r="A457" s="24" t="s">
        <v>140</v>
      </c>
      <c r="B457" s="24" t="str">
        <f>"600889"</f>
        <v>600889</v>
      </c>
      <c r="C457" s="24" t="s">
        <v>670</v>
      </c>
      <c r="D457" s="24" t="s">
        <v>302</v>
      </c>
      <c r="E457" s="24">
        <v>-24.48</v>
      </c>
      <c r="F457" s="24">
        <v>1.09</v>
      </c>
    </row>
    <row r="458" s="24" customFormat="1" spans="1:6">
      <c r="A458" s="24" t="s">
        <v>142</v>
      </c>
      <c r="B458" s="24" t="str">
        <f>"002310"</f>
        <v>002310</v>
      </c>
      <c r="C458" s="24" t="s">
        <v>671</v>
      </c>
      <c r="D458" s="24" t="s">
        <v>315</v>
      </c>
      <c r="E458" s="24">
        <v>-24.82</v>
      </c>
      <c r="F458" s="24">
        <v>1.3</v>
      </c>
    </row>
    <row r="459" s="24" customFormat="1" spans="1:6">
      <c r="A459" s="24" t="s">
        <v>142</v>
      </c>
      <c r="B459" s="24" t="str">
        <f>"002570"</f>
        <v>002570</v>
      </c>
      <c r="C459" s="24" t="s">
        <v>672</v>
      </c>
      <c r="D459" s="24" t="s">
        <v>190</v>
      </c>
      <c r="E459" s="24">
        <v>-24.86</v>
      </c>
      <c r="F459" s="24">
        <v>3.66</v>
      </c>
    </row>
    <row r="460" s="24" customFormat="1" spans="1:6">
      <c r="A460" s="24" t="s">
        <v>140</v>
      </c>
      <c r="B460" s="24" t="str">
        <f>"600091"</f>
        <v>600091</v>
      </c>
      <c r="C460" s="24" t="s">
        <v>673</v>
      </c>
      <c r="D460" s="24" t="s">
        <v>256</v>
      </c>
      <c r="E460" s="24">
        <v>-24.93</v>
      </c>
      <c r="F460" s="24">
        <v>1.61</v>
      </c>
    </row>
    <row r="461" s="24" customFormat="1" spans="1:6">
      <c r="A461" s="24" t="s">
        <v>142</v>
      </c>
      <c r="B461" s="24" t="str">
        <f>"002265"</f>
        <v>002265</v>
      </c>
      <c r="C461" s="24" t="s">
        <v>674</v>
      </c>
      <c r="D461" s="24" t="s">
        <v>204</v>
      </c>
      <c r="E461" s="24">
        <v>-24.93</v>
      </c>
      <c r="F461" s="24">
        <v>3.12</v>
      </c>
    </row>
    <row r="462" s="24" customFormat="1" spans="1:6">
      <c r="A462" s="24" t="s">
        <v>140</v>
      </c>
      <c r="B462" s="24" t="str">
        <f>"600796"</f>
        <v>600796</v>
      </c>
      <c r="C462" s="24" t="s">
        <v>675</v>
      </c>
      <c r="D462" s="24" t="s">
        <v>278</v>
      </c>
      <c r="E462" s="24">
        <v>-25.01</v>
      </c>
      <c r="F462" s="24">
        <v>3.11</v>
      </c>
    </row>
    <row r="463" s="24" customFormat="1" spans="1:6">
      <c r="A463" s="24" t="s">
        <v>142</v>
      </c>
      <c r="B463" s="24" t="str">
        <f>"002504"</f>
        <v>002504</v>
      </c>
      <c r="C463" s="24" t="s">
        <v>676</v>
      </c>
      <c r="D463" s="24" t="s">
        <v>315</v>
      </c>
      <c r="E463" s="24">
        <v>-25.1</v>
      </c>
      <c r="F463" s="24">
        <v>3.17</v>
      </c>
    </row>
    <row r="464" s="24" customFormat="1" spans="1:6">
      <c r="A464" s="24" t="s">
        <v>140</v>
      </c>
      <c r="B464" s="24" t="str">
        <f>"600121"</f>
        <v>600121</v>
      </c>
      <c r="C464" s="24" t="s">
        <v>677</v>
      </c>
      <c r="D464" s="24" t="s">
        <v>401</v>
      </c>
      <c r="E464" s="24">
        <v>-25.32</v>
      </c>
      <c r="F464" s="24">
        <v>0.73</v>
      </c>
    </row>
    <row r="465" s="24" customFormat="1" spans="1:6">
      <c r="A465" s="24" t="s">
        <v>142</v>
      </c>
      <c r="B465" s="24" t="str">
        <f>"002656"</f>
        <v>002656</v>
      </c>
      <c r="C465" s="24" t="s">
        <v>678</v>
      </c>
      <c r="D465" s="24" t="s">
        <v>161</v>
      </c>
      <c r="E465" s="24">
        <v>-25.38</v>
      </c>
      <c r="F465" s="24">
        <v>0.84</v>
      </c>
    </row>
    <row r="466" s="24" customFormat="1" spans="1:6">
      <c r="A466" s="24" t="s">
        <v>142</v>
      </c>
      <c r="B466" s="24" t="str">
        <f>"200160"</f>
        <v>200160</v>
      </c>
      <c r="C466" s="24" t="s">
        <v>679</v>
      </c>
      <c r="D466" s="24"/>
      <c r="E466" s="24">
        <v>-25.41</v>
      </c>
      <c r="F466" s="24">
        <v>2.28</v>
      </c>
    </row>
    <row r="467" s="24" customFormat="1" spans="1:6">
      <c r="A467" s="24" t="s">
        <v>140</v>
      </c>
      <c r="B467" s="24" t="str">
        <f>"600178"</f>
        <v>600178</v>
      </c>
      <c r="C467" s="24" t="s">
        <v>680</v>
      </c>
      <c r="D467" s="24" t="s">
        <v>204</v>
      </c>
      <c r="E467" s="24">
        <v>-25.42</v>
      </c>
      <c r="F467" s="24">
        <v>1.05</v>
      </c>
    </row>
    <row r="468" s="24" customFormat="1" spans="1:6">
      <c r="A468" s="24" t="s">
        <v>142</v>
      </c>
      <c r="B468" s="24" t="str">
        <f>"300160"</f>
        <v>300160</v>
      </c>
      <c r="C468" s="24" t="s">
        <v>681</v>
      </c>
      <c r="D468" s="24" t="s">
        <v>644</v>
      </c>
      <c r="E468" s="24">
        <v>-25.74</v>
      </c>
      <c r="F468" s="24">
        <v>5.37</v>
      </c>
    </row>
    <row r="469" s="24" customFormat="1" spans="1:6">
      <c r="A469" s="24" t="s">
        <v>142</v>
      </c>
      <c r="B469" s="24" t="str">
        <f>"002693"</f>
        <v>002693</v>
      </c>
      <c r="C469" s="24" t="s">
        <v>682</v>
      </c>
      <c r="D469" s="24" t="s">
        <v>464</v>
      </c>
      <c r="E469" s="24">
        <v>-25.8</v>
      </c>
      <c r="F469" s="24">
        <v>4.36</v>
      </c>
    </row>
    <row r="470" s="24" customFormat="1" spans="1:6">
      <c r="A470" s="24" t="s">
        <v>142</v>
      </c>
      <c r="B470" s="24" t="str">
        <f>"300189"</f>
        <v>300189</v>
      </c>
      <c r="C470" s="24" t="s">
        <v>683</v>
      </c>
      <c r="D470" s="24" t="s">
        <v>145</v>
      </c>
      <c r="E470" s="24">
        <v>-25.83</v>
      </c>
      <c r="F470" s="24">
        <v>2.62</v>
      </c>
    </row>
    <row r="471" s="24" customFormat="1" spans="1:6">
      <c r="A471" s="24" t="s">
        <v>142</v>
      </c>
      <c r="B471" s="24" t="str">
        <f>"300080"</f>
        <v>300080</v>
      </c>
      <c r="C471" s="24" t="s">
        <v>684</v>
      </c>
      <c r="D471" s="24" t="s">
        <v>644</v>
      </c>
      <c r="E471" s="24">
        <v>-25.84</v>
      </c>
      <c r="F471" s="24">
        <v>0.98</v>
      </c>
    </row>
    <row r="472" s="24" customFormat="1" spans="1:6">
      <c r="A472" s="24" t="s">
        <v>142</v>
      </c>
      <c r="B472" s="24" t="str">
        <f>"000558"</f>
        <v>000558</v>
      </c>
      <c r="C472" s="24" t="s">
        <v>685</v>
      </c>
      <c r="D472" s="24" t="s">
        <v>244</v>
      </c>
      <c r="E472" s="24">
        <v>-26.04</v>
      </c>
      <c r="F472" s="24">
        <v>3.07</v>
      </c>
    </row>
    <row r="473" s="24" customFormat="1" spans="1:6">
      <c r="A473" s="24" t="s">
        <v>140</v>
      </c>
      <c r="B473" s="24" t="str">
        <f>"603595"</f>
        <v>603595</v>
      </c>
      <c r="C473" s="24" t="s">
        <v>686</v>
      </c>
      <c r="D473" s="24" t="s">
        <v>197</v>
      </c>
      <c r="E473" s="24">
        <v>-26.12</v>
      </c>
      <c r="F473" s="24">
        <v>5.8</v>
      </c>
    </row>
    <row r="474" s="24" customFormat="1" spans="1:6">
      <c r="A474" s="24" t="s">
        <v>142</v>
      </c>
      <c r="B474" s="24" t="str">
        <f>"000839"</f>
        <v>000839</v>
      </c>
      <c r="C474" s="24" t="s">
        <v>687</v>
      </c>
      <c r="D474" s="24" t="s">
        <v>170</v>
      </c>
      <c r="E474" s="24">
        <v>-26.28</v>
      </c>
      <c r="F474" s="24">
        <v>1.39</v>
      </c>
    </row>
    <row r="475" s="24" customFormat="1" spans="1:6">
      <c r="A475" s="24" t="s">
        <v>142</v>
      </c>
      <c r="B475" s="24" t="str">
        <f>"002297"</f>
        <v>002297</v>
      </c>
      <c r="C475" s="24" t="s">
        <v>688</v>
      </c>
      <c r="D475" s="24" t="s">
        <v>644</v>
      </c>
      <c r="E475" s="24">
        <v>-26.54</v>
      </c>
      <c r="F475" s="24">
        <v>1.79</v>
      </c>
    </row>
    <row r="476" s="24" customFormat="1" spans="1:6">
      <c r="A476" s="24" t="s">
        <v>140</v>
      </c>
      <c r="B476" s="24" t="str">
        <f>"600203"</f>
        <v>600203</v>
      </c>
      <c r="C476" s="24" t="s">
        <v>689</v>
      </c>
      <c r="D476" s="24" t="s">
        <v>267</v>
      </c>
      <c r="E476" s="24">
        <v>-26.57</v>
      </c>
      <c r="F476" s="24">
        <v>1.82</v>
      </c>
    </row>
    <row r="477" s="24" customFormat="1" spans="1:6">
      <c r="A477" s="24" t="s">
        <v>142</v>
      </c>
      <c r="B477" s="24" t="str">
        <f>"200168"</f>
        <v>200168</v>
      </c>
      <c r="C477" s="24" t="s">
        <v>690</v>
      </c>
      <c r="D477" s="24"/>
      <c r="E477" s="24">
        <v>-26.77</v>
      </c>
      <c r="F477" s="24">
        <v>0.98</v>
      </c>
    </row>
    <row r="478" s="24" customFormat="1" spans="1:6">
      <c r="A478" s="24" t="s">
        <v>140</v>
      </c>
      <c r="B478" s="24" t="str">
        <f>"600616"</f>
        <v>600616</v>
      </c>
      <c r="C478" s="24" t="s">
        <v>691</v>
      </c>
      <c r="D478" s="24" t="s">
        <v>309</v>
      </c>
      <c r="E478" s="24">
        <v>-26.84</v>
      </c>
      <c r="F478" s="24">
        <v>1.2</v>
      </c>
    </row>
    <row r="479" s="24" customFormat="1" spans="1:6">
      <c r="A479" s="24" t="s">
        <v>140</v>
      </c>
      <c r="B479" s="24" t="str">
        <f>"600139"</f>
        <v>600139</v>
      </c>
      <c r="C479" s="24" t="s">
        <v>692</v>
      </c>
      <c r="D479" s="24" t="s">
        <v>175</v>
      </c>
      <c r="E479" s="24">
        <v>-26.96</v>
      </c>
      <c r="F479" s="24">
        <v>8.72</v>
      </c>
    </row>
    <row r="480" s="24" customFormat="1" spans="1:6">
      <c r="A480" s="24" t="s">
        <v>140</v>
      </c>
      <c r="B480" s="24" t="str">
        <f>"600617"</f>
        <v>600617</v>
      </c>
      <c r="C480" s="24" t="s">
        <v>693</v>
      </c>
      <c r="D480" s="24" t="s">
        <v>246</v>
      </c>
      <c r="E480" s="24">
        <v>-27.06</v>
      </c>
      <c r="F480" s="24">
        <v>1.17</v>
      </c>
    </row>
    <row r="481" s="24" customFormat="1" spans="1:6">
      <c r="A481" s="24" t="s">
        <v>142</v>
      </c>
      <c r="B481" s="24" t="str">
        <f>"002473"</f>
        <v>002473</v>
      </c>
      <c r="C481" s="24" t="s">
        <v>694</v>
      </c>
      <c r="D481" s="24" t="s">
        <v>184</v>
      </c>
      <c r="E481" s="24">
        <v>-27.08</v>
      </c>
      <c r="F481" s="24">
        <v>4.54</v>
      </c>
    </row>
    <row r="482" s="24" customFormat="1" spans="1:6">
      <c r="A482" s="24" t="s">
        <v>142</v>
      </c>
      <c r="B482" s="24" t="str">
        <f>"000046"</f>
        <v>000046</v>
      </c>
      <c r="C482" s="24" t="s">
        <v>695</v>
      </c>
      <c r="D482" s="24" t="s">
        <v>244</v>
      </c>
      <c r="E482" s="24">
        <v>-27.09</v>
      </c>
      <c r="F482" s="24">
        <v>1.08</v>
      </c>
    </row>
    <row r="483" s="24" customFormat="1" spans="1:6">
      <c r="A483" s="24" t="s">
        <v>142</v>
      </c>
      <c r="B483" s="24" t="str">
        <f>"002488"</f>
        <v>002488</v>
      </c>
      <c r="C483" s="24" t="s">
        <v>696</v>
      </c>
      <c r="D483" s="24" t="s">
        <v>204</v>
      </c>
      <c r="E483" s="24">
        <v>-27.41</v>
      </c>
      <c r="F483" s="24">
        <v>1.73</v>
      </c>
    </row>
    <row r="484" s="24" customFormat="1" spans="1:6">
      <c r="A484" s="24" t="s">
        <v>142</v>
      </c>
      <c r="B484" s="24" t="str">
        <f>"002708"</f>
        <v>002708</v>
      </c>
      <c r="C484" s="24" t="s">
        <v>697</v>
      </c>
      <c r="D484" s="24" t="s">
        <v>204</v>
      </c>
      <c r="E484" s="24">
        <v>-27.46</v>
      </c>
      <c r="F484" s="24">
        <v>2.31</v>
      </c>
    </row>
    <row r="485" s="24" customFormat="1" spans="1:6">
      <c r="A485" s="24" t="s">
        <v>142</v>
      </c>
      <c r="B485" s="24" t="str">
        <f>"002349"</f>
        <v>002349</v>
      </c>
      <c r="C485" s="24" t="s">
        <v>698</v>
      </c>
      <c r="D485" s="24" t="s">
        <v>388</v>
      </c>
      <c r="E485" s="24">
        <v>-27.64</v>
      </c>
      <c r="F485" s="24">
        <v>2.54</v>
      </c>
    </row>
    <row r="486" s="24" customFormat="1" spans="1:6">
      <c r="A486" s="24" t="s">
        <v>140</v>
      </c>
      <c r="B486" s="24" t="str">
        <f>"601798"</f>
        <v>601798</v>
      </c>
      <c r="C486" s="24" t="s">
        <v>699</v>
      </c>
      <c r="D486" s="24" t="s">
        <v>377</v>
      </c>
      <c r="E486" s="24">
        <v>-27.84</v>
      </c>
      <c r="F486" s="24">
        <v>1.15</v>
      </c>
    </row>
    <row r="487" s="24" customFormat="1" spans="1:6">
      <c r="A487" s="24" t="s">
        <v>142</v>
      </c>
      <c r="B487" s="24" t="str">
        <f>"300345"</f>
        <v>300345</v>
      </c>
      <c r="C487" s="24" t="s">
        <v>700</v>
      </c>
      <c r="D487" s="24" t="s">
        <v>165</v>
      </c>
      <c r="E487" s="24">
        <v>-27.93</v>
      </c>
      <c r="F487" s="24">
        <v>6.1</v>
      </c>
    </row>
    <row r="488" s="24" customFormat="1" spans="1:6">
      <c r="A488" s="24" t="s">
        <v>142</v>
      </c>
      <c r="B488" s="24" t="str">
        <f>"002569"</f>
        <v>002569</v>
      </c>
      <c r="C488" s="24" t="s">
        <v>701</v>
      </c>
      <c r="D488" s="24" t="s">
        <v>161</v>
      </c>
      <c r="E488" s="24">
        <v>-27.94</v>
      </c>
      <c r="F488" s="24">
        <v>5.56</v>
      </c>
    </row>
    <row r="489" s="24" customFormat="1" spans="1:6">
      <c r="A489" s="24" t="s">
        <v>142</v>
      </c>
      <c r="B489" s="24" t="str">
        <f>"200045"</f>
        <v>200045</v>
      </c>
      <c r="C489" s="24" t="s">
        <v>702</v>
      </c>
      <c r="D489" s="24"/>
      <c r="E489" s="24">
        <v>-27.94</v>
      </c>
      <c r="F489" s="24">
        <v>0.66</v>
      </c>
    </row>
    <row r="490" s="24" customFormat="1" spans="1:6">
      <c r="A490" s="24" t="s">
        <v>140</v>
      </c>
      <c r="B490" s="24" t="str">
        <f>"900915"</f>
        <v>900915</v>
      </c>
      <c r="C490" s="24" t="s">
        <v>703</v>
      </c>
      <c r="D490" s="24"/>
      <c r="E490" s="24">
        <v>-28.02</v>
      </c>
      <c r="F490" s="24">
        <v>2.04</v>
      </c>
    </row>
    <row r="491" s="24" customFormat="1" spans="1:6">
      <c r="A491" s="24" t="s">
        <v>142</v>
      </c>
      <c r="B491" s="24" t="str">
        <f>"002476"</f>
        <v>002476</v>
      </c>
      <c r="C491" s="24" t="s">
        <v>704</v>
      </c>
      <c r="D491" s="24" t="s">
        <v>256</v>
      </c>
      <c r="E491" s="24">
        <v>-28.11</v>
      </c>
      <c r="F491" s="24">
        <v>4.72</v>
      </c>
    </row>
    <row r="492" s="24" customFormat="1" spans="1:6">
      <c r="A492" s="24" t="s">
        <v>140</v>
      </c>
      <c r="B492" s="24" t="str">
        <f>"600584"</f>
        <v>600584</v>
      </c>
      <c r="C492" s="24" t="s">
        <v>705</v>
      </c>
      <c r="D492" s="24" t="s">
        <v>276</v>
      </c>
      <c r="E492" s="24">
        <v>-28.43</v>
      </c>
      <c r="F492" s="24">
        <v>4.48</v>
      </c>
    </row>
    <row r="493" s="24" customFormat="1" spans="1:6">
      <c r="A493" s="24" t="s">
        <v>142</v>
      </c>
      <c r="B493" s="24" t="str">
        <f>"000897"</f>
        <v>000897</v>
      </c>
      <c r="C493" s="24" t="s">
        <v>706</v>
      </c>
      <c r="D493" s="24" t="s">
        <v>244</v>
      </c>
      <c r="E493" s="24">
        <v>-28.5</v>
      </c>
      <c r="F493" s="24">
        <v>3.55</v>
      </c>
    </row>
    <row r="494" s="24" customFormat="1" spans="1:6">
      <c r="A494" s="24" t="s">
        <v>142</v>
      </c>
      <c r="B494" s="24" t="str">
        <f>"002659"</f>
        <v>002659</v>
      </c>
      <c r="C494" s="24" t="s">
        <v>707</v>
      </c>
      <c r="D494" s="24" t="s">
        <v>315</v>
      </c>
      <c r="E494" s="24">
        <v>-28.66</v>
      </c>
      <c r="F494" s="24">
        <v>1.77</v>
      </c>
    </row>
    <row r="495" s="24" customFormat="1" spans="1:6">
      <c r="A495" s="24" t="s">
        <v>142</v>
      </c>
      <c r="B495" s="24" t="str">
        <f>"002151"</f>
        <v>002151</v>
      </c>
      <c r="C495" s="24" t="s">
        <v>708</v>
      </c>
      <c r="D495" s="24" t="s">
        <v>193</v>
      </c>
      <c r="E495" s="24">
        <v>-28.78</v>
      </c>
      <c r="F495" s="24">
        <v>5.43</v>
      </c>
    </row>
    <row r="496" s="24" customFormat="1" spans="1:6">
      <c r="A496" s="24" t="s">
        <v>140</v>
      </c>
      <c r="B496" s="24" t="str">
        <f>"600698"</f>
        <v>600698</v>
      </c>
      <c r="C496" s="24" t="s">
        <v>709</v>
      </c>
      <c r="D496" s="24" t="s">
        <v>204</v>
      </c>
      <c r="E496" s="24">
        <v>-29.05</v>
      </c>
      <c r="F496" s="24">
        <v>3.68</v>
      </c>
    </row>
    <row r="497" s="24" customFormat="1" spans="1:6">
      <c r="A497" s="24" t="s">
        <v>142</v>
      </c>
      <c r="B497" s="24" t="str">
        <f>"300268"</f>
        <v>300268</v>
      </c>
      <c r="C497" s="24" t="s">
        <v>710</v>
      </c>
      <c r="D497" s="24" t="s">
        <v>145</v>
      </c>
      <c r="E497" s="24">
        <v>-29.05</v>
      </c>
      <c r="F497" s="24">
        <v>-1.29</v>
      </c>
    </row>
    <row r="498" s="24" customFormat="1" spans="1:6">
      <c r="A498" s="24" t="s">
        <v>142</v>
      </c>
      <c r="B498" s="24" t="str">
        <f>"002199"</f>
        <v>002199</v>
      </c>
      <c r="C498" s="24" t="s">
        <v>711</v>
      </c>
      <c r="D498" s="24" t="s">
        <v>197</v>
      </c>
      <c r="E498" s="24">
        <v>-29.18</v>
      </c>
      <c r="F498" s="24">
        <v>5.29</v>
      </c>
    </row>
    <row r="499" s="24" customFormat="1" spans="1:6">
      <c r="A499" s="24" t="s">
        <v>142</v>
      </c>
      <c r="B499" s="24" t="str">
        <f>"000550"</f>
        <v>000550</v>
      </c>
      <c r="C499" s="24" t="s">
        <v>712</v>
      </c>
      <c r="D499" s="24" t="s">
        <v>175</v>
      </c>
      <c r="E499" s="24">
        <v>-29.25</v>
      </c>
      <c r="F499" s="24">
        <v>1</v>
      </c>
    </row>
    <row r="500" s="24" customFormat="1" spans="1:6">
      <c r="A500" s="24" t="s">
        <v>140</v>
      </c>
      <c r="B500" s="24" t="str">
        <f>"601099"</f>
        <v>601099</v>
      </c>
      <c r="C500" s="24" t="s">
        <v>713</v>
      </c>
      <c r="D500" s="24" t="s">
        <v>714</v>
      </c>
      <c r="E500" s="24">
        <v>-29.51</v>
      </c>
      <c r="F500" s="24">
        <v>2.19</v>
      </c>
    </row>
    <row r="501" s="24" customFormat="1" spans="1:6">
      <c r="A501" s="24" t="s">
        <v>140</v>
      </c>
      <c r="B501" s="24" t="str">
        <f>"600730"</f>
        <v>600730</v>
      </c>
      <c r="C501" s="24" t="s">
        <v>715</v>
      </c>
      <c r="D501" s="24" t="s">
        <v>260</v>
      </c>
      <c r="E501" s="24">
        <v>-29.65</v>
      </c>
      <c r="F501" s="24">
        <v>1.51</v>
      </c>
    </row>
    <row r="502" s="24" customFormat="1" spans="1:6">
      <c r="A502" s="24" t="s">
        <v>142</v>
      </c>
      <c r="B502" s="24" t="str">
        <f>"300161"</f>
        <v>300161</v>
      </c>
      <c r="C502" s="24" t="s">
        <v>716</v>
      </c>
      <c r="D502" s="24" t="s">
        <v>165</v>
      </c>
      <c r="E502" s="24">
        <v>-29.84</v>
      </c>
      <c r="F502" s="24">
        <v>3.52</v>
      </c>
    </row>
    <row r="503" s="24" customFormat="1" spans="1:6">
      <c r="A503" s="24" t="s">
        <v>142</v>
      </c>
      <c r="B503" s="24" t="str">
        <f>"300208"</f>
        <v>300208</v>
      </c>
      <c r="C503" s="24" t="s">
        <v>717</v>
      </c>
      <c r="D503" s="24" t="s">
        <v>251</v>
      </c>
      <c r="E503" s="24">
        <v>-30.03</v>
      </c>
      <c r="F503" s="24">
        <v>2.02</v>
      </c>
    </row>
    <row r="504" s="24" customFormat="1" spans="1:6">
      <c r="A504" s="24" t="s">
        <v>142</v>
      </c>
      <c r="B504" s="24" t="str">
        <f>"002378"</f>
        <v>002378</v>
      </c>
      <c r="C504" s="24" t="s">
        <v>718</v>
      </c>
      <c r="D504" s="24" t="s">
        <v>167</v>
      </c>
      <c r="E504" s="24">
        <v>-30.25</v>
      </c>
      <c r="F504" s="24">
        <v>2.41</v>
      </c>
    </row>
    <row r="505" s="24" customFormat="1" spans="1:6">
      <c r="A505" s="24" t="s">
        <v>142</v>
      </c>
      <c r="B505" s="24" t="str">
        <f>"002319"</f>
        <v>002319</v>
      </c>
      <c r="C505" s="24" t="s">
        <v>719</v>
      </c>
      <c r="D505" s="24" t="s">
        <v>228</v>
      </c>
      <c r="E505" s="24">
        <v>-30.32</v>
      </c>
      <c r="F505" s="24">
        <v>8.81</v>
      </c>
    </row>
    <row r="506" s="24" customFormat="1" spans="1:6">
      <c r="A506" s="24" t="s">
        <v>142</v>
      </c>
      <c r="B506" s="24" t="str">
        <f>"002622"</f>
        <v>002622</v>
      </c>
      <c r="C506" s="24" t="s">
        <v>720</v>
      </c>
      <c r="D506" s="24" t="s">
        <v>251</v>
      </c>
      <c r="E506" s="24">
        <v>-31.07</v>
      </c>
      <c r="F506" s="24">
        <v>2.62</v>
      </c>
    </row>
    <row r="507" s="24" customFormat="1" spans="1:6">
      <c r="A507" s="24" t="s">
        <v>142</v>
      </c>
      <c r="B507" s="24" t="str">
        <f>"300270"</f>
        <v>300270</v>
      </c>
      <c r="C507" s="24" t="s">
        <v>721</v>
      </c>
      <c r="D507" s="24" t="s">
        <v>152</v>
      </c>
      <c r="E507" s="24">
        <v>-31.1</v>
      </c>
      <c r="F507" s="24">
        <v>2.27</v>
      </c>
    </row>
    <row r="508" s="24" customFormat="1" spans="1:6">
      <c r="A508" s="24" t="s">
        <v>142</v>
      </c>
      <c r="B508" s="24" t="str">
        <f>"002264"</f>
        <v>002264</v>
      </c>
      <c r="C508" s="24" t="s">
        <v>722</v>
      </c>
      <c r="D508" s="24" t="s">
        <v>361</v>
      </c>
      <c r="E508" s="24">
        <v>-31.26</v>
      </c>
      <c r="F508" s="24">
        <v>3.81</v>
      </c>
    </row>
    <row r="509" s="24" customFormat="1" spans="1:6">
      <c r="A509" s="24" t="s">
        <v>140</v>
      </c>
      <c r="B509" s="24" t="str">
        <f>"600084"</f>
        <v>600084</v>
      </c>
      <c r="C509" s="24" t="s">
        <v>723</v>
      </c>
      <c r="D509" s="24" t="s">
        <v>309</v>
      </c>
      <c r="E509" s="24">
        <v>-31.39</v>
      </c>
      <c r="F509" s="24">
        <v>1.22</v>
      </c>
    </row>
    <row r="510" s="24" customFormat="1" spans="1:6">
      <c r="A510" s="24" t="s">
        <v>140</v>
      </c>
      <c r="B510" s="24" t="str">
        <f>"600128"</f>
        <v>600128</v>
      </c>
      <c r="C510" s="24" t="s">
        <v>724</v>
      </c>
      <c r="D510" s="24" t="s">
        <v>506</v>
      </c>
      <c r="E510" s="24">
        <v>-31.62</v>
      </c>
      <c r="F510" s="24">
        <v>1.15</v>
      </c>
    </row>
    <row r="511" s="24" customFormat="1" spans="1:6">
      <c r="A511" s="24" t="s">
        <v>142</v>
      </c>
      <c r="B511" s="24" t="str">
        <f>"300157"</f>
        <v>300157</v>
      </c>
      <c r="C511" s="24" t="s">
        <v>725</v>
      </c>
      <c r="D511" s="24" t="s">
        <v>377</v>
      </c>
      <c r="E511" s="24">
        <v>-31.64</v>
      </c>
      <c r="F511" s="24">
        <v>1</v>
      </c>
    </row>
    <row r="512" s="24" customFormat="1" spans="1:6">
      <c r="A512" s="24" t="s">
        <v>140</v>
      </c>
      <c r="B512" s="24" t="str">
        <f>"600638"</f>
        <v>600638</v>
      </c>
      <c r="C512" s="24" t="s">
        <v>726</v>
      </c>
      <c r="D512" s="24" t="s">
        <v>244</v>
      </c>
      <c r="E512" s="24">
        <v>-31.69</v>
      </c>
      <c r="F512" s="24">
        <v>0.82</v>
      </c>
    </row>
    <row r="513" s="24" customFormat="1" spans="1:6">
      <c r="A513" s="24" t="s">
        <v>142</v>
      </c>
      <c r="B513" s="24" t="str">
        <f>"300275"</f>
        <v>300275</v>
      </c>
      <c r="C513" s="24" t="s">
        <v>727</v>
      </c>
      <c r="D513" s="24" t="s">
        <v>152</v>
      </c>
      <c r="E513" s="24">
        <v>-31.81</v>
      </c>
      <c r="F513" s="24">
        <v>3.5</v>
      </c>
    </row>
    <row r="514" s="24" customFormat="1" spans="1:6">
      <c r="A514" s="24" t="s">
        <v>140</v>
      </c>
      <c r="B514" s="24" t="str">
        <f>"600289"</f>
        <v>600289</v>
      </c>
      <c r="C514" s="24" t="s">
        <v>728</v>
      </c>
      <c r="D514" s="24" t="s">
        <v>159</v>
      </c>
      <c r="E514" s="24">
        <v>-31.96</v>
      </c>
      <c r="F514" s="24">
        <v>-2.3</v>
      </c>
    </row>
    <row r="515" s="24" customFormat="1" spans="1:6">
      <c r="A515" s="24" t="s">
        <v>140</v>
      </c>
      <c r="B515" s="24" t="str">
        <f>"600661"</f>
        <v>600661</v>
      </c>
      <c r="C515" s="24" t="s">
        <v>729</v>
      </c>
      <c r="D515" s="24" t="s">
        <v>467</v>
      </c>
      <c r="E515" s="24">
        <v>-32</v>
      </c>
      <c r="F515" s="24">
        <v>5.91</v>
      </c>
    </row>
    <row r="516" s="24" customFormat="1" spans="1:6">
      <c r="A516" s="24" t="s">
        <v>142</v>
      </c>
      <c r="B516" s="24" t="str">
        <f>"000509"</f>
        <v>000509</v>
      </c>
      <c r="C516" s="24" t="s">
        <v>730</v>
      </c>
      <c r="D516" s="24" t="s">
        <v>573</v>
      </c>
      <c r="E516" s="24">
        <v>-32.1</v>
      </c>
      <c r="F516" s="24">
        <v>39.43</v>
      </c>
    </row>
    <row r="517" s="24" customFormat="1" spans="1:6">
      <c r="A517" s="24" t="s">
        <v>142</v>
      </c>
      <c r="B517" s="24" t="str">
        <f>"000055"</f>
        <v>000055</v>
      </c>
      <c r="C517" s="24" t="s">
        <v>731</v>
      </c>
      <c r="D517" s="24" t="s">
        <v>573</v>
      </c>
      <c r="E517" s="24">
        <v>-32.59</v>
      </c>
      <c r="F517" s="24">
        <v>0.94</v>
      </c>
    </row>
    <row r="518" s="24" customFormat="1" spans="1:6">
      <c r="A518" s="24" t="s">
        <v>140</v>
      </c>
      <c r="B518" s="24" t="str">
        <f>"600579"</f>
        <v>600579</v>
      </c>
      <c r="C518" s="24" t="s">
        <v>732</v>
      </c>
      <c r="D518" s="24" t="s">
        <v>173</v>
      </c>
      <c r="E518" s="24">
        <v>-32.61</v>
      </c>
      <c r="F518" s="24">
        <v>2.33</v>
      </c>
    </row>
    <row r="519" s="24" customFormat="1" spans="1:6">
      <c r="A519" s="24" t="s">
        <v>142</v>
      </c>
      <c r="B519" s="24" t="str">
        <f>"002590"</f>
        <v>002590</v>
      </c>
      <c r="C519" s="24" t="s">
        <v>733</v>
      </c>
      <c r="D519" s="24" t="s">
        <v>204</v>
      </c>
      <c r="E519" s="24">
        <v>-32.7</v>
      </c>
      <c r="F519" s="24">
        <v>1.89</v>
      </c>
    </row>
    <row r="520" s="24" customFormat="1" spans="1:6">
      <c r="A520" s="24" t="s">
        <v>140</v>
      </c>
      <c r="B520" s="24" t="str">
        <f>"600156"</f>
        <v>600156</v>
      </c>
      <c r="C520" s="24" t="s">
        <v>734</v>
      </c>
      <c r="D520" s="24" t="s">
        <v>253</v>
      </c>
      <c r="E520" s="24">
        <v>-32.83</v>
      </c>
      <c r="F520" s="24">
        <v>2.62</v>
      </c>
    </row>
    <row r="521" s="24" customFormat="1" spans="1:6">
      <c r="A521" s="24" t="s">
        <v>140</v>
      </c>
      <c r="B521" s="24" t="str">
        <f>"600222"</f>
        <v>600222</v>
      </c>
      <c r="C521" s="24" t="s">
        <v>735</v>
      </c>
      <c r="D521" s="24" t="s">
        <v>388</v>
      </c>
      <c r="E521" s="24">
        <v>-32.84</v>
      </c>
      <c r="F521" s="24">
        <v>3.41</v>
      </c>
    </row>
    <row r="522" s="24" customFormat="1" spans="1:6">
      <c r="A522" s="24" t="s">
        <v>140</v>
      </c>
      <c r="B522" s="24" t="str">
        <f>"600397"</f>
        <v>600397</v>
      </c>
      <c r="C522" s="24" t="s">
        <v>736</v>
      </c>
      <c r="D522" s="24" t="s">
        <v>401</v>
      </c>
      <c r="E522" s="24">
        <v>-34.15</v>
      </c>
      <c r="F522" s="24">
        <v>3.04</v>
      </c>
    </row>
    <row r="523" s="24" customFormat="1" spans="1:6">
      <c r="A523" s="24" t="s">
        <v>140</v>
      </c>
      <c r="B523" s="24" t="str">
        <f>"600847"</f>
        <v>600847</v>
      </c>
      <c r="C523" s="24" t="s">
        <v>737</v>
      </c>
      <c r="D523" s="24" t="s">
        <v>152</v>
      </c>
      <c r="E523" s="24">
        <v>-34.18</v>
      </c>
      <c r="F523" s="24">
        <v>2.56</v>
      </c>
    </row>
    <row r="524" s="24" customFormat="1" spans="1:6">
      <c r="A524" s="24" t="s">
        <v>142</v>
      </c>
      <c r="B524" s="24" t="str">
        <f>"000678"</f>
        <v>000678</v>
      </c>
      <c r="C524" s="24" t="s">
        <v>738</v>
      </c>
      <c r="D524" s="24" t="s">
        <v>204</v>
      </c>
      <c r="E524" s="24">
        <v>-34.25</v>
      </c>
      <c r="F524" s="24">
        <v>2.24</v>
      </c>
    </row>
    <row r="525" s="24" customFormat="1" spans="1:6">
      <c r="A525" s="24" t="s">
        <v>140</v>
      </c>
      <c r="B525" s="24" t="str">
        <f>"600576"</f>
        <v>600576</v>
      </c>
      <c r="C525" s="24" t="s">
        <v>739</v>
      </c>
      <c r="D525" s="24" t="s">
        <v>170</v>
      </c>
      <c r="E525" s="24">
        <v>-34.87</v>
      </c>
      <c r="F525" s="24">
        <v>2.37</v>
      </c>
    </row>
    <row r="526" s="24" customFormat="1" spans="1:6">
      <c r="A526" s="24" t="s">
        <v>142</v>
      </c>
      <c r="B526" s="24" t="str">
        <f>"300681"</f>
        <v>300681</v>
      </c>
      <c r="C526" s="24" t="s">
        <v>740</v>
      </c>
      <c r="D526" s="24" t="s">
        <v>251</v>
      </c>
      <c r="E526" s="24">
        <v>-35.15</v>
      </c>
      <c r="F526" s="24">
        <v>3.8</v>
      </c>
    </row>
    <row r="527" s="24" customFormat="1" spans="1:6">
      <c r="A527" s="24" t="s">
        <v>140</v>
      </c>
      <c r="B527" s="24" t="str">
        <f>"600268"</f>
        <v>600268</v>
      </c>
      <c r="C527" s="24" t="s">
        <v>741</v>
      </c>
      <c r="D527" s="24" t="s">
        <v>251</v>
      </c>
      <c r="E527" s="24">
        <v>-35.53</v>
      </c>
      <c r="F527" s="24">
        <v>1.44</v>
      </c>
    </row>
    <row r="528" s="24" customFormat="1" spans="1:6">
      <c r="A528" s="24" t="s">
        <v>140</v>
      </c>
      <c r="B528" s="24" t="str">
        <f>"603021"</f>
        <v>603021</v>
      </c>
      <c r="C528" s="24" t="s">
        <v>742</v>
      </c>
      <c r="D528" s="24" t="s">
        <v>290</v>
      </c>
      <c r="E528" s="24">
        <v>-35.63</v>
      </c>
      <c r="F528" s="24">
        <v>1.6</v>
      </c>
    </row>
    <row r="529" s="24" customFormat="1" spans="1:6">
      <c r="A529" s="24" t="s">
        <v>142</v>
      </c>
      <c r="B529" s="24" t="str">
        <f>"300076"</f>
        <v>300076</v>
      </c>
      <c r="C529" s="24" t="s">
        <v>743</v>
      </c>
      <c r="D529" s="24" t="s">
        <v>152</v>
      </c>
      <c r="E529" s="24">
        <v>-35.66</v>
      </c>
      <c r="F529" s="24">
        <v>2.11</v>
      </c>
    </row>
    <row r="530" s="24" customFormat="1" spans="1:6">
      <c r="A530" s="24" t="s">
        <v>142</v>
      </c>
      <c r="B530" s="24" t="str">
        <f>"002613"</f>
        <v>002613</v>
      </c>
      <c r="C530" s="24" t="s">
        <v>744</v>
      </c>
      <c r="D530" s="24" t="s">
        <v>173</v>
      </c>
      <c r="E530" s="24">
        <v>-35.82</v>
      </c>
      <c r="F530" s="24">
        <v>1.98</v>
      </c>
    </row>
    <row r="531" s="24" customFormat="1" spans="1:6">
      <c r="A531" s="24" t="s">
        <v>142</v>
      </c>
      <c r="B531" s="24" t="str">
        <f>"300139"</f>
        <v>300139</v>
      </c>
      <c r="C531" s="24" t="s">
        <v>745</v>
      </c>
      <c r="D531" s="24" t="s">
        <v>276</v>
      </c>
      <c r="E531" s="24">
        <v>-35.82</v>
      </c>
      <c r="F531" s="24">
        <v>2</v>
      </c>
    </row>
    <row r="532" s="24" customFormat="1" spans="1:6">
      <c r="A532" s="24" t="s">
        <v>142</v>
      </c>
      <c r="B532" s="24" t="str">
        <f>"002537"</f>
        <v>002537</v>
      </c>
      <c r="C532" s="24" t="s">
        <v>746</v>
      </c>
      <c r="D532" s="24" t="s">
        <v>204</v>
      </c>
      <c r="E532" s="24">
        <v>-35.97</v>
      </c>
      <c r="F532" s="24">
        <v>1.93</v>
      </c>
    </row>
    <row r="533" s="24" customFormat="1" spans="1:6">
      <c r="A533" s="24" t="s">
        <v>140</v>
      </c>
      <c r="B533" s="24" t="str">
        <f>"600836"</f>
        <v>600836</v>
      </c>
      <c r="C533" s="24" t="s">
        <v>747</v>
      </c>
      <c r="D533" s="24" t="s">
        <v>214</v>
      </c>
      <c r="E533" s="24">
        <v>-35.99</v>
      </c>
      <c r="F533" s="24">
        <v>3.37</v>
      </c>
    </row>
    <row r="534" s="24" customFormat="1" spans="1:6">
      <c r="A534" s="24" t="s">
        <v>142</v>
      </c>
      <c r="B534" s="24" t="str">
        <f>"002173"</f>
        <v>002173</v>
      </c>
      <c r="C534" s="24" t="s">
        <v>748</v>
      </c>
      <c r="D534" s="24" t="s">
        <v>348</v>
      </c>
      <c r="E534" s="24">
        <v>-36.62</v>
      </c>
      <c r="F534" s="24">
        <v>0.98</v>
      </c>
    </row>
    <row r="535" s="24" customFormat="1" spans="1:6">
      <c r="A535" s="24" t="s">
        <v>142</v>
      </c>
      <c r="B535" s="24" t="str">
        <f>"002069"</f>
        <v>002069</v>
      </c>
      <c r="C535" s="24" t="s">
        <v>749</v>
      </c>
      <c r="D535" s="24" t="s">
        <v>145</v>
      </c>
      <c r="E535" s="24">
        <v>-36.69</v>
      </c>
      <c r="F535" s="24">
        <v>4.99</v>
      </c>
    </row>
    <row r="536" s="24" customFormat="1" spans="1:6">
      <c r="A536" s="24" t="s">
        <v>140</v>
      </c>
      <c r="B536" s="24" t="str">
        <f>"600500"</f>
        <v>600500</v>
      </c>
      <c r="C536" s="24" t="s">
        <v>750</v>
      </c>
      <c r="D536" s="24" t="s">
        <v>644</v>
      </c>
      <c r="E536" s="24">
        <v>-37.53</v>
      </c>
      <c r="F536" s="24">
        <v>2.36</v>
      </c>
    </row>
    <row r="537" s="24" customFormat="1" spans="1:6">
      <c r="A537" s="24" t="s">
        <v>142</v>
      </c>
      <c r="B537" s="24" t="str">
        <f>"000762"</f>
        <v>000762</v>
      </c>
      <c r="C537" s="24" t="s">
        <v>751</v>
      </c>
      <c r="D537" s="24" t="s">
        <v>167</v>
      </c>
      <c r="E537" s="24">
        <v>-37.6</v>
      </c>
      <c r="F537" s="24">
        <v>2.13</v>
      </c>
    </row>
    <row r="538" s="24" customFormat="1" spans="1:6">
      <c r="A538" s="24" t="s">
        <v>142</v>
      </c>
      <c r="B538" s="24" t="str">
        <f>"300565"</f>
        <v>300565</v>
      </c>
      <c r="C538" s="24" t="s">
        <v>752</v>
      </c>
      <c r="D538" s="24" t="s">
        <v>193</v>
      </c>
      <c r="E538" s="24">
        <v>-37.85</v>
      </c>
      <c r="F538" s="24">
        <v>2.96</v>
      </c>
    </row>
    <row r="539" s="24" customFormat="1" spans="1:6">
      <c r="A539" s="24" t="s">
        <v>140</v>
      </c>
      <c r="B539" s="24" t="str">
        <f>"600391"</f>
        <v>600391</v>
      </c>
      <c r="C539" s="24" t="s">
        <v>753</v>
      </c>
      <c r="D539" s="24" t="s">
        <v>395</v>
      </c>
      <c r="E539" s="24">
        <v>-38.1</v>
      </c>
      <c r="F539" s="24">
        <v>3.04</v>
      </c>
    </row>
    <row r="540" s="24" customFormat="1" spans="1:6">
      <c r="A540" s="24" t="s">
        <v>142</v>
      </c>
      <c r="B540" s="24" t="str">
        <f>"300182"</f>
        <v>300182</v>
      </c>
      <c r="C540" s="24" t="s">
        <v>754</v>
      </c>
      <c r="D540" s="24" t="s">
        <v>170</v>
      </c>
      <c r="E540" s="24">
        <v>-38.14</v>
      </c>
      <c r="F540" s="24">
        <v>2.83</v>
      </c>
    </row>
    <row r="541" s="24" customFormat="1" spans="1:6">
      <c r="A541" s="24" t="s">
        <v>140</v>
      </c>
      <c r="B541" s="24" t="str">
        <f>"600381"</f>
        <v>600381</v>
      </c>
      <c r="C541" s="24" t="s">
        <v>755</v>
      </c>
      <c r="D541" s="24" t="s">
        <v>190</v>
      </c>
      <c r="E541" s="24">
        <v>-38.15</v>
      </c>
      <c r="F541" s="24">
        <v>1.22</v>
      </c>
    </row>
    <row r="542" s="24" customFormat="1" spans="1:6">
      <c r="A542" s="24" t="s">
        <v>142</v>
      </c>
      <c r="B542" s="24" t="str">
        <f>"002132"</f>
        <v>002132</v>
      </c>
      <c r="C542" s="24" t="s">
        <v>756</v>
      </c>
      <c r="D542" s="24" t="s">
        <v>258</v>
      </c>
      <c r="E542" s="24">
        <v>-38.3</v>
      </c>
      <c r="F542" s="24">
        <v>1.28</v>
      </c>
    </row>
    <row r="543" s="24" customFormat="1" spans="1:6">
      <c r="A543" s="24" t="s">
        <v>142</v>
      </c>
      <c r="B543" s="24" t="str">
        <f>"300311"</f>
        <v>300311</v>
      </c>
      <c r="C543" s="24" t="s">
        <v>757</v>
      </c>
      <c r="D543" s="24" t="s">
        <v>163</v>
      </c>
      <c r="E543" s="24">
        <v>-38.37</v>
      </c>
      <c r="F543" s="24">
        <v>7.22</v>
      </c>
    </row>
    <row r="544" s="24" customFormat="1" spans="1:6">
      <c r="A544" s="24" t="s">
        <v>142</v>
      </c>
      <c r="B544" s="24" t="str">
        <f>"300700"</f>
        <v>300700</v>
      </c>
      <c r="C544" s="24" t="s">
        <v>758</v>
      </c>
      <c r="D544" s="24" t="s">
        <v>644</v>
      </c>
      <c r="E544" s="24">
        <v>-38.66</v>
      </c>
      <c r="F544" s="24">
        <v>2.53</v>
      </c>
    </row>
    <row r="545" s="24" customFormat="1" spans="1:6">
      <c r="A545" s="24" t="s">
        <v>142</v>
      </c>
      <c r="B545" s="24" t="str">
        <f>"300055"</f>
        <v>300055</v>
      </c>
      <c r="C545" s="24" t="s">
        <v>759</v>
      </c>
      <c r="D545" s="24" t="s">
        <v>214</v>
      </c>
      <c r="E545" s="24">
        <v>-38.83</v>
      </c>
      <c r="F545" s="24">
        <v>1.04</v>
      </c>
    </row>
    <row r="546" s="24" customFormat="1" spans="1:6">
      <c r="A546" s="24" t="s">
        <v>142</v>
      </c>
      <c r="B546" s="24" t="str">
        <f>"002369"</f>
        <v>002369</v>
      </c>
      <c r="C546" s="24" t="s">
        <v>760</v>
      </c>
      <c r="D546" s="24" t="s">
        <v>193</v>
      </c>
      <c r="E546" s="24">
        <v>-38.96</v>
      </c>
      <c r="F546" s="24">
        <v>2.62</v>
      </c>
    </row>
    <row r="547" s="24" customFormat="1" spans="1:6">
      <c r="A547" s="24" t="s">
        <v>140</v>
      </c>
      <c r="B547" s="24" t="str">
        <f>"600645"</f>
        <v>600645</v>
      </c>
      <c r="C547" s="24" t="s">
        <v>761</v>
      </c>
      <c r="D547" s="24" t="s">
        <v>326</v>
      </c>
      <c r="E547" s="24">
        <v>-39.57</v>
      </c>
      <c r="F547" s="24">
        <v>3.48</v>
      </c>
    </row>
    <row r="548" s="24" customFormat="1" spans="1:6">
      <c r="A548" s="24" t="s">
        <v>140</v>
      </c>
      <c r="B548" s="24" t="str">
        <f>"603703"</f>
        <v>603703</v>
      </c>
      <c r="C548" s="24" t="s">
        <v>762</v>
      </c>
      <c r="D548" s="24" t="s">
        <v>251</v>
      </c>
      <c r="E548" s="24">
        <v>-39.62</v>
      </c>
      <c r="F548" s="24">
        <v>13.04</v>
      </c>
    </row>
    <row r="549" s="24" customFormat="1" spans="1:6">
      <c r="A549" s="24" t="s">
        <v>142</v>
      </c>
      <c r="B549" s="24" t="str">
        <f>"002272"</f>
        <v>002272</v>
      </c>
      <c r="C549" s="24" t="s">
        <v>763</v>
      </c>
      <c r="D549" s="24" t="s">
        <v>165</v>
      </c>
      <c r="E549" s="24">
        <v>-39.81</v>
      </c>
      <c r="F549" s="24">
        <v>1.41</v>
      </c>
    </row>
    <row r="550" s="24" customFormat="1" spans="1:6">
      <c r="A550" s="24" t="s">
        <v>140</v>
      </c>
      <c r="B550" s="24" t="str">
        <f>"601718"</f>
        <v>601718</v>
      </c>
      <c r="C550" s="24" t="s">
        <v>764</v>
      </c>
      <c r="D550" s="24" t="s">
        <v>161</v>
      </c>
      <c r="E550" s="24">
        <v>-40.15</v>
      </c>
      <c r="F550" s="24">
        <v>0.93</v>
      </c>
    </row>
    <row r="551" s="24" customFormat="1" spans="1:6">
      <c r="A551" s="24" t="s">
        <v>142</v>
      </c>
      <c r="B551" s="24" t="str">
        <f>"002686"</f>
        <v>002686</v>
      </c>
      <c r="C551" s="24" t="s">
        <v>765</v>
      </c>
      <c r="D551" s="24" t="s">
        <v>165</v>
      </c>
      <c r="E551" s="24">
        <v>-40.33</v>
      </c>
      <c r="F551" s="24">
        <v>2.54</v>
      </c>
    </row>
    <row r="552" s="24" customFormat="1" spans="1:6">
      <c r="A552" s="24" t="s">
        <v>142</v>
      </c>
      <c r="B552" s="24" t="str">
        <f>"000782"</f>
        <v>000782</v>
      </c>
      <c r="C552" s="24" t="s">
        <v>766</v>
      </c>
      <c r="D552" s="24" t="s">
        <v>302</v>
      </c>
      <c r="E552" s="24">
        <v>-40.79</v>
      </c>
      <c r="F552" s="24">
        <v>1.44</v>
      </c>
    </row>
    <row r="553" s="24" customFormat="1" spans="1:6">
      <c r="A553" s="24" t="s">
        <v>140</v>
      </c>
      <c r="B553" s="24" t="str">
        <f>"600540"</f>
        <v>600540</v>
      </c>
      <c r="C553" s="24" t="s">
        <v>767</v>
      </c>
      <c r="D553" s="24" t="s">
        <v>145</v>
      </c>
      <c r="E553" s="24">
        <v>-40.95</v>
      </c>
      <c r="F553" s="24">
        <v>2.77</v>
      </c>
    </row>
    <row r="554" s="24" customFormat="1" spans="1:6">
      <c r="A554" s="24" t="s">
        <v>142</v>
      </c>
      <c r="B554" s="24" t="str">
        <f>"002209"</f>
        <v>002209</v>
      </c>
      <c r="C554" s="24" t="s">
        <v>768</v>
      </c>
      <c r="D554" s="24" t="s">
        <v>173</v>
      </c>
      <c r="E554" s="24">
        <v>-41.08</v>
      </c>
      <c r="F554" s="24">
        <v>1.99</v>
      </c>
    </row>
    <row r="555" s="24" customFormat="1" spans="1:6">
      <c r="A555" s="24" t="s">
        <v>142</v>
      </c>
      <c r="B555" s="24" t="str">
        <f>"000159"</f>
        <v>000159</v>
      </c>
      <c r="C555" s="24" t="s">
        <v>769</v>
      </c>
      <c r="D555" s="24" t="s">
        <v>246</v>
      </c>
      <c r="E555" s="24">
        <v>-41.47</v>
      </c>
      <c r="F555" s="24">
        <v>1.14</v>
      </c>
    </row>
    <row r="556" s="24" customFormat="1" spans="1:6">
      <c r="A556" s="24" t="s">
        <v>140</v>
      </c>
      <c r="B556" s="24" t="str">
        <f>"600520"</f>
        <v>600520</v>
      </c>
      <c r="C556" s="24" t="s">
        <v>770</v>
      </c>
      <c r="D556" s="24" t="s">
        <v>173</v>
      </c>
      <c r="E556" s="24">
        <v>-41.85</v>
      </c>
      <c r="F556" s="24">
        <v>3.71</v>
      </c>
    </row>
    <row r="557" s="24" customFormat="1" spans="1:6">
      <c r="A557" s="24" t="s">
        <v>142</v>
      </c>
      <c r="B557" s="24" t="str">
        <f>"002305"</f>
        <v>002305</v>
      </c>
      <c r="C557" s="24" t="s">
        <v>771</v>
      </c>
      <c r="D557" s="24" t="s">
        <v>384</v>
      </c>
      <c r="E557" s="24">
        <v>-41.92</v>
      </c>
      <c r="F557" s="24">
        <v>0.7</v>
      </c>
    </row>
    <row r="558" s="24" customFormat="1" spans="1:6">
      <c r="A558" s="24" t="s">
        <v>140</v>
      </c>
      <c r="B558" s="24" t="str">
        <f>"600571"</f>
        <v>600571</v>
      </c>
      <c r="C558" s="24" t="s">
        <v>772</v>
      </c>
      <c r="D558" s="24" t="s">
        <v>159</v>
      </c>
      <c r="E558" s="24">
        <v>-41.94</v>
      </c>
      <c r="F558" s="24">
        <v>4.65</v>
      </c>
    </row>
    <row r="559" s="24" customFormat="1" spans="1:6">
      <c r="A559" s="24" t="s">
        <v>142</v>
      </c>
      <c r="B559" s="24" t="str">
        <f>"000619"</f>
        <v>000619</v>
      </c>
      <c r="C559" s="24" t="s">
        <v>773</v>
      </c>
      <c r="D559" s="24" t="s">
        <v>573</v>
      </c>
      <c r="E559" s="24">
        <v>-42.39</v>
      </c>
      <c r="F559" s="24">
        <v>0.73</v>
      </c>
    </row>
    <row r="560" s="24" customFormat="1" spans="1:6">
      <c r="A560" s="24" t="s">
        <v>142</v>
      </c>
      <c r="B560" s="24" t="str">
        <f>"002657"</f>
        <v>002657</v>
      </c>
      <c r="C560" s="24" t="s">
        <v>774</v>
      </c>
      <c r="D560" s="24" t="s">
        <v>159</v>
      </c>
      <c r="E560" s="24">
        <v>-42.53</v>
      </c>
      <c r="F560" s="24">
        <v>2.37</v>
      </c>
    </row>
    <row r="561" s="24" customFormat="1" spans="1:6">
      <c r="A561" s="24" t="s">
        <v>140</v>
      </c>
      <c r="B561" s="24" t="str">
        <f>"603188"</f>
        <v>603188</v>
      </c>
      <c r="C561" s="24" t="s">
        <v>775</v>
      </c>
      <c r="D561" s="24" t="s">
        <v>228</v>
      </c>
      <c r="E561" s="24">
        <v>-43.17</v>
      </c>
      <c r="F561" s="24">
        <v>1.27</v>
      </c>
    </row>
    <row r="562" s="24" customFormat="1" spans="1:6">
      <c r="A562" s="24" t="s">
        <v>140</v>
      </c>
      <c r="B562" s="24" t="str">
        <f>"600209"</f>
        <v>600209</v>
      </c>
      <c r="C562" s="24" t="s">
        <v>776</v>
      </c>
      <c r="D562" s="24" t="s">
        <v>315</v>
      </c>
      <c r="E562" s="24">
        <v>-43.56</v>
      </c>
      <c r="F562" s="24">
        <v>2.1</v>
      </c>
    </row>
    <row r="563" s="24" customFormat="1" spans="1:6">
      <c r="A563" s="24" t="s">
        <v>142</v>
      </c>
      <c r="B563" s="24" t="str">
        <f>"300460"</f>
        <v>300460</v>
      </c>
      <c r="C563" s="24" t="s">
        <v>777</v>
      </c>
      <c r="D563" s="24" t="s">
        <v>197</v>
      </c>
      <c r="E563" s="24">
        <v>-43.56</v>
      </c>
      <c r="F563" s="24">
        <v>8.26</v>
      </c>
    </row>
    <row r="564" s="24" customFormat="1" spans="1:6">
      <c r="A564" s="24" t="s">
        <v>140</v>
      </c>
      <c r="B564" s="24" t="str">
        <f>"600583"</f>
        <v>600583</v>
      </c>
      <c r="C564" s="24" t="s">
        <v>778</v>
      </c>
      <c r="D564" s="24" t="s">
        <v>377</v>
      </c>
      <c r="E564" s="24">
        <v>-44.21</v>
      </c>
      <c r="F564" s="24">
        <v>1.4</v>
      </c>
    </row>
    <row r="565" s="24" customFormat="1" spans="1:6">
      <c r="A565" s="24" t="s">
        <v>140</v>
      </c>
      <c r="B565" s="24" t="str">
        <f>"600768"</f>
        <v>600768</v>
      </c>
      <c r="C565" s="24" t="s">
        <v>779</v>
      </c>
      <c r="D565" s="24" t="s">
        <v>167</v>
      </c>
      <c r="E565" s="24">
        <v>-44.38</v>
      </c>
      <c r="F565" s="24">
        <v>6.24</v>
      </c>
    </row>
    <row r="566" s="24" customFormat="1" spans="1:6">
      <c r="A566" s="24" t="s">
        <v>142</v>
      </c>
      <c r="B566" s="24" t="str">
        <f>"300367"</f>
        <v>300367</v>
      </c>
      <c r="C566" s="24" t="s">
        <v>780</v>
      </c>
      <c r="D566" s="24" t="s">
        <v>152</v>
      </c>
      <c r="E566" s="24">
        <v>-44.57</v>
      </c>
      <c r="F566" s="24">
        <v>1.29</v>
      </c>
    </row>
    <row r="567" s="24" customFormat="1" spans="1:6">
      <c r="A567" s="24" t="s">
        <v>142</v>
      </c>
      <c r="B567" s="24" t="str">
        <f>"002358"</f>
        <v>002358</v>
      </c>
      <c r="C567" s="24" t="s">
        <v>781</v>
      </c>
      <c r="D567" s="24" t="s">
        <v>251</v>
      </c>
      <c r="E567" s="24">
        <v>-44.64</v>
      </c>
      <c r="F567" s="24">
        <v>1.07</v>
      </c>
    </row>
    <row r="568" s="24" customFormat="1" spans="1:6">
      <c r="A568" s="24" t="s">
        <v>142</v>
      </c>
      <c r="B568" s="24" t="str">
        <f>"300062"</f>
        <v>300062</v>
      </c>
      <c r="C568" s="24" t="s">
        <v>782</v>
      </c>
      <c r="D568" s="24" t="s">
        <v>293</v>
      </c>
      <c r="E568" s="24">
        <v>-45.6</v>
      </c>
      <c r="F568" s="24">
        <v>1.94</v>
      </c>
    </row>
    <row r="569" s="24" customFormat="1" spans="1:6">
      <c r="A569" s="24" t="s">
        <v>142</v>
      </c>
      <c r="B569" s="24" t="str">
        <f>"200037"</f>
        <v>200037</v>
      </c>
      <c r="C569" s="24" t="s">
        <v>783</v>
      </c>
      <c r="D569" s="24"/>
      <c r="E569" s="24">
        <v>-45.6</v>
      </c>
      <c r="F569" s="24">
        <v>1.05</v>
      </c>
    </row>
    <row r="570" s="24" customFormat="1" spans="1:6">
      <c r="A570" s="24" t="s">
        <v>142</v>
      </c>
      <c r="B570" s="24" t="str">
        <f>"200706"</f>
        <v>200706</v>
      </c>
      <c r="C570" s="24" t="s">
        <v>784</v>
      </c>
      <c r="D570" s="24"/>
      <c r="E570" s="24">
        <v>-46.09</v>
      </c>
      <c r="F570" s="24">
        <v>0.75</v>
      </c>
    </row>
    <row r="571" s="24" customFormat="1" spans="1:6">
      <c r="A571" s="24" t="s">
        <v>140</v>
      </c>
      <c r="B571" s="24" t="str">
        <f>"600758"</f>
        <v>600758</v>
      </c>
      <c r="C571" s="24" t="s">
        <v>785</v>
      </c>
      <c r="D571" s="24" t="s">
        <v>450</v>
      </c>
      <c r="E571" s="24">
        <v>-46.34</v>
      </c>
      <c r="F571" s="24">
        <v>0.91</v>
      </c>
    </row>
    <row r="572" s="24" customFormat="1" spans="1:6">
      <c r="A572" s="24" t="s">
        <v>142</v>
      </c>
      <c r="B572" s="24" t="str">
        <f>"002183"</f>
        <v>002183</v>
      </c>
      <c r="C572" s="24" t="s">
        <v>786</v>
      </c>
      <c r="D572" s="24" t="s">
        <v>177</v>
      </c>
      <c r="E572" s="24">
        <v>-46.34</v>
      </c>
      <c r="F572" s="24">
        <v>1.39</v>
      </c>
    </row>
    <row r="573" s="24" customFormat="1" spans="1:6">
      <c r="A573" s="24" t="s">
        <v>142</v>
      </c>
      <c r="B573" s="24" t="str">
        <f>"000626"</f>
        <v>000626</v>
      </c>
      <c r="C573" s="24" t="s">
        <v>787</v>
      </c>
      <c r="D573" s="24" t="s">
        <v>267</v>
      </c>
      <c r="E573" s="24">
        <v>-46.48</v>
      </c>
      <c r="F573" s="24">
        <v>1.57</v>
      </c>
    </row>
    <row r="574" s="24" customFormat="1" spans="1:6">
      <c r="A574" s="24" t="s">
        <v>140</v>
      </c>
      <c r="B574" s="24" t="str">
        <f>"601028"</f>
        <v>601028</v>
      </c>
      <c r="C574" s="24" t="s">
        <v>788</v>
      </c>
      <c r="D574" s="24" t="s">
        <v>258</v>
      </c>
      <c r="E574" s="24">
        <v>-46.54</v>
      </c>
      <c r="F574" s="24">
        <v>2.08</v>
      </c>
    </row>
    <row r="575" s="24" customFormat="1" spans="1:6">
      <c r="A575" s="24" t="s">
        <v>140</v>
      </c>
      <c r="B575" s="24" t="str">
        <f>"603003"</f>
        <v>603003</v>
      </c>
      <c r="C575" s="24" t="s">
        <v>789</v>
      </c>
      <c r="D575" s="24" t="s">
        <v>246</v>
      </c>
      <c r="E575" s="24">
        <v>-46.87</v>
      </c>
      <c r="F575" s="24">
        <v>0.8</v>
      </c>
    </row>
    <row r="576" s="24" customFormat="1" spans="1:6">
      <c r="A576" s="24" t="s">
        <v>142</v>
      </c>
      <c r="B576" s="24" t="str">
        <f>"002865"</f>
        <v>002865</v>
      </c>
      <c r="C576" s="24" t="s">
        <v>790</v>
      </c>
      <c r="D576" s="24" t="s">
        <v>204</v>
      </c>
      <c r="E576" s="24">
        <v>-47.01</v>
      </c>
      <c r="F576" s="24">
        <v>1.91</v>
      </c>
    </row>
    <row r="577" s="24" customFormat="1" spans="1:6">
      <c r="A577" s="24" t="s">
        <v>140</v>
      </c>
      <c r="B577" s="24" t="str">
        <f>"603318"</f>
        <v>603318</v>
      </c>
      <c r="C577" s="24" t="s">
        <v>791</v>
      </c>
      <c r="D577" s="24" t="s">
        <v>173</v>
      </c>
      <c r="E577" s="24">
        <v>-47.06</v>
      </c>
      <c r="F577" s="24">
        <v>4.08</v>
      </c>
    </row>
    <row r="578" s="24" customFormat="1" spans="1:6">
      <c r="A578" s="24" t="s">
        <v>142</v>
      </c>
      <c r="B578" s="24" t="str">
        <f>"300318"</f>
        <v>300318</v>
      </c>
      <c r="C578" s="24" t="s">
        <v>792</v>
      </c>
      <c r="D578" s="24" t="s">
        <v>326</v>
      </c>
      <c r="E578" s="24">
        <v>-47.22</v>
      </c>
      <c r="F578" s="24">
        <v>17.29</v>
      </c>
    </row>
    <row r="579" s="24" customFormat="1" spans="1:6">
      <c r="A579" s="24" t="s">
        <v>142</v>
      </c>
      <c r="B579" s="24" t="str">
        <f>"300202"</f>
        <v>300202</v>
      </c>
      <c r="C579" s="24" t="s">
        <v>793</v>
      </c>
      <c r="D579" s="24" t="s">
        <v>152</v>
      </c>
      <c r="E579" s="24">
        <v>-47.58</v>
      </c>
      <c r="F579" s="24">
        <v>3.63</v>
      </c>
    </row>
    <row r="580" s="24" customFormat="1" spans="1:6">
      <c r="A580" s="24" t="s">
        <v>142</v>
      </c>
      <c r="B580" s="24" t="str">
        <f>"002623"</f>
        <v>002623</v>
      </c>
      <c r="C580" s="24" t="s">
        <v>794</v>
      </c>
      <c r="D580" s="24" t="s">
        <v>230</v>
      </c>
      <c r="E580" s="24">
        <v>-48.14</v>
      </c>
      <c r="F580" s="24">
        <v>3.13</v>
      </c>
    </row>
    <row r="581" s="24" customFormat="1" spans="1:6">
      <c r="A581" s="24" t="s">
        <v>142</v>
      </c>
      <c r="B581" s="24" t="str">
        <f>"002263"</f>
        <v>002263</v>
      </c>
      <c r="C581" s="24" t="s">
        <v>795</v>
      </c>
      <c r="D581" s="24" t="s">
        <v>228</v>
      </c>
      <c r="E581" s="24">
        <v>-48.14</v>
      </c>
      <c r="F581" s="24">
        <v>1.59</v>
      </c>
    </row>
    <row r="582" s="24" customFormat="1" spans="1:6">
      <c r="A582" s="24" t="s">
        <v>140</v>
      </c>
      <c r="B582" s="24" t="str">
        <f>"603922"</f>
        <v>603922</v>
      </c>
      <c r="C582" s="24" t="s">
        <v>796</v>
      </c>
      <c r="D582" s="24" t="s">
        <v>204</v>
      </c>
      <c r="E582" s="24">
        <v>-48.38</v>
      </c>
      <c r="F582" s="24">
        <v>1.65</v>
      </c>
    </row>
    <row r="583" s="24" customFormat="1" spans="1:6">
      <c r="A583" s="24" t="s">
        <v>140</v>
      </c>
      <c r="B583" s="24" t="str">
        <f>"600587"</f>
        <v>600587</v>
      </c>
      <c r="C583" s="24" t="s">
        <v>797</v>
      </c>
      <c r="D583" s="24" t="s">
        <v>618</v>
      </c>
      <c r="E583" s="24">
        <v>-48.48</v>
      </c>
      <c r="F583" s="24">
        <v>1.83</v>
      </c>
    </row>
    <row r="584" s="24" customFormat="1" spans="1:6">
      <c r="A584" s="24" t="s">
        <v>140</v>
      </c>
      <c r="B584" s="24" t="str">
        <f>"601106"</f>
        <v>601106</v>
      </c>
      <c r="C584" s="24" t="s">
        <v>798</v>
      </c>
      <c r="D584" s="24" t="s">
        <v>165</v>
      </c>
      <c r="E584" s="24">
        <v>-49.52</v>
      </c>
      <c r="F584" s="24">
        <v>1.67</v>
      </c>
    </row>
    <row r="585" s="24" customFormat="1" spans="1:6">
      <c r="A585" s="24" t="s">
        <v>140</v>
      </c>
      <c r="B585" s="24" t="str">
        <f>"600300"</f>
        <v>600300</v>
      </c>
      <c r="C585" s="24" t="s">
        <v>799</v>
      </c>
      <c r="D585" s="24" t="s">
        <v>309</v>
      </c>
      <c r="E585" s="24">
        <v>-50.09</v>
      </c>
      <c r="F585" s="24">
        <v>1.89</v>
      </c>
    </row>
    <row r="586" s="24" customFormat="1" spans="1:6">
      <c r="A586" s="24" t="s">
        <v>142</v>
      </c>
      <c r="B586" s="24" t="str">
        <f>"300736"</f>
        <v>300736</v>
      </c>
      <c r="C586" s="24" t="s">
        <v>800</v>
      </c>
      <c r="D586" s="24" t="s">
        <v>193</v>
      </c>
      <c r="E586" s="24">
        <v>-50.6</v>
      </c>
      <c r="F586" s="24">
        <v>3.85</v>
      </c>
    </row>
    <row r="587" s="24" customFormat="1" spans="1:6">
      <c r="A587" s="24" t="s">
        <v>142</v>
      </c>
      <c r="B587" s="24" t="str">
        <f>"002723"</f>
        <v>002723</v>
      </c>
      <c r="C587" s="24" t="s">
        <v>801</v>
      </c>
      <c r="D587" s="24" t="s">
        <v>184</v>
      </c>
      <c r="E587" s="24">
        <v>-50.93</v>
      </c>
      <c r="F587" s="24">
        <v>2.68</v>
      </c>
    </row>
    <row r="588" s="24" customFormat="1" spans="1:6">
      <c r="A588" s="24" t="s">
        <v>140</v>
      </c>
      <c r="B588" s="24" t="str">
        <f>"603223"</f>
        <v>603223</v>
      </c>
      <c r="C588" s="24" t="s">
        <v>802</v>
      </c>
      <c r="D588" s="24" t="s">
        <v>177</v>
      </c>
      <c r="E588" s="24">
        <v>-51.79</v>
      </c>
      <c r="F588" s="24">
        <v>1.66</v>
      </c>
    </row>
    <row r="589" s="24" customFormat="1" spans="1:6">
      <c r="A589" s="24" t="s">
        <v>142</v>
      </c>
      <c r="B589" s="24" t="str">
        <f>"002042"</f>
        <v>002042</v>
      </c>
      <c r="C589" s="24" t="s">
        <v>803</v>
      </c>
      <c r="D589" s="24" t="s">
        <v>253</v>
      </c>
      <c r="E589" s="24">
        <v>-51.88</v>
      </c>
      <c r="F589" s="24">
        <v>1.56</v>
      </c>
    </row>
    <row r="590" s="24" customFormat="1" spans="1:6">
      <c r="A590" s="24" t="s">
        <v>140</v>
      </c>
      <c r="B590" s="24" t="str">
        <f>"600127"</f>
        <v>600127</v>
      </c>
      <c r="C590" s="24" t="s">
        <v>804</v>
      </c>
      <c r="D590" s="24" t="s">
        <v>145</v>
      </c>
      <c r="E590" s="24">
        <v>-52.14</v>
      </c>
      <c r="F590" s="24">
        <v>3.75</v>
      </c>
    </row>
    <row r="591" s="24" customFormat="1" spans="1:6">
      <c r="A591" s="24" t="s">
        <v>140</v>
      </c>
      <c r="B591" s="24" t="str">
        <f>"600936"</f>
        <v>600936</v>
      </c>
      <c r="C591" s="24" t="s">
        <v>805</v>
      </c>
      <c r="D591" s="24" t="s">
        <v>170</v>
      </c>
      <c r="E591" s="24">
        <v>-52.22</v>
      </c>
      <c r="F591" s="24">
        <v>1.62</v>
      </c>
    </row>
    <row r="592" s="24" customFormat="1" spans="1:6">
      <c r="A592" s="24" t="s">
        <v>142</v>
      </c>
      <c r="B592" s="24" t="str">
        <f>"300449"</f>
        <v>300449</v>
      </c>
      <c r="C592" s="24" t="s">
        <v>806</v>
      </c>
      <c r="D592" s="24" t="s">
        <v>152</v>
      </c>
      <c r="E592" s="24">
        <v>-52.4</v>
      </c>
      <c r="F592" s="24">
        <v>5.03</v>
      </c>
    </row>
    <row r="593" s="24" customFormat="1" spans="1:6">
      <c r="A593" s="24" t="s">
        <v>140</v>
      </c>
      <c r="B593" s="24" t="str">
        <f>"603329"</f>
        <v>603329</v>
      </c>
      <c r="C593" s="24" t="s">
        <v>807</v>
      </c>
      <c r="D593" s="24" t="s">
        <v>177</v>
      </c>
      <c r="E593" s="24">
        <v>-53.35</v>
      </c>
      <c r="F593" s="24">
        <v>2.21</v>
      </c>
    </row>
    <row r="594" s="24" customFormat="1" spans="1:6">
      <c r="A594" s="24" t="s">
        <v>140</v>
      </c>
      <c r="B594" s="24" t="str">
        <f>"603106"</f>
        <v>603106</v>
      </c>
      <c r="C594" s="24" t="s">
        <v>808</v>
      </c>
      <c r="D594" s="24" t="s">
        <v>352</v>
      </c>
      <c r="E594" s="24">
        <v>-53.38</v>
      </c>
      <c r="F594" s="24">
        <v>1.83</v>
      </c>
    </row>
    <row r="595" s="24" customFormat="1" spans="1:6">
      <c r="A595" s="24" t="s">
        <v>142</v>
      </c>
      <c r="B595" s="24" t="str">
        <f>"300105"</f>
        <v>300105</v>
      </c>
      <c r="C595" s="24" t="s">
        <v>809</v>
      </c>
      <c r="D595" s="24" t="s">
        <v>251</v>
      </c>
      <c r="E595" s="24">
        <v>-53.96</v>
      </c>
      <c r="F595" s="24">
        <v>1.1</v>
      </c>
    </row>
    <row r="596" s="24" customFormat="1" spans="1:6">
      <c r="A596" s="24" t="s">
        <v>142</v>
      </c>
      <c r="B596" s="24" t="str">
        <f>"300158"</f>
        <v>300158</v>
      </c>
      <c r="C596" s="24" t="s">
        <v>810</v>
      </c>
      <c r="D596" s="24" t="s">
        <v>464</v>
      </c>
      <c r="E596" s="24">
        <v>-54.16</v>
      </c>
      <c r="F596" s="24">
        <v>1.7</v>
      </c>
    </row>
    <row r="597" s="24" customFormat="1" spans="1:6">
      <c r="A597" s="24" t="s">
        <v>142</v>
      </c>
      <c r="B597" s="24" t="str">
        <f>"002134"</f>
        <v>002134</v>
      </c>
      <c r="C597" s="24" t="s">
        <v>811</v>
      </c>
      <c r="D597" s="24" t="s">
        <v>276</v>
      </c>
      <c r="E597" s="24">
        <v>-54.19</v>
      </c>
      <c r="F597" s="24">
        <v>6.01</v>
      </c>
    </row>
    <row r="598" s="24" customFormat="1" spans="1:6">
      <c r="A598" s="24" t="s">
        <v>140</v>
      </c>
      <c r="B598" s="24" t="str">
        <f>"600446"</f>
        <v>600446</v>
      </c>
      <c r="C598" s="24" t="s">
        <v>812</v>
      </c>
      <c r="D598" s="24" t="s">
        <v>813</v>
      </c>
      <c r="E598" s="24">
        <v>-54.38</v>
      </c>
      <c r="F598" s="24">
        <v>9.36</v>
      </c>
    </row>
    <row r="599" s="24" customFormat="1" spans="1:6">
      <c r="A599" s="24" t="s">
        <v>142</v>
      </c>
      <c r="B599" s="24" t="str">
        <f>"000800"</f>
        <v>000800</v>
      </c>
      <c r="C599" s="24" t="s">
        <v>814</v>
      </c>
      <c r="D599" s="24" t="s">
        <v>175</v>
      </c>
      <c r="E599" s="24">
        <v>-54.47</v>
      </c>
      <c r="F599" s="24">
        <v>2.11</v>
      </c>
    </row>
    <row r="600" s="24" customFormat="1" spans="1:6">
      <c r="A600" s="24" t="s">
        <v>142</v>
      </c>
      <c r="B600" s="24" t="str">
        <f>"000758"</f>
        <v>000758</v>
      </c>
      <c r="C600" s="24" t="s">
        <v>815</v>
      </c>
      <c r="D600" s="24" t="s">
        <v>167</v>
      </c>
      <c r="E600" s="24">
        <v>-54.73</v>
      </c>
      <c r="F600" s="24">
        <v>2.3</v>
      </c>
    </row>
    <row r="601" s="24" customFormat="1" spans="1:6">
      <c r="A601" s="24" t="s">
        <v>142</v>
      </c>
      <c r="B601" s="24" t="str">
        <f>"000721"</f>
        <v>000721</v>
      </c>
      <c r="C601" s="24" t="s">
        <v>816</v>
      </c>
      <c r="D601" s="24" t="s">
        <v>453</v>
      </c>
      <c r="E601" s="24">
        <v>-55.14</v>
      </c>
      <c r="F601" s="24">
        <v>2.82</v>
      </c>
    </row>
    <row r="602" s="24" customFormat="1" spans="1:6">
      <c r="A602" s="24" t="s">
        <v>140</v>
      </c>
      <c r="B602" s="24" t="str">
        <f>"600192"</f>
        <v>600192</v>
      </c>
      <c r="C602" s="24" t="s">
        <v>817</v>
      </c>
      <c r="D602" s="24" t="s">
        <v>251</v>
      </c>
      <c r="E602" s="24">
        <v>-55.15</v>
      </c>
      <c r="F602" s="24">
        <v>1.06</v>
      </c>
    </row>
    <row r="603" s="24" customFormat="1" spans="1:6">
      <c r="A603" s="24" t="s">
        <v>142</v>
      </c>
      <c r="B603" s="24" t="str">
        <f>"000955"</f>
        <v>000955</v>
      </c>
      <c r="C603" s="24" t="s">
        <v>818</v>
      </c>
      <c r="D603" s="24" t="s">
        <v>253</v>
      </c>
      <c r="E603" s="24">
        <v>-55.19</v>
      </c>
      <c r="F603" s="24">
        <v>8.62</v>
      </c>
    </row>
    <row r="604" s="24" customFormat="1" spans="1:6">
      <c r="A604" s="24" t="s">
        <v>140</v>
      </c>
      <c r="B604" s="24" t="str">
        <f>"600237"</f>
        <v>600237</v>
      </c>
      <c r="C604" s="24" t="s">
        <v>819</v>
      </c>
      <c r="D604" s="24" t="s">
        <v>152</v>
      </c>
      <c r="E604" s="24">
        <v>-55.29</v>
      </c>
      <c r="F604" s="24">
        <v>1.47</v>
      </c>
    </row>
    <row r="605" s="24" customFormat="1" spans="1:6">
      <c r="A605" s="24" t="s">
        <v>140</v>
      </c>
      <c r="B605" s="24" t="str">
        <f>"600671"</f>
        <v>600671</v>
      </c>
      <c r="C605" s="24" t="s">
        <v>820</v>
      </c>
      <c r="D605" s="24" t="s">
        <v>464</v>
      </c>
      <c r="E605" s="24">
        <v>-55.47</v>
      </c>
      <c r="F605" s="24">
        <v>37.68</v>
      </c>
    </row>
    <row r="606" s="24" customFormat="1" spans="1:6">
      <c r="A606" s="24" t="s">
        <v>142</v>
      </c>
      <c r="B606" s="24" t="str">
        <f>"300159"</f>
        <v>300159</v>
      </c>
      <c r="C606" s="24" t="s">
        <v>821</v>
      </c>
      <c r="D606" s="24" t="s">
        <v>395</v>
      </c>
      <c r="E606" s="24">
        <v>-55.94</v>
      </c>
      <c r="F606" s="24">
        <v>1.3</v>
      </c>
    </row>
    <row r="607" s="24" customFormat="1" spans="1:6">
      <c r="A607" s="24" t="s">
        <v>142</v>
      </c>
      <c r="B607" s="24" t="str">
        <f>"300708"</f>
        <v>300708</v>
      </c>
      <c r="C607" s="24" t="s">
        <v>822</v>
      </c>
      <c r="D607" s="24" t="s">
        <v>230</v>
      </c>
      <c r="E607" s="24">
        <v>-56.99</v>
      </c>
      <c r="F607" s="24">
        <v>4.67</v>
      </c>
    </row>
    <row r="608" s="24" customFormat="1" spans="1:6">
      <c r="A608" s="24" t="s">
        <v>142</v>
      </c>
      <c r="B608" s="24" t="str">
        <f>"000570"</f>
        <v>000570</v>
      </c>
      <c r="C608" s="24" t="s">
        <v>823</v>
      </c>
      <c r="D608" s="24" t="s">
        <v>165</v>
      </c>
      <c r="E608" s="24">
        <v>-57.13</v>
      </c>
      <c r="F608" s="24">
        <v>1.1</v>
      </c>
    </row>
    <row r="609" s="24" customFormat="1" spans="1:6">
      <c r="A609" s="24" t="s">
        <v>142</v>
      </c>
      <c r="B609" s="24" t="str">
        <f>"300022"</f>
        <v>300022</v>
      </c>
      <c r="C609" s="24" t="s">
        <v>824</v>
      </c>
      <c r="D609" s="24" t="s">
        <v>207</v>
      </c>
      <c r="E609" s="24">
        <v>-57.72</v>
      </c>
      <c r="F609" s="24">
        <v>21.49</v>
      </c>
    </row>
    <row r="610" s="24" customFormat="1" spans="1:6">
      <c r="A610" s="24" t="s">
        <v>142</v>
      </c>
      <c r="B610" s="24" t="str">
        <f>"300134"</f>
        <v>300134</v>
      </c>
      <c r="C610" s="24" t="s">
        <v>825</v>
      </c>
      <c r="D610" s="24" t="s">
        <v>193</v>
      </c>
      <c r="E610" s="24">
        <v>-57.95</v>
      </c>
      <c r="F610" s="24">
        <v>1.98</v>
      </c>
    </row>
    <row r="611" s="24" customFormat="1" spans="1:6">
      <c r="A611" s="24" t="s">
        <v>140</v>
      </c>
      <c r="B611" s="24" t="str">
        <f>"600189"</f>
        <v>600189</v>
      </c>
      <c r="C611" s="24" t="s">
        <v>826</v>
      </c>
      <c r="D611" s="24" t="s">
        <v>509</v>
      </c>
      <c r="E611" s="24">
        <v>-58.55</v>
      </c>
      <c r="F611" s="24">
        <v>0.89</v>
      </c>
    </row>
    <row r="612" s="24" customFormat="1" spans="1:6">
      <c r="A612" s="24" t="s">
        <v>142</v>
      </c>
      <c r="B612" s="24" t="str">
        <f>"002177"</f>
        <v>002177</v>
      </c>
      <c r="C612" s="24" t="s">
        <v>827</v>
      </c>
      <c r="D612" s="24" t="s">
        <v>173</v>
      </c>
      <c r="E612" s="24">
        <v>-59.2</v>
      </c>
      <c r="F612" s="24">
        <v>2.3</v>
      </c>
    </row>
    <row r="613" s="24" customFormat="1" spans="1:6">
      <c r="A613" s="24" t="s">
        <v>142</v>
      </c>
      <c r="B613" s="24" t="str">
        <f>"300489"</f>
        <v>300489</v>
      </c>
      <c r="C613" s="24" t="s">
        <v>828</v>
      </c>
      <c r="D613" s="24" t="s">
        <v>167</v>
      </c>
      <c r="E613" s="24">
        <v>-60.33</v>
      </c>
      <c r="F613" s="24">
        <v>4.74</v>
      </c>
    </row>
    <row r="614" s="24" customFormat="1" spans="1:6">
      <c r="A614" s="24" t="s">
        <v>142</v>
      </c>
      <c r="B614" s="24" t="str">
        <f>"000045"</f>
        <v>000045</v>
      </c>
      <c r="C614" s="24" t="s">
        <v>829</v>
      </c>
      <c r="D614" s="24" t="s">
        <v>230</v>
      </c>
      <c r="E614" s="24">
        <v>-60.72</v>
      </c>
      <c r="F614" s="24">
        <v>1.38</v>
      </c>
    </row>
    <row r="615" s="24" customFormat="1" spans="1:6">
      <c r="A615" s="24" t="s">
        <v>142</v>
      </c>
      <c r="B615" s="24" t="str">
        <f>"002707"</f>
        <v>002707</v>
      </c>
      <c r="C615" s="24" t="s">
        <v>830</v>
      </c>
      <c r="D615" s="24" t="s">
        <v>453</v>
      </c>
      <c r="E615" s="24">
        <v>-60.84</v>
      </c>
      <c r="F615" s="24">
        <v>3</v>
      </c>
    </row>
    <row r="616" s="24" customFormat="1" spans="1:6">
      <c r="A616" s="24" t="s">
        <v>142</v>
      </c>
      <c r="B616" s="24" t="str">
        <f>"002118"</f>
        <v>002118</v>
      </c>
      <c r="C616" s="24" t="s">
        <v>831</v>
      </c>
      <c r="D616" s="24" t="s">
        <v>388</v>
      </c>
      <c r="E616" s="24">
        <v>-60.99</v>
      </c>
      <c r="F616" s="24">
        <v>1.79</v>
      </c>
    </row>
    <row r="617" s="24" customFormat="1" spans="1:6">
      <c r="A617" s="24" t="s">
        <v>142</v>
      </c>
      <c r="B617" s="24" t="str">
        <f>"002903"</f>
        <v>002903</v>
      </c>
      <c r="C617" s="24" t="s">
        <v>832</v>
      </c>
      <c r="D617" s="24" t="s">
        <v>165</v>
      </c>
      <c r="E617" s="24">
        <v>-61.11</v>
      </c>
      <c r="F617" s="24">
        <v>3.26</v>
      </c>
    </row>
    <row r="618" s="24" customFormat="1" spans="1:6">
      <c r="A618" s="24" t="s">
        <v>142</v>
      </c>
      <c r="B618" s="24" t="str">
        <f>"300355"</f>
        <v>300355</v>
      </c>
      <c r="C618" s="24" t="s">
        <v>833</v>
      </c>
      <c r="D618" s="24" t="s">
        <v>315</v>
      </c>
      <c r="E618" s="24">
        <v>-61.21</v>
      </c>
      <c r="F618" s="24">
        <v>1.37</v>
      </c>
    </row>
    <row r="619" s="24" customFormat="1" spans="1:6">
      <c r="A619" s="24" t="s">
        <v>140</v>
      </c>
      <c r="B619" s="24" t="str">
        <f>"600246"</f>
        <v>600246</v>
      </c>
      <c r="C619" s="24" t="s">
        <v>834</v>
      </c>
      <c r="D619" s="24" t="s">
        <v>244</v>
      </c>
      <c r="E619" s="24">
        <v>-61.23</v>
      </c>
      <c r="F619" s="24">
        <v>1.53</v>
      </c>
    </row>
    <row r="620" s="24" customFormat="1" spans="1:6">
      <c r="A620" s="24" t="s">
        <v>142</v>
      </c>
      <c r="B620" s="24" t="str">
        <f>"000608"</f>
        <v>000608</v>
      </c>
      <c r="C620" s="24" t="s">
        <v>835</v>
      </c>
      <c r="D620" s="24" t="s">
        <v>244</v>
      </c>
      <c r="E620" s="24">
        <v>-61.31</v>
      </c>
      <c r="F620" s="24">
        <v>1.15</v>
      </c>
    </row>
    <row r="621" s="24" customFormat="1" spans="1:6">
      <c r="A621" s="24" t="s">
        <v>140</v>
      </c>
      <c r="B621" s="24" t="str">
        <f>"603399"</f>
        <v>603399</v>
      </c>
      <c r="C621" s="24" t="s">
        <v>836</v>
      </c>
      <c r="D621" s="24" t="s">
        <v>167</v>
      </c>
      <c r="E621" s="24">
        <v>-61.51</v>
      </c>
      <c r="F621" s="24">
        <v>2.07</v>
      </c>
    </row>
    <row r="622" s="24" customFormat="1" spans="1:6">
      <c r="A622" s="24" t="s">
        <v>142</v>
      </c>
      <c r="B622" s="24" t="str">
        <f>"000616"</f>
        <v>000616</v>
      </c>
      <c r="C622" s="24" t="s">
        <v>837</v>
      </c>
      <c r="D622" s="24" t="s">
        <v>244</v>
      </c>
      <c r="E622" s="24">
        <v>-62.23</v>
      </c>
      <c r="F622" s="24">
        <v>0.73</v>
      </c>
    </row>
    <row r="623" s="24" customFormat="1" spans="1:6">
      <c r="A623" s="24" t="s">
        <v>142</v>
      </c>
      <c r="B623" s="24" t="str">
        <f>"002689"</f>
        <v>002689</v>
      </c>
      <c r="C623" s="24" t="s">
        <v>838</v>
      </c>
      <c r="D623" s="24" t="s">
        <v>293</v>
      </c>
      <c r="E623" s="24">
        <v>-62.46</v>
      </c>
      <c r="F623" s="24">
        <v>2.37</v>
      </c>
    </row>
    <row r="624" s="24" customFormat="1" spans="1:6">
      <c r="A624" s="24" t="s">
        <v>142</v>
      </c>
      <c r="B624" s="24" t="str">
        <f>"300353"</f>
        <v>300353</v>
      </c>
      <c r="C624" s="24" t="s">
        <v>839</v>
      </c>
      <c r="D624" s="24" t="s">
        <v>193</v>
      </c>
      <c r="E624" s="24">
        <v>-62.54</v>
      </c>
      <c r="F624" s="24">
        <v>6.13</v>
      </c>
    </row>
    <row r="625" s="24" customFormat="1" spans="1:6">
      <c r="A625" s="24" t="s">
        <v>142</v>
      </c>
      <c r="B625" s="24" t="str">
        <f>"002181"</f>
        <v>002181</v>
      </c>
      <c r="C625" s="24" t="s">
        <v>840</v>
      </c>
      <c r="D625" s="24" t="s">
        <v>170</v>
      </c>
      <c r="E625" s="24">
        <v>-62.61</v>
      </c>
      <c r="F625" s="24">
        <v>1.46</v>
      </c>
    </row>
    <row r="626" s="24" customFormat="1" spans="1:6">
      <c r="A626" s="24" t="s">
        <v>142</v>
      </c>
      <c r="B626" s="24" t="str">
        <f>"300086"</f>
        <v>300086</v>
      </c>
      <c r="C626" s="24" t="s">
        <v>841</v>
      </c>
      <c r="D626" s="24" t="s">
        <v>464</v>
      </c>
      <c r="E626" s="24">
        <v>-62.94</v>
      </c>
      <c r="F626" s="24">
        <v>2.09</v>
      </c>
    </row>
    <row r="627" s="24" customFormat="1" spans="1:6">
      <c r="A627" s="24" t="s">
        <v>140</v>
      </c>
      <c r="B627" s="24" t="str">
        <f>"600480"</f>
        <v>600480</v>
      </c>
      <c r="C627" s="24" t="s">
        <v>842</v>
      </c>
      <c r="D627" s="24" t="s">
        <v>204</v>
      </c>
      <c r="E627" s="24">
        <v>-63.01</v>
      </c>
      <c r="F627" s="24">
        <v>1.16</v>
      </c>
    </row>
    <row r="628" s="24" customFormat="1" spans="1:6">
      <c r="A628" s="24" t="s">
        <v>142</v>
      </c>
      <c r="B628" s="24" t="str">
        <f>"300713"</f>
        <v>300713</v>
      </c>
      <c r="C628" s="24" t="s">
        <v>843</v>
      </c>
      <c r="D628" s="24" t="s">
        <v>251</v>
      </c>
      <c r="E628" s="24">
        <v>-63.27</v>
      </c>
      <c r="F628" s="24">
        <v>2.51</v>
      </c>
    </row>
    <row r="629" s="24" customFormat="1" spans="1:6">
      <c r="A629" s="24" t="s">
        <v>142</v>
      </c>
      <c r="B629" s="24" t="str">
        <f>"300133"</f>
        <v>300133</v>
      </c>
      <c r="C629" s="24" t="s">
        <v>844</v>
      </c>
      <c r="D629" s="24" t="s">
        <v>170</v>
      </c>
      <c r="E629" s="24">
        <v>-63.33</v>
      </c>
      <c r="F629" s="24">
        <v>2.84</v>
      </c>
    </row>
    <row r="630" s="24" customFormat="1" spans="1:6">
      <c r="A630" s="24" t="s">
        <v>142</v>
      </c>
      <c r="B630" s="24" t="str">
        <f>"002167"</f>
        <v>002167</v>
      </c>
      <c r="C630" s="24" t="s">
        <v>845</v>
      </c>
      <c r="D630" s="24" t="s">
        <v>167</v>
      </c>
      <c r="E630" s="24">
        <v>-63.41</v>
      </c>
      <c r="F630" s="24">
        <v>3.45</v>
      </c>
    </row>
    <row r="631" s="24" customFormat="1" spans="1:6">
      <c r="A631" s="24" t="s">
        <v>142</v>
      </c>
      <c r="B631" s="24" t="str">
        <f>"000821"</f>
        <v>000821</v>
      </c>
      <c r="C631" s="24" t="s">
        <v>846</v>
      </c>
      <c r="D631" s="24" t="s">
        <v>173</v>
      </c>
      <c r="E631" s="24">
        <v>-63.65</v>
      </c>
      <c r="F631" s="24">
        <v>2.13</v>
      </c>
    </row>
    <row r="632" s="24" customFormat="1" spans="1:6">
      <c r="A632" s="24" t="s">
        <v>140</v>
      </c>
      <c r="B632" s="24" t="str">
        <f>"600072"</f>
        <v>600072</v>
      </c>
      <c r="C632" s="24" t="s">
        <v>847</v>
      </c>
      <c r="D632" s="24" t="s">
        <v>173</v>
      </c>
      <c r="E632" s="24">
        <v>-63.76</v>
      </c>
      <c r="F632" s="24">
        <v>2.34</v>
      </c>
    </row>
    <row r="633" s="24" customFormat="1" spans="1:6">
      <c r="A633" s="24" t="s">
        <v>140</v>
      </c>
      <c r="B633" s="24" t="str">
        <f>"600770"</f>
        <v>600770</v>
      </c>
      <c r="C633" s="24" t="s">
        <v>848</v>
      </c>
      <c r="D633" s="24" t="s">
        <v>276</v>
      </c>
      <c r="E633" s="24">
        <v>-63.8</v>
      </c>
      <c r="F633" s="24">
        <v>1.99</v>
      </c>
    </row>
    <row r="634" s="24" customFormat="1" spans="1:6">
      <c r="A634" s="24" t="s">
        <v>142</v>
      </c>
      <c r="B634" s="24" t="str">
        <f>"002161"</f>
        <v>002161</v>
      </c>
      <c r="C634" s="24" t="s">
        <v>849</v>
      </c>
      <c r="D634" s="24" t="s">
        <v>152</v>
      </c>
      <c r="E634" s="24">
        <v>-64.22</v>
      </c>
      <c r="F634" s="24">
        <v>4.11</v>
      </c>
    </row>
    <row r="635" s="24" customFormat="1" spans="1:6">
      <c r="A635" s="24" t="s">
        <v>142</v>
      </c>
      <c r="B635" s="24" t="str">
        <f>"002383"</f>
        <v>002383</v>
      </c>
      <c r="C635" s="24" t="s">
        <v>850</v>
      </c>
      <c r="D635" s="24" t="s">
        <v>193</v>
      </c>
      <c r="E635" s="24">
        <v>-65.07</v>
      </c>
      <c r="F635" s="24">
        <v>3.07</v>
      </c>
    </row>
    <row r="636" s="24" customFormat="1" spans="1:6">
      <c r="A636" s="24" t="s">
        <v>140</v>
      </c>
      <c r="B636" s="24" t="str">
        <f>"603322"</f>
        <v>603322</v>
      </c>
      <c r="C636" s="24" t="s">
        <v>851</v>
      </c>
      <c r="D636" s="24" t="s">
        <v>179</v>
      </c>
      <c r="E636" s="24">
        <v>-65.24</v>
      </c>
      <c r="F636" s="24">
        <v>11.46</v>
      </c>
    </row>
    <row r="637" s="24" customFormat="1" spans="1:6">
      <c r="A637" s="24" t="s">
        <v>142</v>
      </c>
      <c r="B637" s="24" t="str">
        <f>"300336"</f>
        <v>300336</v>
      </c>
      <c r="C637" s="24" t="s">
        <v>852</v>
      </c>
      <c r="D637" s="24" t="s">
        <v>170</v>
      </c>
      <c r="E637" s="24">
        <v>-65.45</v>
      </c>
      <c r="F637" s="24">
        <v>2.12</v>
      </c>
    </row>
    <row r="638" s="24" customFormat="1" spans="1:6">
      <c r="A638" s="24" t="s">
        <v>140</v>
      </c>
      <c r="B638" s="24" t="str">
        <f>"600854"</f>
        <v>600854</v>
      </c>
      <c r="C638" s="24" t="s">
        <v>853</v>
      </c>
      <c r="D638" s="24" t="s">
        <v>184</v>
      </c>
      <c r="E638" s="24">
        <v>-65.51</v>
      </c>
      <c r="F638" s="24">
        <v>0.86</v>
      </c>
    </row>
    <row r="639" s="24" customFormat="1" spans="1:6">
      <c r="A639" s="24" t="s">
        <v>140</v>
      </c>
      <c r="B639" s="24" t="str">
        <f>"600463"</f>
        <v>600463</v>
      </c>
      <c r="C639" s="24" t="s">
        <v>854</v>
      </c>
      <c r="D639" s="24" t="s">
        <v>315</v>
      </c>
      <c r="E639" s="24">
        <v>-65.54</v>
      </c>
      <c r="F639" s="24">
        <v>1.32</v>
      </c>
    </row>
    <row r="640" s="24" customFormat="1" spans="1:6">
      <c r="A640" s="24" t="s">
        <v>142</v>
      </c>
      <c r="B640" s="24" t="str">
        <f>"000503"</f>
        <v>000503</v>
      </c>
      <c r="C640" s="24" t="s">
        <v>855</v>
      </c>
      <c r="D640" s="24" t="s">
        <v>163</v>
      </c>
      <c r="E640" s="24">
        <v>-65.96</v>
      </c>
      <c r="F640" s="24">
        <v>12.68</v>
      </c>
    </row>
    <row r="641" s="24" customFormat="1" spans="1:6">
      <c r="A641" s="24" t="s">
        <v>140</v>
      </c>
      <c r="B641" s="24" t="str">
        <f>"600275"</f>
        <v>600275</v>
      </c>
      <c r="C641" s="24" t="s">
        <v>856</v>
      </c>
      <c r="D641" s="24" t="s">
        <v>145</v>
      </c>
      <c r="E641" s="24">
        <v>-66.07</v>
      </c>
      <c r="F641" s="24">
        <v>7.27</v>
      </c>
    </row>
    <row r="642" s="24" customFormat="1" spans="1:6">
      <c r="A642" s="24" t="s">
        <v>142</v>
      </c>
      <c r="B642" s="24" t="str">
        <f>"002524"</f>
        <v>002524</v>
      </c>
      <c r="C642" s="24" t="s">
        <v>857</v>
      </c>
      <c r="D642" s="24" t="s">
        <v>195</v>
      </c>
      <c r="E642" s="24">
        <v>-66.09</v>
      </c>
      <c r="F642" s="24">
        <v>12.41</v>
      </c>
    </row>
    <row r="643" s="24" customFormat="1" spans="1:6">
      <c r="A643" s="24" t="s">
        <v>140</v>
      </c>
      <c r="B643" s="24" t="str">
        <f>"600333"</f>
        <v>600333</v>
      </c>
      <c r="C643" s="24" t="s">
        <v>858</v>
      </c>
      <c r="D643" s="24" t="s">
        <v>246</v>
      </c>
      <c r="E643" s="24">
        <v>-66.49</v>
      </c>
      <c r="F643" s="24">
        <v>1.36</v>
      </c>
    </row>
    <row r="644" s="24" customFormat="1" spans="1:6">
      <c r="A644" s="24" t="s">
        <v>142</v>
      </c>
      <c r="B644" s="24" t="str">
        <f>"000516"</f>
        <v>000516</v>
      </c>
      <c r="C644" s="24" t="s">
        <v>859</v>
      </c>
      <c r="D644" s="24" t="s">
        <v>148</v>
      </c>
      <c r="E644" s="24">
        <v>-66.56</v>
      </c>
      <c r="F644" s="24">
        <v>1.73</v>
      </c>
    </row>
    <row r="645" s="24" customFormat="1" spans="1:6">
      <c r="A645" s="24" t="s">
        <v>142</v>
      </c>
      <c r="B645" s="24" t="str">
        <f>"300064"</f>
        <v>300064</v>
      </c>
      <c r="C645" s="24" t="s">
        <v>860</v>
      </c>
      <c r="D645" s="24" t="s">
        <v>644</v>
      </c>
      <c r="E645" s="24">
        <v>-67.14</v>
      </c>
      <c r="F645" s="24">
        <v>0.5</v>
      </c>
    </row>
    <row r="646" s="24" customFormat="1" spans="1:6">
      <c r="A646" s="24" t="s">
        <v>140</v>
      </c>
      <c r="B646" s="24" t="str">
        <f>"600503"</f>
        <v>600503</v>
      </c>
      <c r="C646" s="24" t="s">
        <v>861</v>
      </c>
      <c r="D646" s="24" t="s">
        <v>244</v>
      </c>
      <c r="E646" s="24">
        <v>-67.27</v>
      </c>
      <c r="F646" s="24">
        <v>1.35</v>
      </c>
    </row>
    <row r="647" s="24" customFormat="1" spans="1:6">
      <c r="A647" s="24" t="s">
        <v>140</v>
      </c>
      <c r="B647" s="24" t="str">
        <f>"603778"</f>
        <v>603778</v>
      </c>
      <c r="C647" s="24" t="s">
        <v>862</v>
      </c>
      <c r="D647" s="24" t="s">
        <v>315</v>
      </c>
      <c r="E647" s="24">
        <v>-67.79</v>
      </c>
      <c r="F647" s="24">
        <v>1.76</v>
      </c>
    </row>
    <row r="648" s="24" customFormat="1" spans="1:6">
      <c r="A648" s="24" t="s">
        <v>140</v>
      </c>
      <c r="B648" s="24" t="str">
        <f>"688266"</f>
        <v>688266</v>
      </c>
      <c r="C648" s="24" t="s">
        <v>863</v>
      </c>
      <c r="D648" s="24"/>
      <c r="E648" s="24">
        <v>-67.85</v>
      </c>
      <c r="F648" s="24">
        <v>8.1</v>
      </c>
    </row>
    <row r="649" s="24" customFormat="1" spans="1:6">
      <c r="A649" s="24" t="s">
        <v>140</v>
      </c>
      <c r="B649" s="24" t="str">
        <f>"600800"</f>
        <v>600800</v>
      </c>
      <c r="C649" s="24" t="s">
        <v>864</v>
      </c>
      <c r="D649" s="24" t="s">
        <v>152</v>
      </c>
      <c r="E649" s="24">
        <v>-68.12</v>
      </c>
      <c r="F649" s="24">
        <v>2.43</v>
      </c>
    </row>
    <row r="650" s="24" customFormat="1" spans="1:6">
      <c r="A650" s="24" t="s">
        <v>142</v>
      </c>
      <c r="B650" s="24" t="str">
        <f>"002190"</f>
        <v>002190</v>
      </c>
      <c r="C650" s="24" t="s">
        <v>865</v>
      </c>
      <c r="D650" s="24" t="s">
        <v>204</v>
      </c>
      <c r="E650" s="24">
        <v>-68.36</v>
      </c>
      <c r="F650" s="24">
        <v>3.58</v>
      </c>
    </row>
    <row r="651" s="24" customFormat="1" spans="1:6">
      <c r="A651" s="24" t="s">
        <v>140</v>
      </c>
      <c r="B651" s="24" t="str">
        <f>"600096"</f>
        <v>600096</v>
      </c>
      <c r="C651" s="24" t="s">
        <v>866</v>
      </c>
      <c r="D651" s="24" t="s">
        <v>278</v>
      </c>
      <c r="E651" s="24">
        <v>-68.42</v>
      </c>
      <c r="F651" s="24">
        <v>1.69</v>
      </c>
    </row>
    <row r="652" s="24" customFormat="1" spans="1:6">
      <c r="A652" s="24" t="s">
        <v>142</v>
      </c>
      <c r="B652" s="24" t="str">
        <f>"000711"</f>
        <v>000711</v>
      </c>
      <c r="C652" s="24" t="s">
        <v>867</v>
      </c>
      <c r="D652" s="24" t="s">
        <v>214</v>
      </c>
      <c r="E652" s="24">
        <v>-68.67</v>
      </c>
      <c r="F652" s="24">
        <v>1.41</v>
      </c>
    </row>
    <row r="653" s="24" customFormat="1" spans="1:6">
      <c r="A653" s="24" t="s">
        <v>140</v>
      </c>
      <c r="B653" s="24" t="str">
        <f>"603818"</f>
        <v>603818</v>
      </c>
      <c r="C653" s="24" t="s">
        <v>868</v>
      </c>
      <c r="D653" s="24" t="s">
        <v>200</v>
      </c>
      <c r="E653" s="24">
        <v>-68.89</v>
      </c>
      <c r="F653" s="24">
        <v>15.12</v>
      </c>
    </row>
    <row r="654" s="24" customFormat="1" spans="1:6">
      <c r="A654" s="24" t="s">
        <v>140</v>
      </c>
      <c r="B654" s="24" t="str">
        <f>"600877"</f>
        <v>600877</v>
      </c>
      <c r="C654" s="24" t="s">
        <v>869</v>
      </c>
      <c r="D654" s="24" t="s">
        <v>251</v>
      </c>
      <c r="E654" s="24">
        <v>-69</v>
      </c>
      <c r="F654" s="24">
        <v>23.68</v>
      </c>
    </row>
    <row r="655" s="24" customFormat="1" spans="1:6">
      <c r="A655" s="24" t="s">
        <v>142</v>
      </c>
      <c r="B655" s="24" t="str">
        <f>"002577"</f>
        <v>002577</v>
      </c>
      <c r="C655" s="24" t="s">
        <v>870</v>
      </c>
      <c r="D655" s="24" t="s">
        <v>352</v>
      </c>
      <c r="E655" s="24">
        <v>-69.17</v>
      </c>
      <c r="F655" s="24">
        <v>2.61</v>
      </c>
    </row>
    <row r="656" s="24" customFormat="1" spans="1:6">
      <c r="A656" s="24" t="s">
        <v>140</v>
      </c>
      <c r="B656" s="24" t="str">
        <f>"601989"</f>
        <v>601989</v>
      </c>
      <c r="C656" s="24" t="s">
        <v>871</v>
      </c>
      <c r="D656" s="24" t="s">
        <v>173</v>
      </c>
      <c r="E656" s="24">
        <v>-69.33</v>
      </c>
      <c r="F656" s="24">
        <v>1.19</v>
      </c>
    </row>
    <row r="657" s="24" customFormat="1" spans="1:6">
      <c r="A657" s="24" t="s">
        <v>140</v>
      </c>
      <c r="B657" s="24" t="str">
        <f>"601616"</f>
        <v>601616</v>
      </c>
      <c r="C657" s="24" t="s">
        <v>872</v>
      </c>
      <c r="D657" s="24" t="s">
        <v>251</v>
      </c>
      <c r="E657" s="24">
        <v>-69.42</v>
      </c>
      <c r="F657" s="24">
        <v>1.04</v>
      </c>
    </row>
    <row r="658" s="24" customFormat="1" spans="1:6">
      <c r="A658" s="24" t="s">
        <v>142</v>
      </c>
      <c r="B658" s="24" t="str">
        <f>"002703"</f>
        <v>002703</v>
      </c>
      <c r="C658" s="24" t="s">
        <v>873</v>
      </c>
      <c r="D658" s="24" t="s">
        <v>204</v>
      </c>
      <c r="E658" s="24">
        <v>-69.7</v>
      </c>
      <c r="F658" s="24">
        <v>2.37</v>
      </c>
    </row>
    <row r="659" s="24" customFormat="1" spans="1:6">
      <c r="A659" s="24" t="s">
        <v>142</v>
      </c>
      <c r="B659" s="24" t="str">
        <f>"000504"</f>
        <v>000504</v>
      </c>
      <c r="C659" s="24" t="s">
        <v>874</v>
      </c>
      <c r="D659" s="24" t="s">
        <v>214</v>
      </c>
      <c r="E659" s="24">
        <v>-70.01</v>
      </c>
      <c r="F659" s="24">
        <v>-27.67</v>
      </c>
    </row>
    <row r="660" s="24" customFormat="1" spans="1:6">
      <c r="A660" s="24" t="s">
        <v>140</v>
      </c>
      <c r="B660" s="24" t="str">
        <f>"603789"</f>
        <v>603789</v>
      </c>
      <c r="C660" s="24" t="s">
        <v>875</v>
      </c>
      <c r="D660" s="24" t="s">
        <v>173</v>
      </c>
      <c r="E660" s="24">
        <v>-70.28</v>
      </c>
      <c r="F660" s="24">
        <v>3.98</v>
      </c>
    </row>
    <row r="661" s="24" customFormat="1" spans="1:6">
      <c r="A661" s="24" t="s">
        <v>142</v>
      </c>
      <c r="B661" s="24" t="str">
        <f>"002312"</f>
        <v>002312</v>
      </c>
      <c r="C661" s="24" t="s">
        <v>876</v>
      </c>
      <c r="D661" s="24" t="s">
        <v>159</v>
      </c>
      <c r="E661" s="24">
        <v>-70.7</v>
      </c>
      <c r="F661" s="24">
        <v>2.27</v>
      </c>
    </row>
    <row r="662" s="24" customFormat="1" spans="1:6">
      <c r="A662" s="24" t="s">
        <v>142</v>
      </c>
      <c r="B662" s="24" t="str">
        <f>"002433"</f>
        <v>002433</v>
      </c>
      <c r="C662" s="24" t="s">
        <v>877</v>
      </c>
      <c r="D662" s="24" t="s">
        <v>388</v>
      </c>
      <c r="E662" s="24">
        <v>-71</v>
      </c>
      <c r="F662" s="24">
        <v>0.81</v>
      </c>
    </row>
    <row r="663" s="24" customFormat="1" spans="1:6">
      <c r="A663" s="24" t="s">
        <v>142</v>
      </c>
      <c r="B663" s="24" t="str">
        <f>"000850"</f>
        <v>000850</v>
      </c>
      <c r="C663" s="24" t="s">
        <v>878</v>
      </c>
      <c r="D663" s="24" t="s">
        <v>253</v>
      </c>
      <c r="E663" s="24">
        <v>-71.69</v>
      </c>
      <c r="F663" s="24">
        <v>0.91</v>
      </c>
    </row>
    <row r="664" s="24" customFormat="1" spans="1:6">
      <c r="A664" s="24" t="s">
        <v>140</v>
      </c>
      <c r="B664" s="24" t="str">
        <f>"600316"</f>
        <v>600316</v>
      </c>
      <c r="C664" s="24" t="s">
        <v>879</v>
      </c>
      <c r="D664" s="24" t="s">
        <v>395</v>
      </c>
      <c r="E664" s="24">
        <v>-72.31</v>
      </c>
      <c r="F664" s="24">
        <v>1.9</v>
      </c>
    </row>
    <row r="665" s="24" customFormat="1" spans="1:6">
      <c r="A665" s="24" t="s">
        <v>142</v>
      </c>
      <c r="B665" s="24" t="str">
        <f>"002470"</f>
        <v>002470</v>
      </c>
      <c r="C665" s="24" t="s">
        <v>880</v>
      </c>
      <c r="D665" s="24" t="s">
        <v>278</v>
      </c>
      <c r="E665" s="24">
        <v>-72.4</v>
      </c>
      <c r="F665" s="24">
        <v>0.84</v>
      </c>
    </row>
    <row r="666" s="24" customFormat="1" spans="1:6">
      <c r="A666" s="24" t="s">
        <v>142</v>
      </c>
      <c r="B666" s="24" t="str">
        <f>"300108"</f>
        <v>300108</v>
      </c>
      <c r="C666" s="24" t="s">
        <v>881</v>
      </c>
      <c r="D666" s="24" t="s">
        <v>464</v>
      </c>
      <c r="E666" s="24">
        <v>-72.89</v>
      </c>
      <c r="F666" s="24">
        <v>1.85</v>
      </c>
    </row>
    <row r="667" s="24" customFormat="1" spans="1:6">
      <c r="A667" s="24" t="s">
        <v>140</v>
      </c>
      <c r="B667" s="24" t="str">
        <f>"600259"</f>
        <v>600259</v>
      </c>
      <c r="C667" s="24" t="s">
        <v>882</v>
      </c>
      <c r="D667" s="24" t="s">
        <v>167</v>
      </c>
      <c r="E667" s="24">
        <v>-73.35</v>
      </c>
      <c r="F667" s="24">
        <v>5.27</v>
      </c>
    </row>
    <row r="668" s="24" customFormat="1" spans="1:6">
      <c r="A668" s="24" t="s">
        <v>142</v>
      </c>
      <c r="B668" s="24" t="str">
        <f>"000798"</f>
        <v>000798</v>
      </c>
      <c r="C668" s="24" t="s">
        <v>883</v>
      </c>
      <c r="D668" s="24" t="s">
        <v>145</v>
      </c>
      <c r="E668" s="24">
        <v>-73.61</v>
      </c>
      <c r="F668" s="24">
        <v>2.32</v>
      </c>
    </row>
    <row r="669" s="24" customFormat="1" spans="1:6">
      <c r="A669" s="24" t="s">
        <v>142</v>
      </c>
      <c r="B669" s="24" t="str">
        <f>"002562"</f>
        <v>002562</v>
      </c>
      <c r="C669" s="24" t="s">
        <v>884</v>
      </c>
      <c r="D669" s="24" t="s">
        <v>228</v>
      </c>
      <c r="E669" s="24">
        <v>-73.68</v>
      </c>
      <c r="F669" s="24">
        <v>2.08</v>
      </c>
    </row>
    <row r="670" s="24" customFormat="1" spans="1:6">
      <c r="A670" s="24" t="s">
        <v>142</v>
      </c>
      <c r="B670" s="24" t="str">
        <f>"002490"</f>
        <v>002490</v>
      </c>
      <c r="C670" s="24" t="s">
        <v>885</v>
      </c>
      <c r="D670" s="24" t="s">
        <v>377</v>
      </c>
      <c r="E670" s="24">
        <v>-73.96</v>
      </c>
      <c r="F670" s="24">
        <v>1.36</v>
      </c>
    </row>
    <row r="671" s="24" customFormat="1" spans="1:6">
      <c r="A671" s="24" t="s">
        <v>140</v>
      </c>
      <c r="B671" s="24" t="str">
        <f>"600199"</f>
        <v>600199</v>
      </c>
      <c r="C671" s="24" t="s">
        <v>886</v>
      </c>
      <c r="D671" s="24" t="s">
        <v>309</v>
      </c>
      <c r="E671" s="24">
        <v>-74.03</v>
      </c>
      <c r="F671" s="24">
        <v>1.19</v>
      </c>
    </row>
    <row r="672" s="24" customFormat="1" spans="1:6">
      <c r="A672" s="24" t="s">
        <v>140</v>
      </c>
      <c r="B672" s="24" t="str">
        <f>"600083"</f>
        <v>600083</v>
      </c>
      <c r="C672" s="24" t="s">
        <v>887</v>
      </c>
      <c r="D672" s="24" t="s">
        <v>315</v>
      </c>
      <c r="E672" s="24">
        <v>-74.18</v>
      </c>
      <c r="F672" s="24">
        <v>323.97</v>
      </c>
    </row>
    <row r="673" s="24" customFormat="1" spans="1:6">
      <c r="A673" s="24" t="s">
        <v>142</v>
      </c>
      <c r="B673" s="24" t="str">
        <f>"300240"</f>
        <v>300240</v>
      </c>
      <c r="C673" s="24" t="s">
        <v>888</v>
      </c>
      <c r="D673" s="24" t="s">
        <v>177</v>
      </c>
      <c r="E673" s="24">
        <v>-75.36</v>
      </c>
      <c r="F673" s="24">
        <v>1.92</v>
      </c>
    </row>
    <row r="674" s="24" customFormat="1" spans="1:6">
      <c r="A674" s="24" t="s">
        <v>140</v>
      </c>
      <c r="B674" s="24" t="str">
        <f>"603729"</f>
        <v>603729</v>
      </c>
      <c r="C674" s="24" t="s">
        <v>889</v>
      </c>
      <c r="D674" s="24" t="s">
        <v>170</v>
      </c>
      <c r="E674" s="24">
        <v>-75.67</v>
      </c>
      <c r="F674" s="24">
        <v>1.64</v>
      </c>
    </row>
    <row r="675" s="24" customFormat="1" spans="1:6">
      <c r="A675" s="24" t="s">
        <v>142</v>
      </c>
      <c r="B675" s="24" t="str">
        <f>"300281"</f>
        <v>300281</v>
      </c>
      <c r="C675" s="24" t="s">
        <v>890</v>
      </c>
      <c r="D675" s="24" t="s">
        <v>173</v>
      </c>
      <c r="E675" s="24">
        <v>-75.75</v>
      </c>
      <c r="F675" s="24">
        <v>2.12</v>
      </c>
    </row>
    <row r="676" s="24" customFormat="1" spans="1:6">
      <c r="A676" s="24" t="s">
        <v>142</v>
      </c>
      <c r="B676" s="24" t="str">
        <f>"000042"</f>
        <v>000042</v>
      </c>
      <c r="C676" s="24" t="s">
        <v>891</v>
      </c>
      <c r="D676" s="24" t="s">
        <v>384</v>
      </c>
      <c r="E676" s="24">
        <v>-76.09</v>
      </c>
      <c r="F676" s="24">
        <v>0.81</v>
      </c>
    </row>
    <row r="677" s="24" customFormat="1" spans="1:6">
      <c r="A677" s="24" t="s">
        <v>142</v>
      </c>
      <c r="B677" s="24" t="str">
        <f>"000610"</f>
        <v>000610</v>
      </c>
      <c r="C677" s="24" t="s">
        <v>892</v>
      </c>
      <c r="D677" s="24" t="s">
        <v>453</v>
      </c>
      <c r="E677" s="24">
        <v>-76.48</v>
      </c>
      <c r="F677" s="24">
        <v>2.11</v>
      </c>
    </row>
    <row r="678" s="24" customFormat="1" spans="1:6">
      <c r="A678" s="24" t="s">
        <v>140</v>
      </c>
      <c r="B678" s="24" t="str">
        <f>"600355"</f>
        <v>600355</v>
      </c>
      <c r="C678" s="24" t="s">
        <v>893</v>
      </c>
      <c r="D678" s="24" t="s">
        <v>193</v>
      </c>
      <c r="E678" s="24">
        <v>-77.44</v>
      </c>
      <c r="F678" s="24">
        <v>4.63</v>
      </c>
    </row>
    <row r="679" s="24" customFormat="1" spans="1:6">
      <c r="A679" s="24" t="s">
        <v>140</v>
      </c>
      <c r="B679" s="24" t="str">
        <f>"600966"</f>
        <v>600966</v>
      </c>
      <c r="C679" s="24" t="s">
        <v>894</v>
      </c>
      <c r="D679" s="24" t="s">
        <v>509</v>
      </c>
      <c r="E679" s="24">
        <v>-78.25</v>
      </c>
      <c r="F679" s="24">
        <v>1.72</v>
      </c>
    </row>
    <row r="680" s="24" customFormat="1" spans="1:6">
      <c r="A680" s="24" t="s">
        <v>140</v>
      </c>
      <c r="B680" s="24" t="str">
        <f>"600986"</f>
        <v>600986</v>
      </c>
      <c r="C680" s="24" t="s">
        <v>895</v>
      </c>
      <c r="D680" s="24" t="s">
        <v>163</v>
      </c>
      <c r="E680" s="24">
        <v>-79.5</v>
      </c>
      <c r="F680" s="24">
        <v>2.25</v>
      </c>
    </row>
    <row r="681" s="24" customFormat="1" spans="1:6">
      <c r="A681" s="24" t="s">
        <v>142</v>
      </c>
      <c r="B681" s="24" t="str">
        <f>"002816"</f>
        <v>002816</v>
      </c>
      <c r="C681" s="24" t="s">
        <v>896</v>
      </c>
      <c r="D681" s="24" t="s">
        <v>165</v>
      </c>
      <c r="E681" s="24">
        <v>-79.69</v>
      </c>
      <c r="F681" s="24">
        <v>4.27</v>
      </c>
    </row>
    <row r="682" s="24" customFormat="1" spans="1:6">
      <c r="A682" s="24" t="s">
        <v>142</v>
      </c>
      <c r="B682" s="24" t="str">
        <f>"002306"</f>
        <v>002306</v>
      </c>
      <c r="C682" s="24" t="s">
        <v>897</v>
      </c>
      <c r="D682" s="24" t="s">
        <v>453</v>
      </c>
      <c r="E682" s="24">
        <v>-80.02</v>
      </c>
      <c r="F682" s="24">
        <v>-213.46</v>
      </c>
    </row>
    <row r="683" s="24" customFormat="1" spans="1:6">
      <c r="A683" s="24" t="s">
        <v>140</v>
      </c>
      <c r="B683" s="24" t="str">
        <f>"600978"</f>
        <v>600978</v>
      </c>
      <c r="C683" s="24" t="s">
        <v>898</v>
      </c>
      <c r="D683" s="24" t="s">
        <v>200</v>
      </c>
      <c r="E683" s="24">
        <v>-80.4</v>
      </c>
      <c r="F683" s="24">
        <v>0.45</v>
      </c>
    </row>
    <row r="684" s="24" customFormat="1" spans="1:6">
      <c r="A684" s="24" t="s">
        <v>142</v>
      </c>
      <c r="B684" s="24" t="str">
        <f>"300675"</f>
        <v>300675</v>
      </c>
      <c r="C684" s="24" t="s">
        <v>899</v>
      </c>
      <c r="D684" s="24" t="s">
        <v>214</v>
      </c>
      <c r="E684" s="24">
        <v>-80.59</v>
      </c>
      <c r="F684" s="24">
        <v>4.5</v>
      </c>
    </row>
    <row r="685" s="24" customFormat="1" spans="1:6">
      <c r="A685" s="24" t="s">
        <v>142</v>
      </c>
      <c r="B685" s="24" t="str">
        <f>"300588"</f>
        <v>300588</v>
      </c>
      <c r="C685" s="24" t="s">
        <v>900</v>
      </c>
      <c r="D685" s="24" t="s">
        <v>156</v>
      </c>
      <c r="E685" s="24">
        <v>-80.83</v>
      </c>
      <c r="F685" s="24">
        <v>4.05</v>
      </c>
    </row>
    <row r="686" s="24" customFormat="1" spans="1:6">
      <c r="A686" s="24" t="s">
        <v>140</v>
      </c>
      <c r="B686" s="24" t="str">
        <f>"600071"</f>
        <v>600071</v>
      </c>
      <c r="C686" s="24" t="s">
        <v>901</v>
      </c>
      <c r="D686" s="24" t="s">
        <v>230</v>
      </c>
      <c r="E686" s="24">
        <v>-81.35</v>
      </c>
      <c r="F686" s="24">
        <v>3.64</v>
      </c>
    </row>
    <row r="687" s="24" customFormat="1" spans="1:6">
      <c r="A687" s="24" t="s">
        <v>142</v>
      </c>
      <c r="B687" s="24" t="str">
        <f>"000585"</f>
        <v>000585</v>
      </c>
      <c r="C687" s="24" t="s">
        <v>902</v>
      </c>
      <c r="D687" s="24" t="s">
        <v>293</v>
      </c>
      <c r="E687" s="24">
        <v>-81.77</v>
      </c>
      <c r="F687" s="24">
        <v>113.8</v>
      </c>
    </row>
    <row r="688" s="24" customFormat="1" spans="1:6">
      <c r="A688" s="24" t="s">
        <v>140</v>
      </c>
      <c r="B688" s="24" t="str">
        <f>"600818"</f>
        <v>600818</v>
      </c>
      <c r="C688" s="24" t="s">
        <v>903</v>
      </c>
      <c r="D688" s="24" t="s">
        <v>283</v>
      </c>
      <c r="E688" s="24">
        <v>-82.19</v>
      </c>
      <c r="F688" s="24">
        <v>5.9</v>
      </c>
    </row>
    <row r="689" s="24" customFormat="1" spans="1:6">
      <c r="A689" s="24" t="s">
        <v>142</v>
      </c>
      <c r="B689" s="24" t="str">
        <f>"300002"</f>
        <v>300002</v>
      </c>
      <c r="C689" s="24" t="s">
        <v>904</v>
      </c>
      <c r="D689" s="24" t="s">
        <v>163</v>
      </c>
      <c r="E689" s="24">
        <v>-82.93</v>
      </c>
      <c r="F689" s="24">
        <v>2.28</v>
      </c>
    </row>
    <row r="690" s="24" customFormat="1" spans="1:6">
      <c r="A690" s="24" t="s">
        <v>142</v>
      </c>
      <c r="B690" s="24" t="str">
        <f>"300554"</f>
        <v>300554</v>
      </c>
      <c r="C690" s="24" t="s">
        <v>905</v>
      </c>
      <c r="D690" s="24" t="s">
        <v>644</v>
      </c>
      <c r="E690" s="24">
        <v>-83.77</v>
      </c>
      <c r="F690" s="24">
        <v>2.58</v>
      </c>
    </row>
    <row r="691" s="24" customFormat="1" spans="1:6">
      <c r="A691" s="24" t="s">
        <v>142</v>
      </c>
      <c r="B691" s="24" t="str">
        <f>"002633"</f>
        <v>002633</v>
      </c>
      <c r="C691" s="24" t="s">
        <v>906</v>
      </c>
      <c r="D691" s="24" t="s">
        <v>165</v>
      </c>
      <c r="E691" s="24">
        <v>-85.09</v>
      </c>
      <c r="F691" s="24">
        <v>2.28</v>
      </c>
    </row>
    <row r="692" s="24" customFormat="1" spans="1:6">
      <c r="A692" s="24" t="s">
        <v>140</v>
      </c>
      <c r="B692" s="24" t="str">
        <f>"600283"</f>
        <v>600283</v>
      </c>
      <c r="C692" s="24" t="s">
        <v>907</v>
      </c>
      <c r="D692" s="24" t="s">
        <v>908</v>
      </c>
      <c r="E692" s="24">
        <v>-85.22</v>
      </c>
      <c r="F692" s="24">
        <v>1.73</v>
      </c>
    </row>
    <row r="693" s="24" customFormat="1" spans="1:6">
      <c r="A693" s="24" t="s">
        <v>140</v>
      </c>
      <c r="B693" s="24" t="str">
        <f>"600686"</f>
        <v>600686</v>
      </c>
      <c r="C693" s="24" t="s">
        <v>909</v>
      </c>
      <c r="D693" s="24" t="s">
        <v>175</v>
      </c>
      <c r="E693" s="24">
        <v>-85.38</v>
      </c>
      <c r="F693" s="24">
        <v>1.16</v>
      </c>
    </row>
    <row r="694" s="24" customFormat="1" spans="1:6">
      <c r="A694" s="24" t="s">
        <v>142</v>
      </c>
      <c r="B694" s="24" t="str">
        <f>"300126"</f>
        <v>300126</v>
      </c>
      <c r="C694" s="24" t="s">
        <v>910</v>
      </c>
      <c r="D694" s="24" t="s">
        <v>165</v>
      </c>
      <c r="E694" s="24">
        <v>-86.72</v>
      </c>
      <c r="F694" s="24">
        <v>1.64</v>
      </c>
    </row>
    <row r="695" s="24" customFormat="1" spans="1:6">
      <c r="A695" s="24" t="s">
        <v>142</v>
      </c>
      <c r="B695" s="24" t="str">
        <f>"000767"</f>
        <v>000767</v>
      </c>
      <c r="C695" s="24" t="s">
        <v>911</v>
      </c>
      <c r="D695" s="24" t="s">
        <v>188</v>
      </c>
      <c r="E695" s="24">
        <v>-86.8</v>
      </c>
      <c r="F695" s="24">
        <v>0.9</v>
      </c>
    </row>
    <row r="696" s="24" customFormat="1" spans="1:6">
      <c r="A696" s="24" t="s">
        <v>142</v>
      </c>
      <c r="B696" s="24" t="str">
        <f>"002159"</f>
        <v>002159</v>
      </c>
      <c r="C696" s="24" t="s">
        <v>912</v>
      </c>
      <c r="D696" s="24" t="s">
        <v>453</v>
      </c>
      <c r="E696" s="24">
        <v>-87.82</v>
      </c>
      <c r="F696" s="24">
        <v>1.61</v>
      </c>
    </row>
    <row r="697" s="24" customFormat="1" spans="1:6">
      <c r="A697" s="24" t="s">
        <v>140</v>
      </c>
      <c r="B697" s="24" t="str">
        <f>"600129"</f>
        <v>600129</v>
      </c>
      <c r="C697" s="24" t="s">
        <v>913</v>
      </c>
      <c r="D697" s="24" t="s">
        <v>388</v>
      </c>
      <c r="E697" s="24">
        <v>-88.19</v>
      </c>
      <c r="F697" s="24">
        <v>2.1</v>
      </c>
    </row>
    <row r="698" s="24" customFormat="1" spans="1:6">
      <c r="A698" s="24" t="s">
        <v>142</v>
      </c>
      <c r="B698" s="24" t="str">
        <f>"000004"</f>
        <v>000004</v>
      </c>
      <c r="C698" s="24" t="s">
        <v>914</v>
      </c>
      <c r="D698" s="24" t="s">
        <v>464</v>
      </c>
      <c r="E698" s="24">
        <v>-88.38</v>
      </c>
      <c r="F698" s="24">
        <v>2.55</v>
      </c>
    </row>
    <row r="699" s="24" customFormat="1" spans="1:6">
      <c r="A699" s="24" t="s">
        <v>140</v>
      </c>
      <c r="B699" s="24" t="str">
        <f>"600490"</f>
        <v>600490</v>
      </c>
      <c r="C699" s="24" t="s">
        <v>915</v>
      </c>
      <c r="D699" s="24" t="s">
        <v>167</v>
      </c>
      <c r="E699" s="24">
        <v>-88.88</v>
      </c>
      <c r="F699" s="24">
        <v>1.42</v>
      </c>
    </row>
    <row r="700" s="24" customFormat="1" spans="1:6">
      <c r="A700" s="24" t="s">
        <v>142</v>
      </c>
      <c r="B700" s="24" t="str">
        <f>"300197"</f>
        <v>300197</v>
      </c>
      <c r="C700" s="24" t="s">
        <v>916</v>
      </c>
      <c r="D700" s="24" t="s">
        <v>315</v>
      </c>
      <c r="E700" s="24">
        <v>-88.94</v>
      </c>
      <c r="F700" s="24">
        <v>1.09</v>
      </c>
    </row>
    <row r="701" s="24" customFormat="1" spans="1:6">
      <c r="A701" s="24" t="s">
        <v>142</v>
      </c>
      <c r="B701" s="24" t="str">
        <f>"000697"</f>
        <v>000697</v>
      </c>
      <c r="C701" s="24" t="s">
        <v>917</v>
      </c>
      <c r="D701" s="24" t="s">
        <v>395</v>
      </c>
      <c r="E701" s="24">
        <v>-88.97</v>
      </c>
      <c r="F701" s="24">
        <v>10.16</v>
      </c>
    </row>
    <row r="702" s="24" customFormat="1" spans="1:6">
      <c r="A702" s="24" t="s">
        <v>140</v>
      </c>
      <c r="B702" s="24" t="str">
        <f>"600538"</f>
        <v>600538</v>
      </c>
      <c r="C702" s="24" t="s">
        <v>918</v>
      </c>
      <c r="D702" s="24" t="s">
        <v>278</v>
      </c>
      <c r="E702" s="24">
        <v>-89.24</v>
      </c>
      <c r="F702" s="24">
        <v>3.64</v>
      </c>
    </row>
    <row r="703" s="24" customFormat="1" spans="1:6">
      <c r="A703" s="24" t="s">
        <v>140</v>
      </c>
      <c r="B703" s="24" t="str">
        <f>"600235"</f>
        <v>600235</v>
      </c>
      <c r="C703" s="24" t="s">
        <v>919</v>
      </c>
      <c r="D703" s="24" t="s">
        <v>509</v>
      </c>
      <c r="E703" s="24">
        <v>-90.53</v>
      </c>
      <c r="F703" s="24">
        <v>1.23</v>
      </c>
    </row>
    <row r="704" s="24" customFormat="1" spans="1:6">
      <c r="A704" s="24" t="s">
        <v>142</v>
      </c>
      <c r="B704" s="24" t="str">
        <f>"300264"</f>
        <v>300264</v>
      </c>
      <c r="C704" s="24" t="s">
        <v>920</v>
      </c>
      <c r="D704" s="24" t="s">
        <v>156</v>
      </c>
      <c r="E704" s="24">
        <v>-91.53</v>
      </c>
      <c r="F704" s="24">
        <v>6.78</v>
      </c>
    </row>
    <row r="705" s="24" customFormat="1" spans="1:6">
      <c r="A705" s="24" t="s">
        <v>140</v>
      </c>
      <c r="B705" s="24" t="str">
        <f>"603032"</f>
        <v>603032</v>
      </c>
      <c r="C705" s="24" t="s">
        <v>921</v>
      </c>
      <c r="D705" s="24" t="s">
        <v>540</v>
      </c>
      <c r="E705" s="24">
        <v>-91.57</v>
      </c>
      <c r="F705" s="24">
        <v>4.62</v>
      </c>
    </row>
    <row r="706" s="24" customFormat="1" spans="1:6">
      <c r="A706" s="24" t="s">
        <v>142</v>
      </c>
      <c r="B706" s="24" t="str">
        <f>"000158"</f>
        <v>000158</v>
      </c>
      <c r="C706" s="24" t="s">
        <v>922</v>
      </c>
      <c r="D706" s="24" t="s">
        <v>253</v>
      </c>
      <c r="E706" s="24">
        <v>-92.01</v>
      </c>
      <c r="F706" s="24">
        <v>3.19</v>
      </c>
    </row>
    <row r="707" s="24" customFormat="1" spans="1:6">
      <c r="A707" s="24" t="s">
        <v>142</v>
      </c>
      <c r="B707" s="24" t="str">
        <f>"300307"</f>
        <v>300307</v>
      </c>
      <c r="C707" s="24" t="s">
        <v>923</v>
      </c>
      <c r="D707" s="24" t="s">
        <v>173</v>
      </c>
      <c r="E707" s="24">
        <v>-92.28</v>
      </c>
      <c r="F707" s="24">
        <v>1.09</v>
      </c>
    </row>
    <row r="708" s="24" customFormat="1" spans="1:6">
      <c r="A708" s="24" t="s">
        <v>142</v>
      </c>
      <c r="B708" s="24" t="str">
        <f>"300254"</f>
        <v>300254</v>
      </c>
      <c r="C708" s="24" t="s">
        <v>924</v>
      </c>
      <c r="D708" s="24" t="s">
        <v>464</v>
      </c>
      <c r="E708" s="24">
        <v>-92.44</v>
      </c>
      <c r="F708" s="24">
        <v>2.65</v>
      </c>
    </row>
    <row r="709" s="24" customFormat="1" spans="1:6">
      <c r="A709" s="24" t="s">
        <v>140</v>
      </c>
      <c r="B709" s="24" t="str">
        <f>"600552"</f>
        <v>600552</v>
      </c>
      <c r="C709" s="24" t="s">
        <v>925</v>
      </c>
      <c r="D709" s="24" t="s">
        <v>197</v>
      </c>
      <c r="E709" s="24">
        <v>-94.81</v>
      </c>
      <c r="F709" s="24">
        <v>1.86</v>
      </c>
    </row>
    <row r="710" s="24" customFormat="1" spans="1:6">
      <c r="A710" s="24" t="s">
        <v>142</v>
      </c>
      <c r="B710" s="24" t="str">
        <f>"002266"</f>
        <v>002266</v>
      </c>
      <c r="C710" s="24" t="s">
        <v>926</v>
      </c>
      <c r="D710" s="24" t="s">
        <v>293</v>
      </c>
      <c r="E710" s="24">
        <v>-94.84</v>
      </c>
      <c r="F710" s="24">
        <v>2.47</v>
      </c>
    </row>
    <row r="711" s="24" customFormat="1" spans="1:6">
      <c r="A711" s="24" t="s">
        <v>142</v>
      </c>
      <c r="B711" s="24" t="str">
        <f>"300198"</f>
        <v>300198</v>
      </c>
      <c r="C711" s="24" t="s">
        <v>927</v>
      </c>
      <c r="D711" s="24" t="s">
        <v>573</v>
      </c>
      <c r="E711" s="24">
        <v>-95.16</v>
      </c>
      <c r="F711" s="24">
        <v>2.76</v>
      </c>
    </row>
    <row r="712" s="24" customFormat="1" spans="1:6">
      <c r="A712" s="24" t="s">
        <v>142</v>
      </c>
      <c r="B712" s="24" t="str">
        <f>"002407"</f>
        <v>002407</v>
      </c>
      <c r="C712" s="24" t="s">
        <v>928</v>
      </c>
      <c r="D712" s="24" t="s">
        <v>256</v>
      </c>
      <c r="E712" s="24">
        <v>-95.6</v>
      </c>
      <c r="F712" s="24">
        <v>2.42</v>
      </c>
    </row>
    <row r="713" s="24" customFormat="1" spans="1:6">
      <c r="A713" s="24" t="s">
        <v>142</v>
      </c>
      <c r="B713" s="24" t="str">
        <f>"000502"</f>
        <v>000502</v>
      </c>
      <c r="C713" s="24" t="s">
        <v>929</v>
      </c>
      <c r="D713" s="24" t="s">
        <v>244</v>
      </c>
      <c r="E713" s="24">
        <v>-96.12</v>
      </c>
      <c r="F713" s="24">
        <v>6.38</v>
      </c>
    </row>
    <row r="714" s="24" customFormat="1" spans="1:6">
      <c r="A714" s="24" t="s">
        <v>140</v>
      </c>
      <c r="B714" s="24" t="str">
        <f>"601118"</f>
        <v>601118</v>
      </c>
      <c r="C714" s="24" t="s">
        <v>930</v>
      </c>
      <c r="D714" s="24" t="s">
        <v>145</v>
      </c>
      <c r="E714" s="24">
        <v>-96.62</v>
      </c>
      <c r="F714" s="24">
        <v>1.94</v>
      </c>
    </row>
    <row r="715" s="24" customFormat="1" spans="1:6">
      <c r="A715" s="24" t="s">
        <v>142</v>
      </c>
      <c r="B715" s="24" t="str">
        <f>"200058"</f>
        <v>200058</v>
      </c>
      <c r="C715" s="24" t="s">
        <v>931</v>
      </c>
      <c r="D715" s="24"/>
      <c r="E715" s="24">
        <v>-96.87</v>
      </c>
      <c r="F715" s="24">
        <v>1.51</v>
      </c>
    </row>
    <row r="716" s="24" customFormat="1" spans="1:6">
      <c r="A716" s="24" t="s">
        <v>142</v>
      </c>
      <c r="B716" s="24" t="str">
        <f>"002670"</f>
        <v>002670</v>
      </c>
      <c r="C716" s="24" t="s">
        <v>932</v>
      </c>
      <c r="D716" s="24" t="s">
        <v>714</v>
      </c>
      <c r="E716" s="24">
        <v>-97.72</v>
      </c>
      <c r="F716" s="24">
        <v>2.37</v>
      </c>
    </row>
    <row r="717" s="24" customFormat="1" spans="1:6">
      <c r="A717" s="24" t="s">
        <v>140</v>
      </c>
      <c r="B717" s="24" t="str">
        <f>"600767"</f>
        <v>600767</v>
      </c>
      <c r="C717" s="24" t="s">
        <v>933</v>
      </c>
      <c r="D717" s="24" t="s">
        <v>163</v>
      </c>
      <c r="E717" s="24">
        <v>-98.66</v>
      </c>
      <c r="F717" s="24">
        <v>6.19</v>
      </c>
    </row>
    <row r="718" s="24" customFormat="1" spans="1:6">
      <c r="A718" s="24" t="s">
        <v>142</v>
      </c>
      <c r="B718" s="24" t="str">
        <f>"002186"</f>
        <v>002186</v>
      </c>
      <c r="C718" s="24" t="s">
        <v>934</v>
      </c>
      <c r="D718" s="24" t="s">
        <v>453</v>
      </c>
      <c r="E718" s="24">
        <v>-99.36</v>
      </c>
      <c r="F718" s="24">
        <v>1.85</v>
      </c>
    </row>
    <row r="719" s="24" customFormat="1" spans="1:6">
      <c r="A719" s="24" t="s">
        <v>140</v>
      </c>
      <c r="B719" s="24" t="str">
        <f>"600784"</f>
        <v>600784</v>
      </c>
      <c r="C719" s="24" t="s">
        <v>935</v>
      </c>
      <c r="D719" s="24" t="s">
        <v>260</v>
      </c>
      <c r="E719" s="24">
        <v>-100.04</v>
      </c>
      <c r="F719" s="24">
        <v>1.65</v>
      </c>
    </row>
    <row r="720" s="24" customFormat="1" spans="1:6">
      <c r="A720" s="24" t="s">
        <v>142</v>
      </c>
      <c r="B720" s="24" t="str">
        <f>"000659"</f>
        <v>000659</v>
      </c>
      <c r="C720" s="24" t="s">
        <v>936</v>
      </c>
      <c r="D720" s="24" t="s">
        <v>290</v>
      </c>
      <c r="E720" s="24">
        <v>-101.26</v>
      </c>
      <c r="F720" s="24">
        <v>4.35</v>
      </c>
    </row>
    <row r="721" s="24" customFormat="1" spans="1:6">
      <c r="A721" s="24" t="s">
        <v>140</v>
      </c>
      <c r="B721" s="24" t="str">
        <f>"603101"</f>
        <v>603101</v>
      </c>
      <c r="C721" s="24" t="s">
        <v>937</v>
      </c>
      <c r="D721" s="24" t="s">
        <v>148</v>
      </c>
      <c r="E721" s="24">
        <v>-102.81</v>
      </c>
      <c r="F721" s="24">
        <v>1.99</v>
      </c>
    </row>
    <row r="722" s="24" customFormat="1" spans="1:6">
      <c r="A722" s="24" t="s">
        <v>140</v>
      </c>
      <c r="B722" s="24" t="str">
        <f>"601600"</f>
        <v>601600</v>
      </c>
      <c r="C722" s="24" t="s">
        <v>938</v>
      </c>
      <c r="D722" s="24" t="s">
        <v>167</v>
      </c>
      <c r="E722" s="24">
        <v>-102.99</v>
      </c>
      <c r="F722" s="24">
        <v>1.15</v>
      </c>
    </row>
    <row r="723" s="24" customFormat="1" spans="1:6">
      <c r="A723" s="24" t="s">
        <v>142</v>
      </c>
      <c r="B723" s="24" t="str">
        <f>"300358"</f>
        <v>300358</v>
      </c>
      <c r="C723" s="24" t="s">
        <v>939</v>
      </c>
      <c r="D723" s="24" t="s">
        <v>173</v>
      </c>
      <c r="E723" s="24">
        <v>-106.27</v>
      </c>
      <c r="F723" s="24">
        <v>1.73</v>
      </c>
    </row>
    <row r="724" s="24" customFormat="1" spans="1:6">
      <c r="A724" s="24" t="s">
        <v>142</v>
      </c>
      <c r="B724" s="24" t="str">
        <f>"000150"</f>
        <v>000150</v>
      </c>
      <c r="C724" s="24" t="s">
        <v>940</v>
      </c>
      <c r="D724" s="24" t="s">
        <v>348</v>
      </c>
      <c r="E724" s="24">
        <v>-106.49</v>
      </c>
      <c r="F724" s="24">
        <v>7.42</v>
      </c>
    </row>
    <row r="725" s="24" customFormat="1" spans="1:6">
      <c r="A725" s="24" t="s">
        <v>142</v>
      </c>
      <c r="B725" s="24" t="str">
        <f>"300711"</f>
        <v>300711</v>
      </c>
      <c r="C725" s="24" t="s">
        <v>941</v>
      </c>
      <c r="D725" s="24" t="s">
        <v>193</v>
      </c>
      <c r="E725" s="24">
        <v>-108.21</v>
      </c>
      <c r="F725" s="24">
        <v>5.39</v>
      </c>
    </row>
    <row r="726" s="24" customFormat="1" spans="1:6">
      <c r="A726" s="24" t="s">
        <v>142</v>
      </c>
      <c r="B726" s="24" t="str">
        <f>"000007"</f>
        <v>000007</v>
      </c>
      <c r="C726" s="24" t="s">
        <v>942</v>
      </c>
      <c r="D726" s="24" t="s">
        <v>623</v>
      </c>
      <c r="E726" s="24">
        <v>-108.55</v>
      </c>
      <c r="F726" s="24">
        <v>15.51</v>
      </c>
    </row>
    <row r="727" s="24" customFormat="1" spans="1:6">
      <c r="A727" s="24" t="s">
        <v>140</v>
      </c>
      <c r="B727" s="24" t="str">
        <f>"600165"</f>
        <v>600165</v>
      </c>
      <c r="C727" s="24" t="s">
        <v>943</v>
      </c>
      <c r="D727" s="24" t="s">
        <v>258</v>
      </c>
      <c r="E727" s="24">
        <v>-109.65</v>
      </c>
      <c r="F727" s="24">
        <v>2.86</v>
      </c>
    </row>
    <row r="728" s="24" customFormat="1" spans="1:6">
      <c r="A728" s="24" t="s">
        <v>142</v>
      </c>
      <c r="B728" s="24" t="str">
        <f>"002610"</f>
        <v>002610</v>
      </c>
      <c r="C728" s="24" t="s">
        <v>944</v>
      </c>
      <c r="D728" s="24" t="s">
        <v>197</v>
      </c>
      <c r="E728" s="24">
        <v>-110.47</v>
      </c>
      <c r="F728" s="24">
        <v>1.27</v>
      </c>
    </row>
    <row r="729" s="24" customFormat="1" spans="1:6">
      <c r="A729" s="24" t="s">
        <v>142</v>
      </c>
      <c r="B729" s="24" t="str">
        <f>"002635"</f>
        <v>002635</v>
      </c>
      <c r="C729" s="24" t="s">
        <v>945</v>
      </c>
      <c r="D729" s="24" t="s">
        <v>352</v>
      </c>
      <c r="E729" s="24">
        <v>-112.22</v>
      </c>
      <c r="F729" s="24">
        <v>4.49</v>
      </c>
    </row>
    <row r="730" s="24" customFormat="1" spans="1:6">
      <c r="A730" s="24" t="s">
        <v>142</v>
      </c>
      <c r="B730" s="24" t="str">
        <f>"000713"</f>
        <v>000713</v>
      </c>
      <c r="C730" s="24" t="s">
        <v>946</v>
      </c>
      <c r="D730" s="24" t="s">
        <v>145</v>
      </c>
      <c r="E730" s="24">
        <v>-114.87</v>
      </c>
      <c r="F730" s="24">
        <v>2.68</v>
      </c>
    </row>
    <row r="731" s="24" customFormat="1" spans="1:6">
      <c r="A731" s="24" t="s">
        <v>142</v>
      </c>
      <c r="B731" s="24" t="str">
        <f>"300508"</f>
        <v>300508</v>
      </c>
      <c r="C731" s="24" t="s">
        <v>947</v>
      </c>
      <c r="D731" s="24" t="s">
        <v>156</v>
      </c>
      <c r="E731" s="24">
        <v>-115.76</v>
      </c>
      <c r="F731" s="24">
        <v>4.72</v>
      </c>
    </row>
    <row r="732" s="24" customFormat="1" spans="1:6">
      <c r="A732" s="24" t="s">
        <v>142</v>
      </c>
      <c r="B732" s="24" t="str">
        <f>"002663"</f>
        <v>002663</v>
      </c>
      <c r="C732" s="24" t="s">
        <v>948</v>
      </c>
      <c r="D732" s="24" t="s">
        <v>315</v>
      </c>
      <c r="E732" s="24">
        <v>-116.54</v>
      </c>
      <c r="F732" s="24">
        <v>0.98</v>
      </c>
    </row>
    <row r="733" s="24" customFormat="1" spans="1:6">
      <c r="A733" s="24" t="s">
        <v>142</v>
      </c>
      <c r="B733" s="24" t="str">
        <f>"300249"</f>
        <v>300249</v>
      </c>
      <c r="C733" s="24" t="s">
        <v>949</v>
      </c>
      <c r="D733" s="24" t="s">
        <v>165</v>
      </c>
      <c r="E733" s="24">
        <v>-117.04</v>
      </c>
      <c r="F733" s="24">
        <v>3.52</v>
      </c>
    </row>
    <row r="734" s="24" customFormat="1" spans="1:6">
      <c r="A734" s="24" t="s">
        <v>140</v>
      </c>
      <c r="B734" s="24" t="str">
        <f>"600890"</f>
        <v>600890</v>
      </c>
      <c r="C734" s="24" t="s">
        <v>950</v>
      </c>
      <c r="D734" s="24" t="s">
        <v>244</v>
      </c>
      <c r="E734" s="24">
        <v>-117.52</v>
      </c>
      <c r="F734" s="24">
        <v>16.31</v>
      </c>
    </row>
    <row r="735" s="24" customFormat="1" spans="1:6">
      <c r="A735" s="24" t="s">
        <v>142</v>
      </c>
      <c r="B735" s="24" t="str">
        <f>"002192"</f>
        <v>002192</v>
      </c>
      <c r="C735" s="24" t="s">
        <v>951</v>
      </c>
      <c r="D735" s="24" t="s">
        <v>152</v>
      </c>
      <c r="E735" s="24">
        <v>-118.3</v>
      </c>
      <c r="F735" s="24">
        <v>9.82</v>
      </c>
    </row>
    <row r="736" s="24" customFormat="1" spans="1:6">
      <c r="A736" s="24" t="s">
        <v>142</v>
      </c>
      <c r="B736" s="24" t="str">
        <f>"002581"</f>
        <v>002581</v>
      </c>
      <c r="C736" s="24" t="s">
        <v>952</v>
      </c>
      <c r="D736" s="24" t="s">
        <v>464</v>
      </c>
      <c r="E736" s="24">
        <v>-119.05</v>
      </c>
      <c r="F736" s="24">
        <v>2.1</v>
      </c>
    </row>
    <row r="737" s="24" customFormat="1" spans="1:6">
      <c r="A737" s="24" t="s">
        <v>142</v>
      </c>
      <c r="B737" s="24" t="str">
        <f>"002094"</f>
        <v>002094</v>
      </c>
      <c r="C737" s="24" t="s">
        <v>953</v>
      </c>
      <c r="D737" s="24" t="s">
        <v>333</v>
      </c>
      <c r="E737" s="24">
        <v>-119.27</v>
      </c>
      <c r="F737" s="24">
        <v>1.09</v>
      </c>
    </row>
    <row r="738" s="24" customFormat="1" spans="1:6">
      <c r="A738" s="24" t="s">
        <v>142</v>
      </c>
      <c r="B738" s="24" t="str">
        <f>"002045"</f>
        <v>002045</v>
      </c>
      <c r="C738" s="24" t="s">
        <v>954</v>
      </c>
      <c r="D738" s="24" t="s">
        <v>184</v>
      </c>
      <c r="E738" s="24">
        <v>-121.83</v>
      </c>
      <c r="F738" s="24">
        <v>3.12</v>
      </c>
    </row>
    <row r="739" s="24" customFormat="1" spans="1:6">
      <c r="A739" s="24" t="s">
        <v>140</v>
      </c>
      <c r="B739" s="24" t="str">
        <f>"600647"</f>
        <v>600647</v>
      </c>
      <c r="C739" s="24" t="s">
        <v>955</v>
      </c>
      <c r="D739" s="24" t="s">
        <v>244</v>
      </c>
      <c r="E739" s="24">
        <v>-122.37</v>
      </c>
      <c r="F739" s="24">
        <v>5.79</v>
      </c>
    </row>
    <row r="740" s="24" customFormat="1" spans="1:6">
      <c r="A740" s="24" t="s">
        <v>140</v>
      </c>
      <c r="B740" s="24" t="str">
        <f>"600988"</f>
        <v>600988</v>
      </c>
      <c r="C740" s="24" t="s">
        <v>956</v>
      </c>
      <c r="D740" s="24" t="s">
        <v>167</v>
      </c>
      <c r="E740" s="24">
        <v>-124.01</v>
      </c>
      <c r="F740" s="24">
        <v>3.6</v>
      </c>
    </row>
    <row r="741" s="24" customFormat="1" spans="1:6">
      <c r="A741" s="24" t="s">
        <v>140</v>
      </c>
      <c r="B741" s="24" t="str">
        <f>"601177"</f>
        <v>601177</v>
      </c>
      <c r="C741" s="24" t="s">
        <v>957</v>
      </c>
      <c r="D741" s="24" t="s">
        <v>165</v>
      </c>
      <c r="E741" s="24">
        <v>-125.53</v>
      </c>
      <c r="F741" s="24">
        <v>1.99</v>
      </c>
    </row>
    <row r="742" s="24" customFormat="1" spans="1:6">
      <c r="A742" s="24" t="s">
        <v>142</v>
      </c>
      <c r="B742" s="24" t="str">
        <f>"000555"</f>
        <v>000555</v>
      </c>
      <c r="C742" s="24" t="s">
        <v>958</v>
      </c>
      <c r="D742" s="24" t="s">
        <v>159</v>
      </c>
      <c r="E742" s="24">
        <v>-125.68</v>
      </c>
      <c r="F742" s="24">
        <v>4.46</v>
      </c>
    </row>
    <row r="743" s="24" customFormat="1" spans="1:6">
      <c r="A743" s="24" t="s">
        <v>142</v>
      </c>
      <c r="B743" s="24" t="str">
        <f>"300629"</f>
        <v>300629</v>
      </c>
      <c r="C743" s="24" t="s">
        <v>959</v>
      </c>
      <c r="D743" s="24" t="s">
        <v>258</v>
      </c>
      <c r="E743" s="24">
        <v>-126.04</v>
      </c>
      <c r="F743" s="24">
        <v>4.46</v>
      </c>
    </row>
    <row r="744" s="24" customFormat="1" spans="1:6">
      <c r="A744" s="24" t="s">
        <v>140</v>
      </c>
      <c r="B744" s="24" t="str">
        <f>"900922"</f>
        <v>900922</v>
      </c>
      <c r="C744" s="24" t="s">
        <v>960</v>
      </c>
      <c r="D744" s="24"/>
      <c r="E744" s="24">
        <v>-127.26</v>
      </c>
      <c r="F744" s="24">
        <v>1.7</v>
      </c>
    </row>
    <row r="745" s="24" customFormat="1" spans="1:6">
      <c r="A745" s="24" t="s">
        <v>142</v>
      </c>
      <c r="B745" s="24" t="str">
        <f>"300125"</f>
        <v>300125</v>
      </c>
      <c r="C745" s="24" t="s">
        <v>961</v>
      </c>
      <c r="D745" s="24" t="s">
        <v>315</v>
      </c>
      <c r="E745" s="24">
        <v>-127.46</v>
      </c>
      <c r="F745" s="24">
        <v>4.94</v>
      </c>
    </row>
    <row r="746" s="24" customFormat="1" spans="1:6">
      <c r="A746" s="24" t="s">
        <v>142</v>
      </c>
      <c r="B746" s="24" t="str">
        <f>"300224"</f>
        <v>300224</v>
      </c>
      <c r="C746" s="24" t="s">
        <v>962</v>
      </c>
      <c r="D746" s="24" t="s">
        <v>197</v>
      </c>
      <c r="E746" s="24">
        <v>-127.53</v>
      </c>
      <c r="F746" s="24">
        <v>3.01</v>
      </c>
    </row>
    <row r="747" s="24" customFormat="1" spans="1:6">
      <c r="A747" s="24" t="s">
        <v>142</v>
      </c>
      <c r="B747" s="24" t="str">
        <f>"002170"</f>
        <v>002170</v>
      </c>
      <c r="C747" s="24" t="s">
        <v>963</v>
      </c>
      <c r="D747" s="24" t="s">
        <v>278</v>
      </c>
      <c r="E747" s="24">
        <v>-129.05</v>
      </c>
      <c r="F747" s="24">
        <v>1.85</v>
      </c>
    </row>
    <row r="748" s="24" customFormat="1" spans="1:6">
      <c r="A748" s="24" t="s">
        <v>142</v>
      </c>
      <c r="B748" s="24" t="str">
        <f>"002205"</f>
        <v>002205</v>
      </c>
      <c r="C748" s="24" t="s">
        <v>964</v>
      </c>
      <c r="D748" s="24" t="s">
        <v>573</v>
      </c>
      <c r="E748" s="24">
        <v>-131.04</v>
      </c>
      <c r="F748" s="24">
        <v>1.55</v>
      </c>
    </row>
    <row r="749" s="24" customFormat="1" spans="1:6">
      <c r="A749" s="24" t="s">
        <v>140</v>
      </c>
      <c r="B749" s="24" t="str">
        <f>"603536"</f>
        <v>603536</v>
      </c>
      <c r="C749" s="24" t="s">
        <v>965</v>
      </c>
      <c r="D749" s="24" t="s">
        <v>190</v>
      </c>
      <c r="E749" s="24">
        <v>-131.77</v>
      </c>
      <c r="F749" s="24">
        <v>3.68</v>
      </c>
    </row>
    <row r="750" s="24" customFormat="1" spans="1:6">
      <c r="A750" s="24" t="s">
        <v>140</v>
      </c>
      <c r="B750" s="24" t="str">
        <f>"600130"</f>
        <v>600130</v>
      </c>
      <c r="C750" s="24" t="s">
        <v>966</v>
      </c>
      <c r="D750" s="24" t="s">
        <v>193</v>
      </c>
      <c r="E750" s="24">
        <v>-132.87</v>
      </c>
      <c r="F750" s="24">
        <v>3.03</v>
      </c>
    </row>
    <row r="751" s="24" customFormat="1" spans="1:6">
      <c r="A751" s="24" t="s">
        <v>142</v>
      </c>
      <c r="B751" s="24" t="str">
        <f>"002852"</f>
        <v>002852</v>
      </c>
      <c r="C751" s="24" t="s">
        <v>967</v>
      </c>
      <c r="D751" s="24" t="s">
        <v>190</v>
      </c>
      <c r="E751" s="24">
        <v>-133.86</v>
      </c>
      <c r="F751" s="24">
        <v>1.8</v>
      </c>
    </row>
    <row r="752" s="24" customFormat="1" spans="1:6">
      <c r="A752" s="24" t="s">
        <v>142</v>
      </c>
      <c r="B752" s="24" t="str">
        <f>"300147"</f>
        <v>300147</v>
      </c>
      <c r="C752" s="24" t="s">
        <v>968</v>
      </c>
      <c r="D752" s="24" t="s">
        <v>388</v>
      </c>
      <c r="E752" s="24">
        <v>-136.28</v>
      </c>
      <c r="F752" s="24">
        <v>2.35</v>
      </c>
    </row>
    <row r="753" s="24" customFormat="1" spans="1:6">
      <c r="A753" s="24" t="s">
        <v>142</v>
      </c>
      <c r="B753" s="24" t="str">
        <f>"002235"</f>
        <v>002235</v>
      </c>
      <c r="C753" s="24" t="s">
        <v>969</v>
      </c>
      <c r="D753" s="24" t="s">
        <v>509</v>
      </c>
      <c r="E753" s="24">
        <v>-136.48</v>
      </c>
      <c r="F753" s="24">
        <v>4.53</v>
      </c>
    </row>
    <row r="754" s="24" customFormat="1" spans="1:6">
      <c r="A754" s="24" t="s">
        <v>142</v>
      </c>
      <c r="B754" s="24" t="str">
        <f>"300252"</f>
        <v>300252</v>
      </c>
      <c r="C754" s="24" t="s">
        <v>970</v>
      </c>
      <c r="D754" s="24" t="s">
        <v>193</v>
      </c>
      <c r="E754" s="24">
        <v>-137.05</v>
      </c>
      <c r="F754" s="24">
        <v>2.82</v>
      </c>
    </row>
    <row r="755" s="24" customFormat="1" spans="1:6">
      <c r="A755" s="24" t="s">
        <v>140</v>
      </c>
      <c r="B755" s="24" t="str">
        <f>"603619"</f>
        <v>603619</v>
      </c>
      <c r="C755" s="24" t="s">
        <v>971</v>
      </c>
      <c r="D755" s="24" t="s">
        <v>377</v>
      </c>
      <c r="E755" s="24">
        <v>-139.35</v>
      </c>
      <c r="F755" s="24">
        <v>2.31</v>
      </c>
    </row>
    <row r="756" s="24" customFormat="1" spans="1:6">
      <c r="A756" s="24" t="s">
        <v>140</v>
      </c>
      <c r="B756" s="24" t="str">
        <f>"600410"</f>
        <v>600410</v>
      </c>
      <c r="C756" s="24" t="s">
        <v>972</v>
      </c>
      <c r="D756" s="24" t="s">
        <v>159</v>
      </c>
      <c r="E756" s="24">
        <v>-140.77</v>
      </c>
      <c r="F756" s="24">
        <v>2.62</v>
      </c>
    </row>
    <row r="757" s="24" customFormat="1" spans="1:6">
      <c r="A757" s="24" t="s">
        <v>142</v>
      </c>
      <c r="B757" s="24" t="str">
        <f>"000735"</f>
        <v>000735</v>
      </c>
      <c r="C757" s="24" t="s">
        <v>973</v>
      </c>
      <c r="D757" s="24" t="s">
        <v>145</v>
      </c>
      <c r="E757" s="24">
        <v>-141.3</v>
      </c>
      <c r="F757" s="24">
        <v>2.65</v>
      </c>
    </row>
    <row r="758" s="24" customFormat="1" spans="1:6">
      <c r="A758" s="24" t="s">
        <v>142</v>
      </c>
      <c r="B758" s="24" t="str">
        <f>"002592"</f>
        <v>002592</v>
      </c>
      <c r="C758" s="24" t="s">
        <v>974</v>
      </c>
      <c r="D758" s="24" t="s">
        <v>204</v>
      </c>
      <c r="E758" s="24">
        <v>-141.65</v>
      </c>
      <c r="F758" s="24">
        <v>2.66</v>
      </c>
    </row>
    <row r="759" s="24" customFormat="1" spans="1:6">
      <c r="A759" s="24" t="s">
        <v>142</v>
      </c>
      <c r="B759" s="24" t="str">
        <f>"000037"</f>
        <v>000037</v>
      </c>
      <c r="C759" s="24" t="s">
        <v>975</v>
      </c>
      <c r="D759" s="24" t="s">
        <v>188</v>
      </c>
      <c r="E759" s="24">
        <v>-142.24</v>
      </c>
      <c r="F759" s="24">
        <v>3.16</v>
      </c>
    </row>
    <row r="760" s="24" customFormat="1" spans="1:6">
      <c r="A760" s="24" t="s">
        <v>142</v>
      </c>
      <c r="B760" s="24" t="str">
        <f>"000590"</f>
        <v>000590</v>
      </c>
      <c r="C760" s="24" t="s">
        <v>976</v>
      </c>
      <c r="D760" s="24" t="s">
        <v>388</v>
      </c>
      <c r="E760" s="24">
        <v>-142.41</v>
      </c>
      <c r="F760" s="24">
        <v>4.08</v>
      </c>
    </row>
    <row r="761" s="24" customFormat="1" spans="1:6">
      <c r="A761" s="24" t="s">
        <v>140</v>
      </c>
      <c r="B761" s="24" t="str">
        <f>"600476"</f>
        <v>600476</v>
      </c>
      <c r="C761" s="24" t="s">
        <v>977</v>
      </c>
      <c r="D761" s="24" t="s">
        <v>159</v>
      </c>
      <c r="E761" s="24">
        <v>-144.21</v>
      </c>
      <c r="F761" s="24">
        <v>9.91</v>
      </c>
    </row>
    <row r="762" s="24" customFormat="1" spans="1:6">
      <c r="A762" s="24" t="s">
        <v>142</v>
      </c>
      <c r="B762" s="24" t="str">
        <f>"002148"</f>
        <v>002148</v>
      </c>
      <c r="C762" s="24" t="s">
        <v>978</v>
      </c>
      <c r="D762" s="24" t="s">
        <v>336</v>
      </c>
      <c r="E762" s="24">
        <v>-145.45</v>
      </c>
      <c r="F762" s="24">
        <v>2.37</v>
      </c>
    </row>
    <row r="763" s="24" customFormat="1" spans="1:6">
      <c r="A763" s="24" t="s">
        <v>140</v>
      </c>
      <c r="B763" s="24" t="str">
        <f>"600759"</f>
        <v>600759</v>
      </c>
      <c r="C763" s="24" t="s">
        <v>979</v>
      </c>
      <c r="D763" s="24" t="s">
        <v>246</v>
      </c>
      <c r="E763" s="24">
        <v>-145.49</v>
      </c>
      <c r="F763" s="24">
        <v>1</v>
      </c>
    </row>
    <row r="764" s="24" customFormat="1" spans="1:6">
      <c r="A764" s="24" t="s">
        <v>142</v>
      </c>
      <c r="B764" s="24" t="str">
        <f>"300153"</f>
        <v>300153</v>
      </c>
      <c r="C764" s="24" t="s">
        <v>980</v>
      </c>
      <c r="D764" s="24" t="s">
        <v>251</v>
      </c>
      <c r="E764" s="24">
        <v>-146.15</v>
      </c>
      <c r="F764" s="24">
        <v>1.95</v>
      </c>
    </row>
    <row r="765" s="24" customFormat="1" spans="1:6">
      <c r="A765" s="24" t="s">
        <v>142</v>
      </c>
      <c r="B765" s="24" t="str">
        <f>"300324"</f>
        <v>300324</v>
      </c>
      <c r="C765" s="24" t="s">
        <v>981</v>
      </c>
      <c r="D765" s="24" t="s">
        <v>159</v>
      </c>
      <c r="E765" s="24">
        <v>-147.75</v>
      </c>
      <c r="F765" s="24">
        <v>4.55</v>
      </c>
    </row>
    <row r="766" s="24" customFormat="1" spans="1:6">
      <c r="A766" s="24" t="s">
        <v>140</v>
      </c>
      <c r="B766" s="24" t="str">
        <f>"600187"</f>
        <v>600187</v>
      </c>
      <c r="C766" s="24" t="s">
        <v>982</v>
      </c>
      <c r="D766" s="24" t="s">
        <v>908</v>
      </c>
      <c r="E766" s="24">
        <v>-149.48</v>
      </c>
      <c r="F766" s="24">
        <v>1.13</v>
      </c>
    </row>
    <row r="767" s="24" customFormat="1" spans="1:6">
      <c r="A767" s="24" t="s">
        <v>142</v>
      </c>
      <c r="B767" s="24" t="str">
        <f>"300397"</f>
        <v>300397</v>
      </c>
      <c r="C767" s="24" t="s">
        <v>983</v>
      </c>
      <c r="D767" s="24" t="s">
        <v>395</v>
      </c>
      <c r="E767" s="24">
        <v>-149.82</v>
      </c>
      <c r="F767" s="24">
        <v>9.27</v>
      </c>
    </row>
    <row r="768" s="24" customFormat="1" spans="1:6">
      <c r="A768" s="24" t="s">
        <v>142</v>
      </c>
      <c r="B768" s="24" t="str">
        <f>"002055"</f>
        <v>002055</v>
      </c>
      <c r="C768" s="24" t="s">
        <v>984</v>
      </c>
      <c r="D768" s="24" t="s">
        <v>152</v>
      </c>
      <c r="E768" s="24">
        <v>-150.82</v>
      </c>
      <c r="F768" s="24">
        <v>2.38</v>
      </c>
    </row>
    <row r="769" s="24" customFormat="1" spans="1:6">
      <c r="A769" s="24" t="s">
        <v>140</v>
      </c>
      <c r="B769" s="24" t="str">
        <f>"600313"</f>
        <v>600313</v>
      </c>
      <c r="C769" s="24" t="s">
        <v>985</v>
      </c>
      <c r="D769" s="24" t="s">
        <v>267</v>
      </c>
      <c r="E769" s="24">
        <v>-151.27</v>
      </c>
      <c r="F769" s="24">
        <v>2.62</v>
      </c>
    </row>
    <row r="770" s="24" customFormat="1" spans="1:6">
      <c r="A770" s="24" t="s">
        <v>142</v>
      </c>
      <c r="B770" s="24" t="str">
        <f>"300241"</f>
        <v>300241</v>
      </c>
      <c r="C770" s="24" t="s">
        <v>986</v>
      </c>
      <c r="D770" s="24" t="s">
        <v>230</v>
      </c>
      <c r="E770" s="24">
        <v>-152.91</v>
      </c>
      <c r="F770" s="24">
        <v>2.57</v>
      </c>
    </row>
    <row r="771" s="24" customFormat="1" spans="1:6">
      <c r="A771" s="24" t="s">
        <v>142</v>
      </c>
      <c r="B771" s="24" t="str">
        <f>"002211"</f>
        <v>002211</v>
      </c>
      <c r="C771" s="24" t="s">
        <v>987</v>
      </c>
      <c r="D771" s="24" t="s">
        <v>256</v>
      </c>
      <c r="E771" s="24">
        <v>-153.39</v>
      </c>
      <c r="F771" s="24">
        <v>3.02</v>
      </c>
    </row>
    <row r="772" s="24" customFormat="1" spans="1:6">
      <c r="A772" s="24" t="s">
        <v>140</v>
      </c>
      <c r="B772" s="24" t="str">
        <f>"600506"</f>
        <v>600506</v>
      </c>
      <c r="C772" s="24" t="s">
        <v>988</v>
      </c>
      <c r="D772" s="24" t="s">
        <v>145</v>
      </c>
      <c r="E772" s="24">
        <v>-154.54</v>
      </c>
      <c r="F772" s="24">
        <v>4.71</v>
      </c>
    </row>
    <row r="773" s="24" customFormat="1" spans="1:6">
      <c r="A773" s="24" t="s">
        <v>140</v>
      </c>
      <c r="B773" s="24" t="str">
        <f>"600385"</f>
        <v>600385</v>
      </c>
      <c r="C773" s="24" t="s">
        <v>989</v>
      </c>
      <c r="D773" s="24" t="s">
        <v>161</v>
      </c>
      <c r="E773" s="24">
        <v>-155.53</v>
      </c>
      <c r="F773" s="24">
        <v>19.81</v>
      </c>
    </row>
    <row r="774" s="24" customFormat="1" spans="1:6">
      <c r="A774" s="24" t="s">
        <v>142</v>
      </c>
      <c r="B774" s="24" t="str">
        <f>"002141"</f>
        <v>002141</v>
      </c>
      <c r="C774" s="24" t="s">
        <v>990</v>
      </c>
      <c r="D774" s="24" t="s">
        <v>251</v>
      </c>
      <c r="E774" s="24">
        <v>-155.65</v>
      </c>
      <c r="F774" s="24">
        <v>2.6</v>
      </c>
    </row>
    <row r="775" s="24" customFormat="1" spans="1:6">
      <c r="A775" s="24" t="s">
        <v>142</v>
      </c>
      <c r="B775" s="24" t="str">
        <f>"002156"</f>
        <v>002156</v>
      </c>
      <c r="C775" s="24" t="s">
        <v>991</v>
      </c>
      <c r="D775" s="24" t="s">
        <v>276</v>
      </c>
      <c r="E775" s="24">
        <v>-158.55</v>
      </c>
      <c r="F775" s="24">
        <v>6.17</v>
      </c>
    </row>
    <row r="776" s="24" customFormat="1" spans="1:6">
      <c r="A776" s="24" t="s">
        <v>140</v>
      </c>
      <c r="B776" s="24" t="str">
        <f>"603777"</f>
        <v>603777</v>
      </c>
      <c r="C776" s="24" t="s">
        <v>992</v>
      </c>
      <c r="D776" s="24" t="s">
        <v>361</v>
      </c>
      <c r="E776" s="24">
        <v>-159.03</v>
      </c>
      <c r="F776" s="24">
        <v>1.91</v>
      </c>
    </row>
    <row r="777" s="24" customFormat="1" spans="1:6">
      <c r="A777" s="24" t="s">
        <v>142</v>
      </c>
      <c r="B777" s="24" t="str">
        <f>"002471"</f>
        <v>002471</v>
      </c>
      <c r="C777" s="24" t="s">
        <v>993</v>
      </c>
      <c r="D777" s="24" t="s">
        <v>251</v>
      </c>
      <c r="E777" s="24">
        <v>-160.21</v>
      </c>
      <c r="F777" s="24">
        <v>1.45</v>
      </c>
    </row>
    <row r="778" s="24" customFormat="1" spans="1:6">
      <c r="A778" s="24" t="s">
        <v>140</v>
      </c>
      <c r="B778" s="24" t="str">
        <f>"603799"</f>
        <v>603799</v>
      </c>
      <c r="C778" s="24" t="s">
        <v>994</v>
      </c>
      <c r="D778" s="24" t="s">
        <v>167</v>
      </c>
      <c r="E778" s="24">
        <v>-160.73</v>
      </c>
      <c r="F778" s="24">
        <v>7.62</v>
      </c>
    </row>
    <row r="779" s="24" customFormat="1" spans="1:6">
      <c r="A779" s="24" t="s">
        <v>142</v>
      </c>
      <c r="B779" s="24" t="str">
        <f>"000043"</f>
        <v>000043</v>
      </c>
      <c r="C779" s="24" t="s">
        <v>995</v>
      </c>
      <c r="D779" s="24"/>
      <c r="E779" s="24">
        <v>-163.91</v>
      </c>
      <c r="F779" s="24">
        <v>2.76</v>
      </c>
    </row>
    <row r="780" s="24" customFormat="1" spans="1:6">
      <c r="A780" s="24" t="s">
        <v>140</v>
      </c>
      <c r="B780" s="24" t="str">
        <f>"603222"</f>
        <v>603222</v>
      </c>
      <c r="C780" s="24" t="s">
        <v>996</v>
      </c>
      <c r="D780" s="24" t="s">
        <v>997</v>
      </c>
      <c r="E780" s="24">
        <v>-166.12</v>
      </c>
      <c r="F780" s="24">
        <v>24.39</v>
      </c>
    </row>
    <row r="781" s="24" customFormat="1" spans="1:6">
      <c r="A781" s="24" t="s">
        <v>142</v>
      </c>
      <c r="B781" s="24" t="str">
        <f>"300548"</f>
        <v>300548</v>
      </c>
      <c r="C781" s="24" t="s">
        <v>998</v>
      </c>
      <c r="D781" s="24" t="s">
        <v>193</v>
      </c>
      <c r="E781" s="24">
        <v>-166.21</v>
      </c>
      <c r="F781" s="24">
        <v>13.69</v>
      </c>
    </row>
    <row r="782" s="24" customFormat="1" spans="1:6">
      <c r="A782" s="24" t="s">
        <v>140</v>
      </c>
      <c r="B782" s="24" t="str">
        <f>"600975"</f>
        <v>600975</v>
      </c>
      <c r="C782" s="24" t="s">
        <v>999</v>
      </c>
      <c r="D782" s="24" t="s">
        <v>145</v>
      </c>
      <c r="E782" s="24">
        <v>-170.39</v>
      </c>
      <c r="F782" s="24">
        <v>4.71</v>
      </c>
    </row>
    <row r="783" s="24" customFormat="1" spans="1:6">
      <c r="A783" s="24" t="s">
        <v>142</v>
      </c>
      <c r="B783" s="24" t="str">
        <f>"000700"</f>
        <v>000700</v>
      </c>
      <c r="C783" s="24" t="s">
        <v>1000</v>
      </c>
      <c r="D783" s="24" t="s">
        <v>204</v>
      </c>
      <c r="E783" s="24">
        <v>-174.71</v>
      </c>
      <c r="F783" s="24">
        <v>5.28</v>
      </c>
    </row>
    <row r="784" s="24" customFormat="1" spans="1:6">
      <c r="A784" s="24" t="s">
        <v>142</v>
      </c>
      <c r="B784" s="24" t="str">
        <f>"000691"</f>
        <v>000691</v>
      </c>
      <c r="C784" s="24" t="s">
        <v>1001</v>
      </c>
      <c r="D784" s="24" t="s">
        <v>244</v>
      </c>
      <c r="E784" s="24">
        <v>-177.52</v>
      </c>
      <c r="F784" s="24">
        <v>14.59</v>
      </c>
    </row>
    <row r="785" s="24" customFormat="1" spans="1:6">
      <c r="A785" s="24" t="s">
        <v>140</v>
      </c>
      <c r="B785" s="24" t="str">
        <f>"600615"</f>
        <v>600615</v>
      </c>
      <c r="C785" s="24" t="s">
        <v>1002</v>
      </c>
      <c r="D785" s="24" t="s">
        <v>1003</v>
      </c>
      <c r="E785" s="24">
        <v>-180.66</v>
      </c>
      <c r="F785" s="24">
        <v>2.66</v>
      </c>
    </row>
    <row r="786" s="24" customFormat="1" spans="1:6">
      <c r="A786" s="24" t="s">
        <v>142</v>
      </c>
      <c r="B786" s="24" t="str">
        <f>"300162"</f>
        <v>300162</v>
      </c>
      <c r="C786" s="24" t="s">
        <v>1004</v>
      </c>
      <c r="D786" s="24" t="s">
        <v>230</v>
      </c>
      <c r="E786" s="24">
        <v>-180.99</v>
      </c>
      <c r="F786" s="24">
        <v>4.25</v>
      </c>
    </row>
    <row r="787" s="24" customFormat="1" spans="1:6">
      <c r="A787" s="24" t="s">
        <v>142</v>
      </c>
      <c r="B787" s="24" t="str">
        <f>"000592"</f>
        <v>000592</v>
      </c>
      <c r="C787" s="24" t="s">
        <v>1005</v>
      </c>
      <c r="D787" s="24" t="s">
        <v>509</v>
      </c>
      <c r="E787" s="24">
        <v>-181.69</v>
      </c>
      <c r="F787" s="24">
        <v>1.5</v>
      </c>
    </row>
    <row r="788" s="24" customFormat="1" spans="1:6">
      <c r="A788" s="24" t="s">
        <v>142</v>
      </c>
      <c r="B788" s="24" t="str">
        <f>"001914"</f>
        <v>001914</v>
      </c>
      <c r="C788" s="24" t="s">
        <v>1006</v>
      </c>
      <c r="D788" s="24" t="s">
        <v>244</v>
      </c>
      <c r="E788" s="24">
        <v>-182.93</v>
      </c>
      <c r="F788" s="24">
        <v>5.02</v>
      </c>
    </row>
    <row r="789" s="24" customFormat="1" spans="1:6">
      <c r="A789" s="24" t="s">
        <v>142</v>
      </c>
      <c r="B789" s="24" t="str">
        <f>"002486"</f>
        <v>002486</v>
      </c>
      <c r="C789" s="24" t="s">
        <v>1007</v>
      </c>
      <c r="D789" s="24" t="s">
        <v>161</v>
      </c>
      <c r="E789" s="24">
        <v>-183.11</v>
      </c>
      <c r="F789" s="24">
        <v>3.37</v>
      </c>
    </row>
    <row r="790" s="24" customFormat="1" spans="1:6">
      <c r="A790" s="24" t="s">
        <v>142</v>
      </c>
      <c r="B790" s="24" t="str">
        <f>"000929"</f>
        <v>000929</v>
      </c>
      <c r="C790" s="24" t="s">
        <v>1008</v>
      </c>
      <c r="D790" s="24" t="s">
        <v>309</v>
      </c>
      <c r="E790" s="24">
        <v>-183.84</v>
      </c>
      <c r="F790" s="24">
        <v>1.7</v>
      </c>
    </row>
    <row r="791" s="24" customFormat="1" spans="1:6">
      <c r="A791" s="24" t="s">
        <v>142</v>
      </c>
      <c r="B791" s="24" t="str">
        <f>"300300"</f>
        <v>300300</v>
      </c>
      <c r="C791" s="24" t="s">
        <v>1009</v>
      </c>
      <c r="D791" s="24" t="s">
        <v>159</v>
      </c>
      <c r="E791" s="24">
        <v>-185.84</v>
      </c>
      <c r="F791" s="24">
        <v>2.64</v>
      </c>
    </row>
    <row r="792" s="24" customFormat="1" spans="1:6">
      <c r="A792" s="24" t="s">
        <v>142</v>
      </c>
      <c r="B792" s="24" t="str">
        <f>"002046"</f>
        <v>002046</v>
      </c>
      <c r="C792" s="24" t="s">
        <v>1010</v>
      </c>
      <c r="D792" s="24" t="s">
        <v>165</v>
      </c>
      <c r="E792" s="24">
        <v>-187.06</v>
      </c>
      <c r="F792" s="24">
        <v>1.16</v>
      </c>
    </row>
    <row r="793" s="24" customFormat="1" spans="1:6">
      <c r="A793" s="24" t="s">
        <v>142</v>
      </c>
      <c r="B793" s="24" t="str">
        <f>"200986"</f>
        <v>200986</v>
      </c>
      <c r="C793" s="24" t="s">
        <v>1011</v>
      </c>
      <c r="D793" s="24"/>
      <c r="E793" s="24">
        <v>-187.77</v>
      </c>
      <c r="F793" s="24">
        <v>0.51</v>
      </c>
    </row>
    <row r="794" s="24" customFormat="1" spans="1:6">
      <c r="A794" s="24" t="s">
        <v>140</v>
      </c>
      <c r="B794" s="24" t="str">
        <f>"600421"</f>
        <v>600421</v>
      </c>
      <c r="C794" s="24" t="s">
        <v>1012</v>
      </c>
      <c r="D794" s="24" t="s">
        <v>165</v>
      </c>
      <c r="E794" s="24">
        <v>-190.6</v>
      </c>
      <c r="F794" s="24">
        <v>-534.95</v>
      </c>
    </row>
    <row r="795" s="24" customFormat="1" spans="1:6">
      <c r="A795" s="24" t="s">
        <v>142</v>
      </c>
      <c r="B795" s="24" t="str">
        <f>"002031"</f>
        <v>002031</v>
      </c>
      <c r="C795" s="24" t="s">
        <v>1013</v>
      </c>
      <c r="D795" s="24" t="s">
        <v>173</v>
      </c>
      <c r="E795" s="24">
        <v>-191.85</v>
      </c>
      <c r="F795" s="24">
        <v>1.47</v>
      </c>
    </row>
    <row r="796" s="24" customFormat="1" spans="1:6">
      <c r="A796" s="24" t="s">
        <v>140</v>
      </c>
      <c r="B796" s="24" t="str">
        <f>"603721"</f>
        <v>603721</v>
      </c>
      <c r="C796" s="24" t="s">
        <v>1014</v>
      </c>
      <c r="D796" s="24" t="s">
        <v>170</v>
      </c>
      <c r="E796" s="24">
        <v>-193.61</v>
      </c>
      <c r="F796" s="24">
        <v>5.76</v>
      </c>
    </row>
    <row r="797" s="24" customFormat="1" spans="1:6">
      <c r="A797" s="24" t="s">
        <v>140</v>
      </c>
      <c r="B797" s="24" t="str">
        <f>"601008"</f>
        <v>601008</v>
      </c>
      <c r="C797" s="24" t="s">
        <v>1015</v>
      </c>
      <c r="D797" s="24" t="s">
        <v>1016</v>
      </c>
      <c r="E797" s="24">
        <v>-193.73</v>
      </c>
      <c r="F797" s="24">
        <v>1.09</v>
      </c>
    </row>
    <row r="798" s="24" customFormat="1" spans="1:6">
      <c r="A798" s="24" t="s">
        <v>140</v>
      </c>
      <c r="B798" s="24" t="str">
        <f>"600310"</f>
        <v>600310</v>
      </c>
      <c r="C798" s="24" t="s">
        <v>1017</v>
      </c>
      <c r="D798" s="24" t="s">
        <v>188</v>
      </c>
      <c r="E798" s="24">
        <v>-195.06</v>
      </c>
      <c r="F798" s="24">
        <v>1.98</v>
      </c>
    </row>
    <row r="799" s="24" customFormat="1" spans="1:6">
      <c r="A799" s="24" t="s">
        <v>142</v>
      </c>
      <c r="B799" s="24" t="str">
        <f>"002379"</f>
        <v>002379</v>
      </c>
      <c r="C799" s="24" t="s">
        <v>1018</v>
      </c>
      <c r="D799" s="24" t="s">
        <v>167</v>
      </c>
      <c r="E799" s="24">
        <v>-195.74</v>
      </c>
      <c r="F799" s="24">
        <v>2.35</v>
      </c>
    </row>
    <row r="800" s="24" customFormat="1" spans="1:6">
      <c r="A800" s="24" t="s">
        <v>142</v>
      </c>
      <c r="B800" s="24" t="str">
        <f>"002239"</f>
        <v>002239</v>
      </c>
      <c r="C800" s="24" t="s">
        <v>1019</v>
      </c>
      <c r="D800" s="24" t="s">
        <v>204</v>
      </c>
      <c r="E800" s="24">
        <v>-198.21</v>
      </c>
      <c r="F800" s="24">
        <v>3.42</v>
      </c>
    </row>
    <row r="801" s="24" customFormat="1" spans="1:6">
      <c r="A801" s="24" t="s">
        <v>142</v>
      </c>
      <c r="B801" s="24" t="str">
        <f>"002348"</f>
        <v>002348</v>
      </c>
      <c r="C801" s="24" t="s">
        <v>1020</v>
      </c>
      <c r="D801" s="24" t="s">
        <v>283</v>
      </c>
      <c r="E801" s="24">
        <v>-205.18</v>
      </c>
      <c r="F801" s="24">
        <v>3.15</v>
      </c>
    </row>
    <row r="802" s="24" customFormat="1" spans="1:6">
      <c r="A802" s="24" t="s">
        <v>142</v>
      </c>
      <c r="B802" s="24" t="str">
        <f>"300101"</f>
        <v>300101</v>
      </c>
      <c r="C802" s="24" t="s">
        <v>1021</v>
      </c>
      <c r="D802" s="24" t="s">
        <v>193</v>
      </c>
      <c r="E802" s="24">
        <v>-205.81</v>
      </c>
      <c r="F802" s="24">
        <v>6.63</v>
      </c>
    </row>
    <row r="803" s="24" customFormat="1" spans="1:6">
      <c r="A803" s="24" t="s">
        <v>140</v>
      </c>
      <c r="B803" s="24" t="str">
        <f>"600169"</f>
        <v>600169</v>
      </c>
      <c r="C803" s="24" t="s">
        <v>1022</v>
      </c>
      <c r="D803" s="24" t="s">
        <v>173</v>
      </c>
      <c r="E803" s="24">
        <v>-207.65</v>
      </c>
      <c r="F803" s="24">
        <v>1.17</v>
      </c>
    </row>
    <row r="804" s="24" customFormat="1" spans="1:6">
      <c r="A804" s="24" t="s">
        <v>142</v>
      </c>
      <c r="B804" s="24" t="str">
        <f>"002163"</f>
        <v>002163</v>
      </c>
      <c r="C804" s="24" t="s">
        <v>1023</v>
      </c>
      <c r="D804" s="24" t="s">
        <v>315</v>
      </c>
      <c r="E804" s="24">
        <v>-208.82</v>
      </c>
      <c r="F804" s="24">
        <v>6.75</v>
      </c>
    </row>
    <row r="805" s="24" customFormat="1" spans="1:6">
      <c r="A805" s="24" t="s">
        <v>142</v>
      </c>
      <c r="B805" s="24" t="str">
        <f>"000856"</f>
        <v>000856</v>
      </c>
      <c r="C805" s="24" t="s">
        <v>1024</v>
      </c>
      <c r="D805" s="24" t="s">
        <v>173</v>
      </c>
      <c r="E805" s="24">
        <v>-209.74</v>
      </c>
      <c r="F805" s="24">
        <v>6.32</v>
      </c>
    </row>
    <row r="806" s="24" customFormat="1" spans="1:6">
      <c r="A806" s="24" t="s">
        <v>140</v>
      </c>
      <c r="B806" s="24" t="str">
        <f>"600718"</f>
        <v>600718</v>
      </c>
      <c r="C806" s="24" t="s">
        <v>1025</v>
      </c>
      <c r="D806" s="24" t="s">
        <v>156</v>
      </c>
      <c r="E806" s="24">
        <v>-210.76</v>
      </c>
      <c r="F806" s="24">
        <v>1.87</v>
      </c>
    </row>
    <row r="807" s="24" customFormat="1" spans="1:6">
      <c r="A807" s="24" t="s">
        <v>142</v>
      </c>
      <c r="B807" s="24" t="str">
        <f>"300289"</f>
        <v>300289</v>
      </c>
      <c r="C807" s="24" t="s">
        <v>1026</v>
      </c>
      <c r="D807" s="24" t="s">
        <v>326</v>
      </c>
      <c r="E807" s="24">
        <v>-210.91</v>
      </c>
      <c r="F807" s="24">
        <v>2.15</v>
      </c>
    </row>
    <row r="808" s="24" customFormat="1" spans="1:6">
      <c r="A808" s="24" t="s">
        <v>142</v>
      </c>
      <c r="B808" s="24" t="str">
        <f>"300068"</f>
        <v>300068</v>
      </c>
      <c r="C808" s="24" t="s">
        <v>1027</v>
      </c>
      <c r="D808" s="24" t="s">
        <v>152</v>
      </c>
      <c r="E808" s="24">
        <v>-211.42</v>
      </c>
      <c r="F808" s="24">
        <v>1.88</v>
      </c>
    </row>
    <row r="809" s="24" customFormat="1" spans="1:6">
      <c r="A809" s="24" t="s">
        <v>142</v>
      </c>
      <c r="B809" s="24" t="str">
        <f>"300150"</f>
        <v>300150</v>
      </c>
      <c r="C809" s="24" t="s">
        <v>1028</v>
      </c>
      <c r="D809" s="24" t="s">
        <v>159</v>
      </c>
      <c r="E809" s="24">
        <v>-211.8</v>
      </c>
      <c r="F809" s="24">
        <v>2.1</v>
      </c>
    </row>
    <row r="810" s="24" customFormat="1" spans="1:6">
      <c r="A810" s="24" t="s">
        <v>140</v>
      </c>
      <c r="B810" s="24" t="str">
        <f>"600060"</f>
        <v>600060</v>
      </c>
      <c r="C810" s="24" t="s">
        <v>1029</v>
      </c>
      <c r="D810" s="24" t="s">
        <v>184</v>
      </c>
      <c r="E810" s="24">
        <v>-214.8</v>
      </c>
      <c r="F810" s="24">
        <v>1.25</v>
      </c>
    </row>
    <row r="811" s="24" customFormat="1" spans="1:6">
      <c r="A811" s="24" t="s">
        <v>142</v>
      </c>
      <c r="B811" s="24" t="str">
        <f>"000151"</f>
        <v>000151</v>
      </c>
      <c r="C811" s="24" t="s">
        <v>1030</v>
      </c>
      <c r="D811" s="24" t="s">
        <v>267</v>
      </c>
      <c r="E811" s="24">
        <v>-226.26</v>
      </c>
      <c r="F811" s="24">
        <v>2.62</v>
      </c>
    </row>
    <row r="812" s="24" customFormat="1" spans="1:6">
      <c r="A812" s="24" t="s">
        <v>140</v>
      </c>
      <c r="B812" s="24" t="str">
        <f>"600839"</f>
        <v>600839</v>
      </c>
      <c r="C812" s="24" t="s">
        <v>1031</v>
      </c>
      <c r="D812" s="24" t="s">
        <v>184</v>
      </c>
      <c r="E812" s="24">
        <v>-232.69</v>
      </c>
      <c r="F812" s="24">
        <v>0.96</v>
      </c>
    </row>
    <row r="813" s="24" customFormat="1" spans="1:6">
      <c r="A813" s="24" t="s">
        <v>142</v>
      </c>
      <c r="B813" s="24" t="str">
        <f>"300392"</f>
        <v>300392</v>
      </c>
      <c r="C813" s="24" t="s">
        <v>1032</v>
      </c>
      <c r="D813" s="24" t="s">
        <v>170</v>
      </c>
      <c r="E813" s="24">
        <v>-234.24</v>
      </c>
      <c r="F813" s="24">
        <v>5.35</v>
      </c>
    </row>
    <row r="814" s="24" customFormat="1" spans="1:6">
      <c r="A814" s="24" t="s">
        <v>142</v>
      </c>
      <c r="B814" s="24" t="str">
        <f>"002451"</f>
        <v>002451</v>
      </c>
      <c r="C814" s="24" t="s">
        <v>1033</v>
      </c>
      <c r="D814" s="24" t="s">
        <v>251</v>
      </c>
      <c r="E814" s="24">
        <v>-235.72</v>
      </c>
      <c r="F814" s="24">
        <v>5.13</v>
      </c>
    </row>
    <row r="815" s="24" customFormat="1" spans="1:6">
      <c r="A815" s="24" t="s">
        <v>142</v>
      </c>
      <c r="B815" s="24" t="str">
        <f>"002483"</f>
        <v>002483</v>
      </c>
      <c r="C815" s="24" t="s">
        <v>1034</v>
      </c>
      <c r="D815" s="24" t="s">
        <v>173</v>
      </c>
      <c r="E815" s="24">
        <v>-237.47</v>
      </c>
      <c r="F815" s="24">
        <v>1.6</v>
      </c>
    </row>
    <row r="816" s="24" customFormat="1" spans="1:6">
      <c r="A816" s="24" t="s">
        <v>142</v>
      </c>
      <c r="B816" s="24" t="str">
        <f>"000712"</f>
        <v>000712</v>
      </c>
      <c r="C816" s="24" t="s">
        <v>1035</v>
      </c>
      <c r="D816" s="24" t="s">
        <v>714</v>
      </c>
      <c r="E816" s="24">
        <v>-238.11</v>
      </c>
      <c r="F816" s="24">
        <v>3.76</v>
      </c>
    </row>
    <row r="817" s="24" customFormat="1" spans="1:6">
      <c r="A817" s="24" t="s">
        <v>140</v>
      </c>
      <c r="B817" s="24" t="str">
        <f>"600746"</f>
        <v>600746</v>
      </c>
      <c r="C817" s="24" t="s">
        <v>1036</v>
      </c>
      <c r="D817" s="24" t="s">
        <v>256</v>
      </c>
      <c r="E817" s="24">
        <v>-240.62</v>
      </c>
      <c r="F817" s="24">
        <v>4.6</v>
      </c>
    </row>
    <row r="818" s="24" customFormat="1" spans="1:6">
      <c r="A818" s="24" t="s">
        <v>142</v>
      </c>
      <c r="B818" s="24" t="str">
        <f>"000622"</f>
        <v>000622</v>
      </c>
      <c r="C818" s="24" t="s">
        <v>1037</v>
      </c>
      <c r="D818" s="24" t="s">
        <v>204</v>
      </c>
      <c r="E818" s="24">
        <v>-243.1</v>
      </c>
      <c r="F818" s="24">
        <v>9.45</v>
      </c>
    </row>
    <row r="819" s="24" customFormat="1" spans="1:6">
      <c r="A819" s="24" t="s">
        <v>140</v>
      </c>
      <c r="B819" s="24" t="str">
        <f>"600257"</f>
        <v>600257</v>
      </c>
      <c r="C819" s="24" t="s">
        <v>1038</v>
      </c>
      <c r="D819" s="24" t="s">
        <v>145</v>
      </c>
      <c r="E819" s="24">
        <v>-245.07</v>
      </c>
      <c r="F819" s="24">
        <v>1.34</v>
      </c>
    </row>
    <row r="820" s="24" customFormat="1" spans="1:6">
      <c r="A820" s="24" t="s">
        <v>140</v>
      </c>
      <c r="B820" s="24" t="str">
        <f>"600107"</f>
        <v>600107</v>
      </c>
      <c r="C820" s="24" t="s">
        <v>1039</v>
      </c>
      <c r="D820" s="24" t="s">
        <v>161</v>
      </c>
      <c r="E820" s="24">
        <v>-250.68</v>
      </c>
      <c r="F820" s="24">
        <v>3.37</v>
      </c>
    </row>
    <row r="821" s="24" customFormat="1" spans="1:6">
      <c r="A821" s="24" t="s">
        <v>140</v>
      </c>
      <c r="B821" s="24" t="str">
        <f>"603626"</f>
        <v>603626</v>
      </c>
      <c r="C821" s="24" t="s">
        <v>1040</v>
      </c>
      <c r="D821" s="24" t="s">
        <v>167</v>
      </c>
      <c r="E821" s="24">
        <v>-253.96</v>
      </c>
      <c r="F821" s="24">
        <v>3.28</v>
      </c>
    </row>
    <row r="822" s="24" customFormat="1" spans="1:6">
      <c r="A822" s="24" t="s">
        <v>140</v>
      </c>
      <c r="B822" s="24" t="str">
        <f>"600150"</f>
        <v>600150</v>
      </c>
      <c r="C822" s="24" t="s">
        <v>1041</v>
      </c>
      <c r="D822" s="24" t="s">
        <v>173</v>
      </c>
      <c r="E822" s="24">
        <v>-258.22</v>
      </c>
      <c r="F822" s="24">
        <v>1.74</v>
      </c>
    </row>
    <row r="823" s="24" customFormat="1" spans="1:6">
      <c r="A823" s="24" t="s">
        <v>140</v>
      </c>
      <c r="B823" s="24" t="str">
        <f>"600228"</f>
        <v>600228</v>
      </c>
      <c r="C823" s="24" t="s">
        <v>1042</v>
      </c>
      <c r="D823" s="24" t="s">
        <v>256</v>
      </c>
      <c r="E823" s="24">
        <v>-266.18</v>
      </c>
      <c r="F823" s="24">
        <v>24.01</v>
      </c>
    </row>
    <row r="824" s="24" customFormat="1" spans="1:6">
      <c r="A824" s="24" t="s">
        <v>140</v>
      </c>
      <c r="B824" s="24" t="str">
        <f>"600630"</f>
        <v>600630</v>
      </c>
      <c r="C824" s="24" t="s">
        <v>1043</v>
      </c>
      <c r="D824" s="24" t="s">
        <v>161</v>
      </c>
      <c r="E824" s="24">
        <v>-266.44</v>
      </c>
      <c r="F824" s="24">
        <v>2.02</v>
      </c>
    </row>
    <row r="825" s="24" customFormat="1" spans="1:6">
      <c r="A825" s="24" t="s">
        <v>140</v>
      </c>
      <c r="B825" s="24" t="str">
        <f>"600375"</f>
        <v>600375</v>
      </c>
      <c r="C825" s="24" t="s">
        <v>1044</v>
      </c>
      <c r="D825" s="24" t="s">
        <v>173</v>
      </c>
      <c r="E825" s="24">
        <v>-269.5</v>
      </c>
      <c r="F825" s="24">
        <v>0.8</v>
      </c>
    </row>
    <row r="826" s="24" customFormat="1" spans="1:6">
      <c r="A826" s="24" t="s">
        <v>142</v>
      </c>
      <c r="B826" s="24" t="str">
        <f>"000905"</f>
        <v>000905</v>
      </c>
      <c r="C826" s="24" t="s">
        <v>1045</v>
      </c>
      <c r="D826" s="24" t="s">
        <v>1016</v>
      </c>
      <c r="E826" s="24">
        <v>-270.72</v>
      </c>
      <c r="F826" s="24">
        <v>1.45</v>
      </c>
    </row>
    <row r="827" s="24" customFormat="1" spans="1:6">
      <c r="A827" s="24" t="s">
        <v>140</v>
      </c>
      <c r="B827" s="24" t="str">
        <f>"600689"</f>
        <v>600689</v>
      </c>
      <c r="C827" s="24" t="s">
        <v>1046</v>
      </c>
      <c r="D827" s="24" t="s">
        <v>253</v>
      </c>
      <c r="E827" s="24">
        <v>-275.51</v>
      </c>
      <c r="F827" s="24">
        <v>3.65</v>
      </c>
    </row>
    <row r="828" s="24" customFormat="1" spans="1:6">
      <c r="A828" s="24" t="s">
        <v>142</v>
      </c>
      <c r="B828" s="24" t="str">
        <f>"002341"</f>
        <v>002341</v>
      </c>
      <c r="C828" s="24" t="s">
        <v>1047</v>
      </c>
      <c r="D828" s="24" t="s">
        <v>228</v>
      </c>
      <c r="E828" s="24">
        <v>-278.88</v>
      </c>
      <c r="F828" s="24">
        <v>2.39</v>
      </c>
    </row>
    <row r="829" s="24" customFormat="1" spans="1:6">
      <c r="A829" s="24" t="s">
        <v>142</v>
      </c>
      <c r="B829" s="24" t="str">
        <f>"200017"</f>
        <v>200017</v>
      </c>
      <c r="C829" s="24" t="s">
        <v>1048</v>
      </c>
      <c r="D829" s="24"/>
      <c r="E829" s="24">
        <v>-279.07</v>
      </c>
      <c r="F829" s="24">
        <v>51.51</v>
      </c>
    </row>
    <row r="830" s="24" customFormat="1" spans="1:6">
      <c r="A830" s="24" t="s">
        <v>142</v>
      </c>
      <c r="B830" s="24" t="str">
        <f>"300555"</f>
        <v>300555</v>
      </c>
      <c r="C830" s="24" t="s">
        <v>1049</v>
      </c>
      <c r="D830" s="24" t="s">
        <v>193</v>
      </c>
      <c r="E830" s="24">
        <v>-281.01</v>
      </c>
      <c r="F830" s="24">
        <v>2.64</v>
      </c>
    </row>
    <row r="831" s="24" customFormat="1" spans="1:6">
      <c r="A831" s="24" t="s">
        <v>142</v>
      </c>
      <c r="B831" s="24" t="str">
        <f>"002169"</f>
        <v>002169</v>
      </c>
      <c r="C831" s="24" t="s">
        <v>1050</v>
      </c>
      <c r="D831" s="24" t="s">
        <v>251</v>
      </c>
      <c r="E831" s="24">
        <v>-285.16</v>
      </c>
      <c r="F831" s="24">
        <v>2.04</v>
      </c>
    </row>
    <row r="832" s="24" customFormat="1" spans="1:6">
      <c r="A832" s="24" t="s">
        <v>140</v>
      </c>
      <c r="B832" s="24" t="str">
        <f>"603133"</f>
        <v>603133</v>
      </c>
      <c r="C832" s="24" t="s">
        <v>1051</v>
      </c>
      <c r="D832" s="24" t="s">
        <v>197</v>
      </c>
      <c r="E832" s="24">
        <v>-287.36</v>
      </c>
      <c r="F832" s="24">
        <v>5.52</v>
      </c>
    </row>
    <row r="833" s="24" customFormat="1" spans="1:6">
      <c r="A833" s="24" t="s">
        <v>142</v>
      </c>
      <c r="B833" s="24" t="str">
        <f>"000852"</f>
        <v>000852</v>
      </c>
      <c r="C833" s="24" t="s">
        <v>1052</v>
      </c>
      <c r="D833" s="24" t="s">
        <v>377</v>
      </c>
      <c r="E833" s="24">
        <v>-287.84</v>
      </c>
      <c r="F833" s="24">
        <v>2.36</v>
      </c>
    </row>
    <row r="834" s="24" customFormat="1" spans="1:6">
      <c r="A834" s="24" t="s">
        <v>140</v>
      </c>
      <c r="B834" s="24" t="str">
        <f>"601969"</f>
        <v>601969</v>
      </c>
      <c r="C834" s="24" t="s">
        <v>1053</v>
      </c>
      <c r="D834" s="24" t="s">
        <v>258</v>
      </c>
      <c r="E834" s="24">
        <v>-291.43</v>
      </c>
      <c r="F834" s="24">
        <v>2.47</v>
      </c>
    </row>
    <row r="835" s="24" customFormat="1" spans="1:6">
      <c r="A835" s="24" t="s">
        <v>142</v>
      </c>
      <c r="B835" s="24" t="str">
        <f>"300510"</f>
        <v>300510</v>
      </c>
      <c r="C835" s="24" t="s">
        <v>1054</v>
      </c>
      <c r="D835" s="24" t="s">
        <v>251</v>
      </c>
      <c r="E835" s="24">
        <v>-292.21</v>
      </c>
      <c r="F835" s="24">
        <v>2.3</v>
      </c>
    </row>
    <row r="836" s="24" customFormat="1" spans="1:6">
      <c r="A836" s="24" t="s">
        <v>142</v>
      </c>
      <c r="B836" s="24" t="str">
        <f>"002362"</f>
        <v>002362</v>
      </c>
      <c r="C836" s="24" t="s">
        <v>1055</v>
      </c>
      <c r="D836" s="24" t="s">
        <v>283</v>
      </c>
      <c r="E836" s="24">
        <v>-296.48</v>
      </c>
      <c r="F836" s="24">
        <v>4.51</v>
      </c>
    </row>
    <row r="837" s="24" customFormat="1" spans="1:6">
      <c r="A837" s="24" t="s">
        <v>140</v>
      </c>
      <c r="B837" s="24" t="str">
        <f>"603725"</f>
        <v>603725</v>
      </c>
      <c r="C837" s="24" t="s">
        <v>1056</v>
      </c>
      <c r="D837" s="24" t="s">
        <v>667</v>
      </c>
      <c r="E837" s="24">
        <v>-299.17</v>
      </c>
      <c r="F837" s="24">
        <v>1.57</v>
      </c>
    </row>
    <row r="838" s="24" customFormat="1" spans="1:6">
      <c r="A838" s="24" t="s">
        <v>140</v>
      </c>
      <c r="B838" s="24" t="str">
        <f>"600556"</f>
        <v>600556</v>
      </c>
      <c r="C838" s="24" t="s">
        <v>1057</v>
      </c>
      <c r="D838" s="24" t="s">
        <v>1058</v>
      </c>
      <c r="E838" s="24">
        <v>-303.16</v>
      </c>
      <c r="F838" s="24">
        <v>-504.27</v>
      </c>
    </row>
    <row r="839" s="24" customFormat="1" spans="1:6">
      <c r="A839" s="24" t="s">
        <v>140</v>
      </c>
      <c r="B839" s="24" t="str">
        <f>"600293"</f>
        <v>600293</v>
      </c>
      <c r="C839" s="24" t="s">
        <v>1059</v>
      </c>
      <c r="D839" s="24" t="s">
        <v>193</v>
      </c>
      <c r="E839" s="24">
        <v>-308.5</v>
      </c>
      <c r="F839" s="24">
        <v>1.21</v>
      </c>
    </row>
    <row r="840" s="24" customFormat="1" spans="1:6">
      <c r="A840" s="24" t="s">
        <v>142</v>
      </c>
      <c r="B840" s="24" t="str">
        <f>"000058"</f>
        <v>000058</v>
      </c>
      <c r="C840" s="24" t="s">
        <v>1060</v>
      </c>
      <c r="D840" s="24" t="s">
        <v>623</v>
      </c>
      <c r="E840" s="24">
        <v>-310.77</v>
      </c>
      <c r="F840" s="24">
        <v>4.4</v>
      </c>
    </row>
    <row r="841" s="24" customFormat="1" spans="1:6">
      <c r="A841" s="24" t="s">
        <v>142</v>
      </c>
      <c r="B841" s="24" t="str">
        <f>"002459"</f>
        <v>002459</v>
      </c>
      <c r="C841" s="24" t="s">
        <v>1061</v>
      </c>
      <c r="D841" s="24" t="s">
        <v>173</v>
      </c>
      <c r="E841" s="24">
        <v>-315.16</v>
      </c>
      <c r="F841" s="24">
        <v>2.69</v>
      </c>
    </row>
    <row r="842" s="24" customFormat="1" spans="1:6">
      <c r="A842" s="24" t="s">
        <v>142</v>
      </c>
      <c r="B842" s="24" t="str">
        <f>"300106"</f>
        <v>300106</v>
      </c>
      <c r="C842" s="24" t="s">
        <v>1062</v>
      </c>
      <c r="D842" s="24" t="s">
        <v>190</v>
      </c>
      <c r="E842" s="24">
        <v>-318.83</v>
      </c>
      <c r="F842" s="24">
        <v>1.82</v>
      </c>
    </row>
    <row r="843" s="24" customFormat="1" spans="1:6">
      <c r="A843" s="24" t="s">
        <v>140</v>
      </c>
      <c r="B843" s="24" t="str">
        <f>"600870"</f>
        <v>600870</v>
      </c>
      <c r="C843" s="24" t="s">
        <v>1063</v>
      </c>
      <c r="D843" s="24" t="s">
        <v>506</v>
      </c>
      <c r="E843" s="24">
        <v>-327.51</v>
      </c>
      <c r="F843" s="24">
        <v>183.69</v>
      </c>
    </row>
    <row r="844" s="24" customFormat="1" spans="1:6">
      <c r="A844" s="24" t="s">
        <v>140</v>
      </c>
      <c r="B844" s="24" t="str">
        <f>"600460"</f>
        <v>600460</v>
      </c>
      <c r="C844" s="24" t="s">
        <v>1064</v>
      </c>
      <c r="D844" s="24" t="s">
        <v>276</v>
      </c>
      <c r="E844" s="24">
        <v>-329.7</v>
      </c>
      <c r="F844" s="24">
        <v>6.62</v>
      </c>
    </row>
    <row r="845" s="24" customFormat="1" spans="1:6">
      <c r="A845" s="24" t="s">
        <v>142</v>
      </c>
      <c r="B845" s="24" t="str">
        <f>"300648"</f>
        <v>300648</v>
      </c>
      <c r="C845" s="24" t="s">
        <v>1065</v>
      </c>
      <c r="D845" s="24" t="s">
        <v>152</v>
      </c>
      <c r="E845" s="24">
        <v>-334.88</v>
      </c>
      <c r="F845" s="24">
        <v>3.75</v>
      </c>
    </row>
    <row r="846" s="24" customFormat="1" spans="1:6">
      <c r="A846" s="24" t="s">
        <v>140</v>
      </c>
      <c r="B846" s="24" t="str">
        <f>"600711"</f>
        <v>600711</v>
      </c>
      <c r="C846" s="24" t="s">
        <v>1066</v>
      </c>
      <c r="D846" s="24" t="s">
        <v>267</v>
      </c>
      <c r="E846" s="24">
        <v>-336.36</v>
      </c>
      <c r="F846" s="24">
        <v>1.52</v>
      </c>
    </row>
    <row r="847" s="24" customFormat="1" spans="1:6">
      <c r="A847" s="24" t="s">
        <v>142</v>
      </c>
      <c r="B847" s="24" t="str">
        <f>"002213"</f>
        <v>002213</v>
      </c>
      <c r="C847" s="24" t="s">
        <v>1067</v>
      </c>
      <c r="D847" s="24" t="s">
        <v>204</v>
      </c>
      <c r="E847" s="24">
        <v>-346.48</v>
      </c>
      <c r="F847" s="24">
        <v>6.6</v>
      </c>
    </row>
    <row r="848" s="24" customFormat="1" spans="1:6">
      <c r="A848" s="24" t="s">
        <v>140</v>
      </c>
      <c r="B848" s="24" t="str">
        <f>"600537"</f>
        <v>600537</v>
      </c>
      <c r="C848" s="24" t="s">
        <v>1068</v>
      </c>
      <c r="D848" s="24" t="s">
        <v>197</v>
      </c>
      <c r="E848" s="24">
        <v>-354.83</v>
      </c>
      <c r="F848" s="24">
        <v>1.1</v>
      </c>
    </row>
    <row r="849" s="24" customFormat="1" spans="1:6">
      <c r="A849" s="24" t="s">
        <v>140</v>
      </c>
      <c r="B849" s="24" t="str">
        <f>"600662"</f>
        <v>600662</v>
      </c>
      <c r="C849" s="24" t="s">
        <v>1069</v>
      </c>
      <c r="D849" s="24" t="s">
        <v>540</v>
      </c>
      <c r="E849" s="24">
        <v>-362.9</v>
      </c>
      <c r="F849" s="24">
        <v>1.24</v>
      </c>
    </row>
    <row r="850" s="24" customFormat="1" spans="1:6">
      <c r="A850" s="24" t="s">
        <v>140</v>
      </c>
      <c r="B850" s="24" t="str">
        <f>"603029"</f>
        <v>603029</v>
      </c>
      <c r="C850" s="24" t="s">
        <v>1070</v>
      </c>
      <c r="D850" s="24" t="s">
        <v>173</v>
      </c>
      <c r="E850" s="24">
        <v>-375.64</v>
      </c>
      <c r="F850" s="24">
        <v>2.08</v>
      </c>
    </row>
    <row r="851" s="24" customFormat="1" spans="1:6">
      <c r="A851" s="24" t="s">
        <v>142</v>
      </c>
      <c r="B851" s="24" t="str">
        <f>"002565"</f>
        <v>002565</v>
      </c>
      <c r="C851" s="24" t="s">
        <v>1071</v>
      </c>
      <c r="D851" s="24" t="s">
        <v>509</v>
      </c>
      <c r="E851" s="24">
        <v>-378.93</v>
      </c>
      <c r="F851" s="24">
        <v>3.01</v>
      </c>
    </row>
    <row r="852" s="24" customFormat="1" spans="1:6">
      <c r="A852" s="24" t="s">
        <v>142</v>
      </c>
      <c r="B852" s="24" t="str">
        <f>"000566"</f>
        <v>000566</v>
      </c>
      <c r="C852" s="24" t="s">
        <v>1072</v>
      </c>
      <c r="D852" s="24" t="s">
        <v>464</v>
      </c>
      <c r="E852" s="24">
        <v>-379.14</v>
      </c>
      <c r="F852" s="24">
        <v>2.54</v>
      </c>
    </row>
    <row r="853" s="24" customFormat="1" spans="1:6">
      <c r="A853" s="24" t="s">
        <v>142</v>
      </c>
      <c r="B853" s="24" t="str">
        <f>"300115"</f>
        <v>300115</v>
      </c>
      <c r="C853" s="24" t="s">
        <v>1073</v>
      </c>
      <c r="D853" s="24" t="s">
        <v>197</v>
      </c>
      <c r="E853" s="24">
        <v>-381.49</v>
      </c>
      <c r="F853" s="24">
        <v>4.38</v>
      </c>
    </row>
    <row r="854" s="24" customFormat="1" spans="1:6">
      <c r="A854" s="24" t="s">
        <v>142</v>
      </c>
      <c r="B854" s="24" t="str">
        <f>"000518"</f>
        <v>000518</v>
      </c>
      <c r="C854" s="24" t="s">
        <v>1074</v>
      </c>
      <c r="D854" s="24" t="s">
        <v>464</v>
      </c>
      <c r="E854" s="24">
        <v>-408.23</v>
      </c>
      <c r="F854" s="24">
        <v>10.22</v>
      </c>
    </row>
    <row r="855" s="24" customFormat="1" spans="1:6">
      <c r="A855" s="24" t="s">
        <v>140</v>
      </c>
      <c r="B855" s="24" t="str">
        <f>"600149"</f>
        <v>600149</v>
      </c>
      <c r="C855" s="24" t="s">
        <v>1075</v>
      </c>
      <c r="D855" s="24" t="s">
        <v>1076</v>
      </c>
      <c r="E855" s="24">
        <v>-417.01</v>
      </c>
      <c r="F855" s="24">
        <v>11.17</v>
      </c>
    </row>
    <row r="856" s="24" customFormat="1" spans="1:6">
      <c r="A856" s="24" t="s">
        <v>142</v>
      </c>
      <c r="B856" s="24" t="str">
        <f>"002229"</f>
        <v>002229</v>
      </c>
      <c r="C856" s="24" t="s">
        <v>1077</v>
      </c>
      <c r="D856" s="24" t="s">
        <v>214</v>
      </c>
      <c r="E856" s="24">
        <v>-418.73</v>
      </c>
      <c r="F856" s="24">
        <v>2.55</v>
      </c>
    </row>
    <row r="857" s="24" customFormat="1" spans="1:6">
      <c r="A857" s="24" t="s">
        <v>142</v>
      </c>
      <c r="B857" s="24" t="str">
        <f>"002829"</f>
        <v>002829</v>
      </c>
      <c r="C857" s="24" t="s">
        <v>1078</v>
      </c>
      <c r="D857" s="24" t="s">
        <v>395</v>
      </c>
      <c r="E857" s="24">
        <v>-428.94</v>
      </c>
      <c r="F857" s="24">
        <v>7.89</v>
      </c>
    </row>
    <row r="858" s="24" customFormat="1" spans="1:6">
      <c r="A858" s="24" t="s">
        <v>142</v>
      </c>
      <c r="B858" s="24" t="str">
        <f>"000063"</f>
        <v>000063</v>
      </c>
      <c r="C858" s="24" t="s">
        <v>1079</v>
      </c>
      <c r="D858" s="24" t="s">
        <v>193</v>
      </c>
      <c r="E858" s="24">
        <v>-429.64</v>
      </c>
      <c r="F858" s="24">
        <v>4.69</v>
      </c>
    </row>
    <row r="859" s="24" customFormat="1" spans="1:6">
      <c r="A859" s="24" t="s">
        <v>142</v>
      </c>
      <c r="B859" s="24" t="str">
        <f>"002428"</f>
        <v>002428</v>
      </c>
      <c r="C859" s="24" t="s">
        <v>1080</v>
      </c>
      <c r="D859" s="24" t="s">
        <v>167</v>
      </c>
      <c r="E859" s="24">
        <v>-431.15</v>
      </c>
      <c r="F859" s="24">
        <v>5.3</v>
      </c>
    </row>
    <row r="860" s="24" customFormat="1" spans="1:6">
      <c r="A860" s="24" t="s">
        <v>142</v>
      </c>
      <c r="B860" s="24" t="str">
        <f>"000931"</f>
        <v>000931</v>
      </c>
      <c r="C860" s="24" t="s">
        <v>1081</v>
      </c>
      <c r="D860" s="24" t="s">
        <v>464</v>
      </c>
      <c r="E860" s="24">
        <v>-433.56</v>
      </c>
      <c r="F860" s="24">
        <v>4.6</v>
      </c>
    </row>
    <row r="861" s="24" customFormat="1" spans="1:6">
      <c r="A861" s="24" t="s">
        <v>142</v>
      </c>
      <c r="B861" s="24" t="str">
        <f>"300491"</f>
        <v>300491</v>
      </c>
      <c r="C861" s="24" t="s">
        <v>1082</v>
      </c>
      <c r="D861" s="24" t="s">
        <v>251</v>
      </c>
      <c r="E861" s="24">
        <v>-437.72</v>
      </c>
      <c r="F861" s="24">
        <v>3.99</v>
      </c>
    </row>
    <row r="862" s="24" customFormat="1" spans="1:6">
      <c r="A862" s="24" t="s">
        <v>140</v>
      </c>
      <c r="B862" s="24" t="str">
        <f>"603177"</f>
        <v>603177</v>
      </c>
      <c r="C862" s="24" t="s">
        <v>1083</v>
      </c>
      <c r="D862" s="24" t="s">
        <v>214</v>
      </c>
      <c r="E862" s="24">
        <v>-449.53</v>
      </c>
      <c r="F862" s="24">
        <v>3.45</v>
      </c>
    </row>
    <row r="863" s="24" customFormat="1" spans="1:6">
      <c r="A863" s="24" t="s">
        <v>142</v>
      </c>
      <c r="B863" s="24" t="str">
        <f>"002058"</f>
        <v>002058</v>
      </c>
      <c r="C863" s="24" t="s">
        <v>1084</v>
      </c>
      <c r="D863" s="24" t="s">
        <v>251</v>
      </c>
      <c r="E863" s="24">
        <v>-456.81</v>
      </c>
      <c r="F863" s="24">
        <v>16.85</v>
      </c>
    </row>
    <row r="864" s="24" customFormat="1" spans="1:6">
      <c r="A864" s="24" t="s">
        <v>142</v>
      </c>
      <c r="B864" s="24" t="str">
        <f>"002506"</f>
        <v>002506</v>
      </c>
      <c r="C864" s="24" t="s">
        <v>1085</v>
      </c>
      <c r="D864" s="24" t="s">
        <v>276</v>
      </c>
      <c r="E864" s="24">
        <v>-471.51</v>
      </c>
      <c r="F864" s="24">
        <v>7.38</v>
      </c>
    </row>
    <row r="865" s="24" customFormat="1" spans="1:6">
      <c r="A865" s="24" t="s">
        <v>140</v>
      </c>
      <c r="B865" s="24" t="str">
        <f>"600766"</f>
        <v>600766</v>
      </c>
      <c r="C865" s="24" t="s">
        <v>1086</v>
      </c>
      <c r="D865" s="24" t="s">
        <v>167</v>
      </c>
      <c r="E865" s="24">
        <v>-477.29</v>
      </c>
      <c r="F865" s="24">
        <v>33.94</v>
      </c>
    </row>
    <row r="866" s="24" customFormat="1" spans="1:6">
      <c r="A866" s="24" t="s">
        <v>142</v>
      </c>
      <c r="B866" s="24" t="str">
        <f>"000836"</f>
        <v>000836</v>
      </c>
      <c r="C866" s="24" t="s">
        <v>1087</v>
      </c>
      <c r="D866" s="24" t="s">
        <v>193</v>
      </c>
      <c r="E866" s="24">
        <v>-480.42</v>
      </c>
      <c r="F866" s="24">
        <v>3.33</v>
      </c>
    </row>
    <row r="867" s="24" customFormat="1" spans="1:6">
      <c r="A867" s="24" t="s">
        <v>140</v>
      </c>
      <c r="B867" s="24" t="str">
        <f>"600658"</f>
        <v>600658</v>
      </c>
      <c r="C867" s="24" t="s">
        <v>1088</v>
      </c>
      <c r="D867" s="24" t="s">
        <v>1076</v>
      </c>
      <c r="E867" s="24">
        <v>-483.23</v>
      </c>
      <c r="F867" s="24">
        <v>0.78</v>
      </c>
    </row>
    <row r="868" s="24" customFormat="1" spans="1:6">
      <c r="A868" s="24" t="s">
        <v>142</v>
      </c>
      <c r="B868" s="24" t="str">
        <f>"002761"</f>
        <v>002761</v>
      </c>
      <c r="C868" s="24" t="s">
        <v>1089</v>
      </c>
      <c r="D868" s="24" t="s">
        <v>253</v>
      </c>
      <c r="E868" s="24">
        <v>-489.37</v>
      </c>
      <c r="F868" s="24">
        <v>4.52</v>
      </c>
    </row>
    <row r="869" s="24" customFormat="1" spans="1:6">
      <c r="A869" s="24" t="s">
        <v>140</v>
      </c>
      <c r="B869" s="24" t="str">
        <f>"600495"</f>
        <v>600495</v>
      </c>
      <c r="C869" s="24" t="s">
        <v>1090</v>
      </c>
      <c r="D869" s="24" t="s">
        <v>165</v>
      </c>
      <c r="E869" s="24">
        <v>-524.48</v>
      </c>
      <c r="F869" s="24">
        <v>1.4</v>
      </c>
    </row>
    <row r="870" s="24" customFormat="1" spans="1:6">
      <c r="A870" s="24" t="s">
        <v>142</v>
      </c>
      <c r="B870" s="24" t="str">
        <f>"000014"</f>
        <v>000014</v>
      </c>
      <c r="C870" s="24" t="s">
        <v>1091</v>
      </c>
      <c r="D870" s="24" t="s">
        <v>244</v>
      </c>
      <c r="E870" s="24">
        <v>-533.75</v>
      </c>
      <c r="F870" s="24">
        <v>1.96</v>
      </c>
    </row>
    <row r="871" s="24" customFormat="1" spans="1:6">
      <c r="A871" s="24" t="s">
        <v>142</v>
      </c>
      <c r="B871" s="24" t="str">
        <f>"002417"</f>
        <v>002417</v>
      </c>
      <c r="C871" s="24" t="s">
        <v>1092</v>
      </c>
      <c r="D871" s="24" t="s">
        <v>179</v>
      </c>
      <c r="E871" s="24">
        <v>-535.54</v>
      </c>
      <c r="F871" s="24">
        <v>15.25</v>
      </c>
    </row>
    <row r="872" s="24" customFormat="1" spans="1:6">
      <c r="A872" s="24" t="s">
        <v>140</v>
      </c>
      <c r="B872" s="24" t="str">
        <f>"600213"</f>
        <v>600213</v>
      </c>
      <c r="C872" s="24" t="s">
        <v>1093</v>
      </c>
      <c r="D872" s="24" t="s">
        <v>175</v>
      </c>
      <c r="E872" s="24">
        <v>-554.69</v>
      </c>
      <c r="F872" s="24">
        <v>8.62</v>
      </c>
    </row>
    <row r="873" s="24" customFormat="1" spans="1:6">
      <c r="A873" s="24" t="s">
        <v>142</v>
      </c>
      <c r="B873" s="24" t="str">
        <f>"300618"</f>
        <v>300618</v>
      </c>
      <c r="C873" s="24" t="s">
        <v>1094</v>
      </c>
      <c r="D873" s="24" t="s">
        <v>167</v>
      </c>
      <c r="E873" s="24">
        <v>-570.24</v>
      </c>
      <c r="F873" s="24">
        <v>14.55</v>
      </c>
    </row>
    <row r="874" s="24" customFormat="1" spans="1:6">
      <c r="A874" s="24" t="s">
        <v>142</v>
      </c>
      <c r="B874" s="24" t="str">
        <f>"300085"</f>
        <v>300085</v>
      </c>
      <c r="C874" s="24" t="s">
        <v>1095</v>
      </c>
      <c r="D874" s="24" t="s">
        <v>156</v>
      </c>
      <c r="E874" s="24">
        <v>-611.11</v>
      </c>
      <c r="F874" s="24">
        <v>8.91</v>
      </c>
    </row>
    <row r="875" s="24" customFormat="1" spans="1:6">
      <c r="A875" s="24" t="s">
        <v>142</v>
      </c>
      <c r="B875" s="24" t="str">
        <f>"002652"</f>
        <v>002652</v>
      </c>
      <c r="C875" s="24" t="s">
        <v>1096</v>
      </c>
      <c r="D875" s="24" t="s">
        <v>573</v>
      </c>
      <c r="E875" s="24">
        <v>-617.86</v>
      </c>
      <c r="F875" s="24">
        <v>3.49</v>
      </c>
    </row>
    <row r="876" s="24" customFormat="1" spans="1:6">
      <c r="A876" s="24" t="s">
        <v>142</v>
      </c>
      <c r="B876" s="24" t="str">
        <f>"300330"</f>
        <v>300330</v>
      </c>
      <c r="C876" s="24" t="s">
        <v>1097</v>
      </c>
      <c r="D876" s="24" t="s">
        <v>159</v>
      </c>
      <c r="E876" s="24">
        <v>-642.76</v>
      </c>
      <c r="F876" s="24">
        <v>4.1</v>
      </c>
    </row>
    <row r="877" s="24" customFormat="1" spans="1:6">
      <c r="A877" s="24" t="s">
        <v>142</v>
      </c>
      <c r="B877" s="24" t="str">
        <f>"200613"</f>
        <v>200613</v>
      </c>
      <c r="C877" s="24" t="s">
        <v>1098</v>
      </c>
      <c r="D877" s="24"/>
      <c r="E877" s="24">
        <v>-653.82</v>
      </c>
      <c r="F877" s="24">
        <v>11.11</v>
      </c>
    </row>
    <row r="878" s="24" customFormat="1" spans="1:6">
      <c r="A878" s="24" t="s">
        <v>142</v>
      </c>
      <c r="B878" s="24" t="str">
        <f>"300503"</f>
        <v>300503</v>
      </c>
      <c r="C878" s="24" t="s">
        <v>1099</v>
      </c>
      <c r="D878" s="24" t="s">
        <v>165</v>
      </c>
      <c r="E878" s="24">
        <v>-674.08</v>
      </c>
      <c r="F878" s="24">
        <v>3.18</v>
      </c>
    </row>
    <row r="879" s="24" customFormat="1" spans="1:6">
      <c r="A879" s="24" t="s">
        <v>140</v>
      </c>
      <c r="B879" s="24" t="str">
        <f>"603718"</f>
        <v>603718</v>
      </c>
      <c r="C879" s="24" t="s">
        <v>1100</v>
      </c>
      <c r="D879" s="24" t="s">
        <v>326</v>
      </c>
      <c r="E879" s="24">
        <v>-680.42</v>
      </c>
      <c r="F879" s="24">
        <v>11.35</v>
      </c>
    </row>
    <row r="880" s="24" customFormat="1" spans="1:6">
      <c r="A880" s="24" t="s">
        <v>142</v>
      </c>
      <c r="B880" s="24" t="str">
        <f>"300592"</f>
        <v>300592</v>
      </c>
      <c r="C880" s="24" t="s">
        <v>1101</v>
      </c>
      <c r="D880" s="24" t="s">
        <v>214</v>
      </c>
      <c r="E880" s="24">
        <v>-694.08</v>
      </c>
      <c r="F880" s="24">
        <v>2.31</v>
      </c>
    </row>
    <row r="881" s="24" customFormat="1" spans="1:6">
      <c r="A881" s="24" t="s">
        <v>142</v>
      </c>
      <c r="B881" s="24" t="str">
        <f>"300409"</f>
        <v>300409</v>
      </c>
      <c r="C881" s="24" t="s">
        <v>1102</v>
      </c>
      <c r="D881" s="24" t="s">
        <v>644</v>
      </c>
      <c r="E881" s="24">
        <v>-707.62</v>
      </c>
      <c r="F881" s="24">
        <v>3.96</v>
      </c>
    </row>
    <row r="882" s="24" customFormat="1" spans="1:6">
      <c r="A882" s="24" t="s">
        <v>140</v>
      </c>
      <c r="B882" s="24" t="str">
        <f>"600791"</f>
        <v>600791</v>
      </c>
      <c r="C882" s="24" t="s">
        <v>1103</v>
      </c>
      <c r="D882" s="24" t="s">
        <v>244</v>
      </c>
      <c r="E882" s="24">
        <v>-710.35</v>
      </c>
      <c r="F882" s="24">
        <v>0.87</v>
      </c>
    </row>
    <row r="883" s="24" customFormat="1" spans="1:6">
      <c r="A883" s="24" t="s">
        <v>142</v>
      </c>
      <c r="B883" s="24" t="str">
        <f>"300604"</f>
        <v>300604</v>
      </c>
      <c r="C883" s="24" t="s">
        <v>1104</v>
      </c>
      <c r="D883" s="24" t="s">
        <v>173</v>
      </c>
      <c r="E883" s="24">
        <v>-727.44</v>
      </c>
      <c r="F883" s="24">
        <v>13.97</v>
      </c>
    </row>
    <row r="884" s="24" customFormat="1" spans="1:6">
      <c r="A884" s="24" t="s">
        <v>142</v>
      </c>
      <c r="B884" s="24" t="str">
        <f>"002437"</f>
        <v>002437</v>
      </c>
      <c r="C884" s="24" t="s">
        <v>1105</v>
      </c>
      <c r="D884" s="24" t="s">
        <v>997</v>
      </c>
      <c r="E884" s="24">
        <v>-766.4</v>
      </c>
      <c r="F884" s="24">
        <v>4.88</v>
      </c>
    </row>
    <row r="885" s="24" customFormat="1" spans="1:6">
      <c r="A885" s="24" t="s">
        <v>142</v>
      </c>
      <c r="B885" s="24" t="str">
        <f>"000017"</f>
        <v>000017</v>
      </c>
      <c r="C885" s="24" t="s">
        <v>1106</v>
      </c>
      <c r="D885" s="24" t="s">
        <v>283</v>
      </c>
      <c r="E885" s="24">
        <v>-811.94</v>
      </c>
      <c r="F885" s="24">
        <v>144.02</v>
      </c>
    </row>
    <row r="886" s="24" customFormat="1" spans="1:6">
      <c r="A886" s="24" t="s">
        <v>140</v>
      </c>
      <c r="B886" s="24" t="str">
        <f>"600825"</f>
        <v>600825</v>
      </c>
      <c r="C886" s="24" t="s">
        <v>1107</v>
      </c>
      <c r="D886" s="24" t="s">
        <v>170</v>
      </c>
      <c r="E886" s="24">
        <v>-827.75</v>
      </c>
      <c r="F886" s="24">
        <v>2.26</v>
      </c>
    </row>
    <row r="887" s="24" customFormat="1" spans="1:6">
      <c r="A887" s="24" t="s">
        <v>142</v>
      </c>
      <c r="B887" s="24" t="str">
        <f>"000635"</f>
        <v>000635</v>
      </c>
      <c r="C887" s="24" t="s">
        <v>1108</v>
      </c>
      <c r="D887" s="24" t="s">
        <v>228</v>
      </c>
      <c r="E887" s="24">
        <v>-881.92</v>
      </c>
      <c r="F887" s="24">
        <v>0.9</v>
      </c>
    </row>
    <row r="888" s="24" customFormat="1" spans="1:6">
      <c r="A888" s="24" t="s">
        <v>142</v>
      </c>
      <c r="B888" s="24" t="str">
        <f>"300740"</f>
        <v>300740</v>
      </c>
      <c r="C888" s="24" t="s">
        <v>1109</v>
      </c>
      <c r="D888" s="24" t="s">
        <v>333</v>
      </c>
      <c r="E888" s="24">
        <v>-890.91</v>
      </c>
      <c r="F888" s="24">
        <v>2.59</v>
      </c>
    </row>
    <row r="889" s="24" customFormat="1" spans="1:6">
      <c r="A889" s="24" t="s">
        <v>142</v>
      </c>
      <c r="B889" s="24" t="str">
        <f>"300698"</f>
        <v>300698</v>
      </c>
      <c r="C889" s="24" t="s">
        <v>1110</v>
      </c>
      <c r="D889" s="24" t="s">
        <v>193</v>
      </c>
      <c r="E889" s="24">
        <v>-901.06</v>
      </c>
      <c r="F889" s="24">
        <v>5.36</v>
      </c>
    </row>
    <row r="890" s="24" customFormat="1" spans="1:6">
      <c r="A890" s="24" t="s">
        <v>140</v>
      </c>
      <c r="B890" s="24" t="str">
        <f>"600883"</f>
        <v>600883</v>
      </c>
      <c r="C890" s="24" t="s">
        <v>1111</v>
      </c>
      <c r="D890" s="24" t="s">
        <v>667</v>
      </c>
      <c r="E890" s="24">
        <v>-904.87</v>
      </c>
      <c r="F890" s="24">
        <v>3.22</v>
      </c>
    </row>
    <row r="891" s="24" customFormat="1" spans="1:6">
      <c r="A891" s="24" t="s">
        <v>142</v>
      </c>
      <c r="B891" s="24" t="str">
        <f>"002676"</f>
        <v>002676</v>
      </c>
      <c r="C891" s="24" t="s">
        <v>1112</v>
      </c>
      <c r="D891" s="24" t="s">
        <v>184</v>
      </c>
      <c r="E891" s="24">
        <v>-954.38</v>
      </c>
      <c r="F891" s="24">
        <v>1.93</v>
      </c>
    </row>
    <row r="892" s="24" customFormat="1" spans="1:6">
      <c r="A892" s="24" t="s">
        <v>142</v>
      </c>
      <c r="B892" s="24" t="str">
        <f>"300234"</f>
        <v>300234</v>
      </c>
      <c r="C892" s="24" t="s">
        <v>1113</v>
      </c>
      <c r="D892" s="24" t="s">
        <v>573</v>
      </c>
      <c r="E892" s="24">
        <v>-958.25</v>
      </c>
      <c r="F892" s="24">
        <v>3.44</v>
      </c>
    </row>
    <row r="893" s="24" customFormat="1" spans="1:6">
      <c r="A893" s="24" t="s">
        <v>140</v>
      </c>
      <c r="B893" s="24" t="str">
        <f>"600265"</f>
        <v>600265</v>
      </c>
      <c r="C893" s="24" t="s">
        <v>1114</v>
      </c>
      <c r="D893" s="24" t="s">
        <v>509</v>
      </c>
      <c r="E893" s="24">
        <v>-1075.81</v>
      </c>
      <c r="F893" s="24">
        <v>98.39</v>
      </c>
    </row>
    <row r="894" s="24" customFormat="1" spans="1:6">
      <c r="A894" s="24" t="s">
        <v>140</v>
      </c>
      <c r="B894" s="24" t="str">
        <f>"600448"</f>
        <v>600448</v>
      </c>
      <c r="C894" s="24" t="s">
        <v>1115</v>
      </c>
      <c r="D894" s="24" t="s">
        <v>253</v>
      </c>
      <c r="E894" s="24">
        <v>-1076.29</v>
      </c>
      <c r="F894" s="24">
        <v>2</v>
      </c>
    </row>
    <row r="895" s="24" customFormat="1" spans="1:6">
      <c r="A895" s="24" t="s">
        <v>142</v>
      </c>
      <c r="B895" s="24" t="str">
        <f>"002845"</f>
        <v>002845</v>
      </c>
      <c r="C895" s="24" t="s">
        <v>1116</v>
      </c>
      <c r="D895" s="24" t="s">
        <v>197</v>
      </c>
      <c r="E895" s="24">
        <v>-1130.24</v>
      </c>
      <c r="F895" s="24">
        <v>2.87</v>
      </c>
    </row>
    <row r="896" s="24" customFormat="1" spans="1:6">
      <c r="A896" s="24" t="s">
        <v>140</v>
      </c>
      <c r="B896" s="24" t="str">
        <f>"603011"</f>
        <v>603011</v>
      </c>
      <c r="C896" s="24" t="s">
        <v>1117</v>
      </c>
      <c r="D896" s="24" t="s">
        <v>165</v>
      </c>
      <c r="E896" s="24">
        <v>-1142.57</v>
      </c>
      <c r="F896" s="24">
        <v>1.8</v>
      </c>
    </row>
    <row r="897" s="24" customFormat="1" spans="1:6">
      <c r="A897" s="24" t="s">
        <v>142</v>
      </c>
      <c r="B897" s="24" t="str">
        <f>"002721"</f>
        <v>002721</v>
      </c>
      <c r="C897" s="24" t="s">
        <v>1118</v>
      </c>
      <c r="D897" s="24" t="s">
        <v>161</v>
      </c>
      <c r="E897" s="24">
        <v>-1181.7</v>
      </c>
      <c r="F897" s="24">
        <v>1.38</v>
      </c>
    </row>
    <row r="898" s="24" customFormat="1" spans="1:6">
      <c r="A898" s="24" t="s">
        <v>142</v>
      </c>
      <c r="B898" s="24" t="str">
        <f>"002474"</f>
        <v>002474</v>
      </c>
      <c r="C898" s="24" t="s">
        <v>1119</v>
      </c>
      <c r="D898" s="24" t="s">
        <v>159</v>
      </c>
      <c r="E898" s="24">
        <v>-1431.33</v>
      </c>
      <c r="F898" s="24">
        <v>3.43</v>
      </c>
    </row>
    <row r="899" s="24" customFormat="1" spans="1:6">
      <c r="A899" s="24" t="s">
        <v>142</v>
      </c>
      <c r="B899" s="24" t="str">
        <f>"000851"</f>
        <v>000851</v>
      </c>
      <c r="C899" s="24" t="s">
        <v>1120</v>
      </c>
      <c r="D899" s="24" t="s">
        <v>207</v>
      </c>
      <c r="E899" s="24">
        <v>-1460.23</v>
      </c>
      <c r="F899" s="24">
        <v>1.63</v>
      </c>
    </row>
    <row r="900" s="24" customFormat="1" spans="1:6">
      <c r="A900" s="24" t="s">
        <v>142</v>
      </c>
      <c r="B900" s="24" t="str">
        <f>"000613"</f>
        <v>000613</v>
      </c>
      <c r="C900" s="24" t="s">
        <v>1121</v>
      </c>
      <c r="D900" s="24" t="s">
        <v>453</v>
      </c>
      <c r="E900" s="24">
        <v>-1476.97</v>
      </c>
      <c r="F900" s="24">
        <v>25.26</v>
      </c>
    </row>
    <row r="901" s="24" customFormat="1" spans="1:6">
      <c r="A901" s="24" t="s">
        <v>142</v>
      </c>
      <c r="B901" s="24" t="str">
        <f>"000526"</f>
        <v>000526</v>
      </c>
      <c r="C901" s="24" t="s">
        <v>1122</v>
      </c>
      <c r="D901" s="24" t="s">
        <v>467</v>
      </c>
      <c r="E901" s="24">
        <v>-1655.45</v>
      </c>
      <c r="F901" s="24">
        <v>-2.1</v>
      </c>
    </row>
    <row r="902" s="24" customFormat="1" spans="1:6">
      <c r="A902" s="24" t="s">
        <v>142</v>
      </c>
      <c r="B902" s="24" t="str">
        <f>"300165"</f>
        <v>300165</v>
      </c>
      <c r="C902" s="24" t="s">
        <v>1123</v>
      </c>
      <c r="D902" s="24" t="s">
        <v>152</v>
      </c>
      <c r="E902" s="24">
        <v>-1893.01</v>
      </c>
      <c r="F902" s="24">
        <v>1.85</v>
      </c>
    </row>
    <row r="903" s="24" customFormat="1" spans="1:6">
      <c r="A903" s="24" t="s">
        <v>142</v>
      </c>
      <c r="B903" s="24" t="str">
        <f>"002544"</f>
        <v>002544</v>
      </c>
      <c r="C903" s="24" t="s">
        <v>1124</v>
      </c>
      <c r="D903" s="24" t="s">
        <v>179</v>
      </c>
      <c r="E903" s="24">
        <v>-1900.17</v>
      </c>
      <c r="F903" s="24">
        <v>4.19</v>
      </c>
    </row>
    <row r="904" s="24" customFormat="1" spans="1:6">
      <c r="A904" s="24" t="s">
        <v>142</v>
      </c>
      <c r="B904" s="24" t="str">
        <f>"300302"</f>
        <v>300302</v>
      </c>
      <c r="C904" s="24" t="s">
        <v>1125</v>
      </c>
      <c r="D904" s="24" t="s">
        <v>159</v>
      </c>
      <c r="E904" s="24">
        <v>-2062.77</v>
      </c>
      <c r="F904" s="24">
        <v>8.76</v>
      </c>
    </row>
    <row r="905" s="24" customFormat="1" spans="1:6">
      <c r="A905" s="24" t="s">
        <v>142</v>
      </c>
      <c r="B905" s="24" t="str">
        <f>"002655"</f>
        <v>002655</v>
      </c>
      <c r="C905" s="24" t="s">
        <v>1126</v>
      </c>
      <c r="D905" s="24" t="s">
        <v>152</v>
      </c>
      <c r="E905" s="24">
        <v>-2067.04</v>
      </c>
      <c r="F905" s="24">
        <v>8.34</v>
      </c>
    </row>
    <row r="906" s="24" customFormat="1" spans="1:6">
      <c r="A906" s="24" t="s">
        <v>142</v>
      </c>
      <c r="B906" s="24" t="str">
        <f>"002780"</f>
        <v>002780</v>
      </c>
      <c r="C906" s="24" t="s">
        <v>1127</v>
      </c>
      <c r="D906" s="24" t="s">
        <v>506</v>
      </c>
      <c r="E906" s="24">
        <v>-2422.44</v>
      </c>
      <c r="F906" s="24">
        <v>4.41</v>
      </c>
    </row>
    <row r="907" s="24" customFormat="1" spans="1:6">
      <c r="A907" s="24" t="s">
        <v>142</v>
      </c>
      <c r="B907" s="24" t="str">
        <f>"002890"</f>
        <v>002890</v>
      </c>
      <c r="C907" s="24" t="s">
        <v>1128</v>
      </c>
      <c r="D907" s="24" t="s">
        <v>173</v>
      </c>
      <c r="E907" s="24">
        <v>-2623.82</v>
      </c>
      <c r="F907" s="24">
        <v>3.54</v>
      </c>
    </row>
    <row r="908" s="24" customFormat="1" spans="1:6">
      <c r="A908" s="24" t="s">
        <v>140</v>
      </c>
      <c r="B908" s="24" t="str">
        <f>"600962"</f>
        <v>600962</v>
      </c>
      <c r="C908" s="24" t="s">
        <v>1129</v>
      </c>
      <c r="D908" s="24" t="s">
        <v>309</v>
      </c>
      <c r="E908" s="24">
        <v>-3019.26</v>
      </c>
      <c r="F908" s="24">
        <v>2.41</v>
      </c>
    </row>
    <row r="909" s="24" customFormat="1" spans="1:6">
      <c r="A909" s="24" t="s">
        <v>140</v>
      </c>
      <c r="B909" s="24" t="str">
        <f>"603616"</f>
        <v>603616</v>
      </c>
      <c r="C909" s="24" t="s">
        <v>1130</v>
      </c>
      <c r="D909" s="24" t="s">
        <v>573</v>
      </c>
      <c r="E909" s="24">
        <v>-3201.63</v>
      </c>
      <c r="F909" s="24">
        <v>5.35</v>
      </c>
    </row>
    <row r="910" s="24" customFormat="1" spans="1:6">
      <c r="A910" s="24" t="s">
        <v>142</v>
      </c>
      <c r="B910" s="24" t="str">
        <f>"000586"</f>
        <v>000586</v>
      </c>
      <c r="C910" s="24" t="s">
        <v>1131</v>
      </c>
      <c r="D910" s="24" t="s">
        <v>193</v>
      </c>
      <c r="E910" s="24">
        <v>-3520.98</v>
      </c>
      <c r="F910" s="24">
        <v>7.89</v>
      </c>
    </row>
    <row r="911" s="24" customFormat="1" spans="1:6">
      <c r="A911" s="24" t="s">
        <v>140</v>
      </c>
      <c r="B911" s="24" t="str">
        <f>"603501"</f>
        <v>603501</v>
      </c>
      <c r="C911" s="24" t="s">
        <v>1132</v>
      </c>
      <c r="D911" s="24" t="s">
        <v>276</v>
      </c>
      <c r="E911" s="24">
        <v>-3681.02</v>
      </c>
      <c r="F911" s="24">
        <v>31.62</v>
      </c>
    </row>
    <row r="912" s="24" customFormat="1" spans="1:6">
      <c r="A912" s="24" t="s">
        <v>142</v>
      </c>
      <c r="B912" s="24" t="str">
        <f>"300195"</f>
        <v>300195</v>
      </c>
      <c r="C912" s="24" t="s">
        <v>1133</v>
      </c>
      <c r="D912" s="24" t="s">
        <v>173</v>
      </c>
      <c r="E912" s="24">
        <v>-4290.25</v>
      </c>
      <c r="F912" s="24">
        <v>0.99</v>
      </c>
    </row>
    <row r="913" s="24" customFormat="1" spans="1:6">
      <c r="A913" s="24" t="s">
        <v>142</v>
      </c>
      <c r="B913" s="24" t="str">
        <f>"000050"</f>
        <v>000050</v>
      </c>
      <c r="C913" s="24" t="s">
        <v>1134</v>
      </c>
      <c r="D913" s="24" t="s">
        <v>230</v>
      </c>
      <c r="E913" s="24">
        <v>-4825</v>
      </c>
      <c r="F913" s="24">
        <v>1.25</v>
      </c>
    </row>
    <row r="914" s="24" customFormat="1" spans="1:6">
      <c r="A914" s="24" t="s">
        <v>142</v>
      </c>
      <c r="B914" s="24" t="str">
        <f>"002330"</f>
        <v>002330</v>
      </c>
      <c r="C914" s="24" t="s">
        <v>1135</v>
      </c>
      <c r="D914" s="24" t="s">
        <v>190</v>
      </c>
      <c r="E914" s="24">
        <v>-6091.87</v>
      </c>
      <c r="F914" s="24">
        <v>2.47</v>
      </c>
    </row>
    <row r="915" s="24" customFormat="1" spans="1:6">
      <c r="A915" s="24" t="s">
        <v>142</v>
      </c>
      <c r="B915" s="24" t="str">
        <f>"300647"</f>
        <v>300647</v>
      </c>
      <c r="C915" s="24" t="s">
        <v>1136</v>
      </c>
      <c r="D915" s="24" t="s">
        <v>197</v>
      </c>
      <c r="E915" s="24">
        <v>-8337.61</v>
      </c>
      <c r="F915" s="24">
        <v>5.86</v>
      </c>
    </row>
    <row r="916" s="24" customFormat="1" spans="1:6">
      <c r="A916" s="24" t="s">
        <v>140</v>
      </c>
      <c r="B916" s="24" t="str">
        <f>"900916"</f>
        <v>900916</v>
      </c>
      <c r="C916" s="24" t="s">
        <v>1137</v>
      </c>
      <c r="D916" s="24"/>
      <c r="E916" s="24">
        <v>-9103.29</v>
      </c>
      <c r="F916" s="24">
        <v>1.15</v>
      </c>
    </row>
    <row r="917" s="24" customFormat="1" spans="1:6">
      <c r="A917" s="24" t="s">
        <v>142</v>
      </c>
      <c r="B917" s="24" t="str">
        <f>"300672"</f>
        <v>300672</v>
      </c>
      <c r="C917" s="24" t="s">
        <v>1138</v>
      </c>
      <c r="D917" s="24" t="s">
        <v>276</v>
      </c>
      <c r="E917" s="24">
        <v>-11744.72</v>
      </c>
      <c r="F917" s="24">
        <v>14.03</v>
      </c>
    </row>
    <row r="918" s="24" customFormat="1" spans="1:6">
      <c r="A918" s="24" t="s">
        <v>142</v>
      </c>
      <c r="B918" s="24" t="str">
        <f>"002547"</f>
        <v>002547</v>
      </c>
      <c r="C918" s="24" t="s">
        <v>1139</v>
      </c>
      <c r="D918" s="24" t="s">
        <v>165</v>
      </c>
      <c r="E918" s="24">
        <v>-12032.21</v>
      </c>
      <c r="F918" s="24">
        <v>4.41</v>
      </c>
    </row>
    <row r="919" s="24" customFormat="1" spans="1:6">
      <c r="A919" s="24" t="s">
        <v>142</v>
      </c>
      <c r="B919" s="24" t="str">
        <f>"300477"</f>
        <v>300477</v>
      </c>
      <c r="C919" s="24" t="s">
        <v>1140</v>
      </c>
      <c r="D919" s="24" t="s">
        <v>293</v>
      </c>
      <c r="E919" s="24">
        <v>-31710.9</v>
      </c>
      <c r="F919" s="24">
        <v>3.72</v>
      </c>
    </row>
    <row r="920" s="24" customFormat="1" spans="1:6">
      <c r="A920" s="24" t="s">
        <v>142</v>
      </c>
      <c r="B920" s="24" t="str">
        <f>"000998"</f>
        <v>000998</v>
      </c>
      <c r="C920" s="24" t="s">
        <v>1141</v>
      </c>
      <c r="D920" s="24" t="s">
        <v>145</v>
      </c>
      <c r="E920" s="24">
        <v>195754.47</v>
      </c>
      <c r="F920" s="24">
        <v>5.35</v>
      </c>
    </row>
    <row r="921" s="24" customFormat="1" spans="1:6">
      <c r="A921" s="24" t="s">
        <v>142</v>
      </c>
      <c r="B921" s="24" t="str">
        <f>"300191"</f>
        <v>300191</v>
      </c>
      <c r="C921" s="24" t="s">
        <v>1142</v>
      </c>
      <c r="D921" s="24" t="s">
        <v>377</v>
      </c>
      <c r="E921" s="24">
        <v>32163.27</v>
      </c>
      <c r="F921" s="24">
        <v>5.33</v>
      </c>
    </row>
    <row r="922" s="24" customFormat="1" spans="1:6">
      <c r="A922" s="24" t="s">
        <v>140</v>
      </c>
      <c r="B922" s="24" t="str">
        <f>"600679"</f>
        <v>600679</v>
      </c>
      <c r="C922" s="24" t="s">
        <v>1143</v>
      </c>
      <c r="D922" s="24" t="s">
        <v>283</v>
      </c>
      <c r="E922" s="24">
        <v>10364.76</v>
      </c>
      <c r="F922" s="24">
        <v>4.37</v>
      </c>
    </row>
    <row r="923" s="24" customFormat="1" spans="1:6">
      <c r="A923" s="24" t="s">
        <v>140</v>
      </c>
      <c r="B923" s="24" t="str">
        <f>"603083"</f>
        <v>603083</v>
      </c>
      <c r="C923" s="24" t="s">
        <v>1144</v>
      </c>
      <c r="D923" s="24" t="s">
        <v>193</v>
      </c>
      <c r="E923" s="24">
        <v>8886.07</v>
      </c>
      <c r="F923" s="24">
        <v>5.4</v>
      </c>
    </row>
    <row r="924" s="24" customFormat="1" spans="1:6">
      <c r="A924" s="24" t="s">
        <v>142</v>
      </c>
      <c r="B924" s="24" t="str">
        <f>"002943"</f>
        <v>002943</v>
      </c>
      <c r="C924" s="24" t="s">
        <v>1145</v>
      </c>
      <c r="D924" s="24" t="s">
        <v>165</v>
      </c>
      <c r="E924" s="24">
        <v>5183.65</v>
      </c>
      <c r="F924" s="24">
        <v>2.69</v>
      </c>
    </row>
    <row r="925" s="24" customFormat="1" spans="1:6">
      <c r="A925" s="24" t="s">
        <v>140</v>
      </c>
      <c r="B925" s="24" t="str">
        <f>"600549"</f>
        <v>600549</v>
      </c>
      <c r="C925" s="24" t="s">
        <v>1146</v>
      </c>
      <c r="D925" s="24" t="s">
        <v>167</v>
      </c>
      <c r="E925" s="24">
        <v>4743.67</v>
      </c>
      <c r="F925" s="24">
        <v>2.6</v>
      </c>
    </row>
    <row r="926" s="24" customFormat="1" spans="1:6">
      <c r="A926" s="24" t="s">
        <v>142</v>
      </c>
      <c r="B926" s="24" t="str">
        <f>"300223"</f>
        <v>300223</v>
      </c>
      <c r="C926" s="24" t="s">
        <v>1147</v>
      </c>
      <c r="D926" s="24" t="s">
        <v>276</v>
      </c>
      <c r="E926" s="24">
        <v>4401.54</v>
      </c>
      <c r="F926" s="24">
        <v>18.21</v>
      </c>
    </row>
    <row r="927" s="24" customFormat="1" spans="1:6">
      <c r="A927" s="24" t="s">
        <v>142</v>
      </c>
      <c r="B927" s="24" t="str">
        <f>"300518"</f>
        <v>300518</v>
      </c>
      <c r="C927" s="24" t="s">
        <v>1148</v>
      </c>
      <c r="D927" s="24" t="s">
        <v>156</v>
      </c>
      <c r="E927" s="24">
        <v>4131.83</v>
      </c>
      <c r="F927" s="24">
        <v>2.8</v>
      </c>
    </row>
    <row r="928" s="24" customFormat="1" spans="1:6">
      <c r="A928" s="24" t="s">
        <v>142</v>
      </c>
      <c r="B928" s="24" t="str">
        <f>"300598"</f>
        <v>300598</v>
      </c>
      <c r="C928" s="24" t="s">
        <v>1149</v>
      </c>
      <c r="D928" s="24" t="s">
        <v>156</v>
      </c>
      <c r="E928" s="24">
        <v>3791.85</v>
      </c>
      <c r="F928" s="24">
        <v>39.75</v>
      </c>
    </row>
    <row r="929" s="24" customFormat="1" spans="1:6">
      <c r="A929" s="24" t="s">
        <v>142</v>
      </c>
      <c r="B929" s="24" t="str">
        <f>"002637"</f>
        <v>002637</v>
      </c>
      <c r="C929" s="24" t="s">
        <v>1150</v>
      </c>
      <c r="D929" s="24" t="s">
        <v>228</v>
      </c>
      <c r="E929" s="24">
        <v>3726.75</v>
      </c>
      <c r="F929" s="24">
        <v>2.02</v>
      </c>
    </row>
    <row r="930" s="24" customFormat="1" spans="1:6">
      <c r="A930" s="24" t="s">
        <v>140</v>
      </c>
      <c r="B930" s="24" t="str">
        <f>"600861"</f>
        <v>600861</v>
      </c>
      <c r="C930" s="24" t="s">
        <v>1151</v>
      </c>
      <c r="D930" s="24" t="s">
        <v>148</v>
      </c>
      <c r="E930" s="24">
        <v>3648.88</v>
      </c>
      <c r="F930" s="24">
        <v>1.16</v>
      </c>
    </row>
    <row r="931" s="24" customFormat="1" spans="1:6">
      <c r="A931" s="24" t="s">
        <v>142</v>
      </c>
      <c r="B931" s="24" t="str">
        <f>"002339"</f>
        <v>002339</v>
      </c>
      <c r="C931" s="24" t="s">
        <v>1152</v>
      </c>
      <c r="D931" s="24" t="s">
        <v>251</v>
      </c>
      <c r="E931" s="24">
        <v>2723.1</v>
      </c>
      <c r="F931" s="24">
        <v>1.78</v>
      </c>
    </row>
    <row r="932" s="24" customFormat="1" spans="1:6">
      <c r="A932" s="24" t="s">
        <v>142</v>
      </c>
      <c r="B932" s="24" t="str">
        <f>"002715"</f>
        <v>002715</v>
      </c>
      <c r="C932" s="24" t="s">
        <v>1153</v>
      </c>
      <c r="D932" s="24" t="s">
        <v>204</v>
      </c>
      <c r="E932" s="24">
        <v>2587.99</v>
      </c>
      <c r="F932" s="24">
        <v>3.98</v>
      </c>
    </row>
    <row r="933" s="24" customFormat="1" spans="1:6">
      <c r="A933" s="24" t="s">
        <v>142</v>
      </c>
      <c r="B933" s="24" t="str">
        <f>"000801"</f>
        <v>000801</v>
      </c>
      <c r="C933" s="24" t="s">
        <v>1154</v>
      </c>
      <c r="D933" s="24" t="s">
        <v>184</v>
      </c>
      <c r="E933" s="24">
        <v>2566.18</v>
      </c>
      <c r="F933" s="24">
        <v>2.02</v>
      </c>
    </row>
    <row r="934" s="24" customFormat="1" spans="1:6">
      <c r="A934" s="24" t="s">
        <v>142</v>
      </c>
      <c r="B934" s="24" t="str">
        <f>"300333"</f>
        <v>300333</v>
      </c>
      <c r="C934" s="24" t="s">
        <v>1155</v>
      </c>
      <c r="D934" s="24" t="s">
        <v>152</v>
      </c>
      <c r="E934" s="24">
        <v>2517.91</v>
      </c>
      <c r="F934" s="24">
        <v>3.99</v>
      </c>
    </row>
    <row r="935" s="24" customFormat="1" spans="1:6">
      <c r="A935" s="24" t="s">
        <v>140</v>
      </c>
      <c r="B935" s="24" t="str">
        <f>"688158"</f>
        <v>688158</v>
      </c>
      <c r="C935" s="24" t="s">
        <v>1156</v>
      </c>
      <c r="D935" s="24"/>
      <c r="E935" s="24">
        <v>2345.41</v>
      </c>
      <c r="F935" s="24">
        <v>13.13</v>
      </c>
    </row>
    <row r="936" s="24" customFormat="1" spans="1:6">
      <c r="A936" s="24" t="s">
        <v>140</v>
      </c>
      <c r="B936" s="24" t="str">
        <f>"600608"</f>
        <v>600608</v>
      </c>
      <c r="C936" s="24" t="s">
        <v>1157</v>
      </c>
      <c r="D936" s="24" t="s">
        <v>267</v>
      </c>
      <c r="E936" s="24">
        <v>2266.54</v>
      </c>
      <c r="F936" s="24">
        <v>24.4</v>
      </c>
    </row>
    <row r="937" s="24" customFormat="1" spans="1:6">
      <c r="A937" s="24" t="s">
        <v>142</v>
      </c>
      <c r="B937" s="24" t="str">
        <f>"300356"</f>
        <v>300356</v>
      </c>
      <c r="C937" s="24" t="s">
        <v>1158</v>
      </c>
      <c r="D937" s="24" t="s">
        <v>152</v>
      </c>
      <c r="E937" s="24">
        <v>2155.79</v>
      </c>
      <c r="F937" s="24">
        <v>2.72</v>
      </c>
    </row>
    <row r="938" s="24" customFormat="1" spans="1:6">
      <c r="A938" s="24" t="s">
        <v>140</v>
      </c>
      <c r="B938" s="24" t="str">
        <f>"603738"</f>
        <v>603738</v>
      </c>
      <c r="C938" s="24" t="s">
        <v>1159</v>
      </c>
      <c r="D938" s="24" t="s">
        <v>152</v>
      </c>
      <c r="E938" s="24">
        <v>2146.07</v>
      </c>
      <c r="F938" s="24">
        <v>6.51</v>
      </c>
    </row>
    <row r="939" s="24" customFormat="1" spans="1:6">
      <c r="A939" s="24" t="s">
        <v>142</v>
      </c>
      <c r="B939" s="24" t="str">
        <f>"002750"</f>
        <v>002750</v>
      </c>
      <c r="C939" s="24" t="s">
        <v>1160</v>
      </c>
      <c r="D939" s="24" t="s">
        <v>388</v>
      </c>
      <c r="E939" s="24">
        <v>2063.92</v>
      </c>
      <c r="F939" s="24">
        <v>7.48</v>
      </c>
    </row>
    <row r="940" s="24" customFormat="1" spans="1:6">
      <c r="A940" s="24" t="s">
        <v>142</v>
      </c>
      <c r="B940" s="24" t="str">
        <f>"002772"</f>
        <v>002772</v>
      </c>
      <c r="C940" s="24" t="s">
        <v>1161</v>
      </c>
      <c r="D940" s="24" t="s">
        <v>145</v>
      </c>
      <c r="E940" s="24">
        <v>1921.57</v>
      </c>
      <c r="F940" s="24">
        <v>1.07</v>
      </c>
    </row>
    <row r="941" s="24" customFormat="1" spans="1:6">
      <c r="A941" s="24" t="s">
        <v>140</v>
      </c>
      <c r="B941" s="24" t="str">
        <f>"600621"</f>
        <v>600621</v>
      </c>
      <c r="C941" s="24" t="s">
        <v>1162</v>
      </c>
      <c r="D941" s="24" t="s">
        <v>714</v>
      </c>
      <c r="E941" s="24">
        <v>1801.62</v>
      </c>
      <c r="F941" s="24">
        <v>2.15</v>
      </c>
    </row>
    <row r="942" s="24" customFormat="1" spans="1:6">
      <c r="A942" s="24" t="s">
        <v>140</v>
      </c>
      <c r="B942" s="24" t="str">
        <f>"601608"</f>
        <v>601608</v>
      </c>
      <c r="C942" s="24" t="s">
        <v>1163</v>
      </c>
      <c r="D942" s="24" t="s">
        <v>173</v>
      </c>
      <c r="E942" s="24">
        <v>1683.46</v>
      </c>
      <c r="F942" s="24">
        <v>2.31</v>
      </c>
    </row>
    <row r="943" s="24" customFormat="1" spans="1:6">
      <c r="A943" s="24" t="s">
        <v>140</v>
      </c>
      <c r="B943" s="24" t="str">
        <f>"600592"</f>
        <v>600592</v>
      </c>
      <c r="C943" s="24" t="s">
        <v>1164</v>
      </c>
      <c r="D943" s="24" t="s">
        <v>165</v>
      </c>
      <c r="E943" s="24">
        <v>1657.84</v>
      </c>
      <c r="F943" s="24">
        <v>2.75</v>
      </c>
    </row>
    <row r="944" s="24" customFormat="1" spans="1:6">
      <c r="A944" s="24" t="s">
        <v>142</v>
      </c>
      <c r="B944" s="24" t="str">
        <f>"002494"</f>
        <v>002494</v>
      </c>
      <c r="C944" s="24" t="s">
        <v>1165</v>
      </c>
      <c r="D944" s="24" t="s">
        <v>161</v>
      </c>
      <c r="E944" s="24">
        <v>1522.08</v>
      </c>
      <c r="F944" s="24">
        <v>0.96</v>
      </c>
    </row>
    <row r="945" s="24" customFormat="1" spans="1:6">
      <c r="A945" s="24" t="s">
        <v>140</v>
      </c>
      <c r="B945" s="24" t="str">
        <f>"600830"</f>
        <v>600830</v>
      </c>
      <c r="C945" s="24" t="s">
        <v>1166</v>
      </c>
      <c r="D945" s="24" t="s">
        <v>608</v>
      </c>
      <c r="E945" s="24">
        <v>1488.12</v>
      </c>
      <c r="F945" s="24">
        <v>1.1</v>
      </c>
    </row>
    <row r="946" s="24" customFormat="1" spans="1:6">
      <c r="A946" s="24" t="s">
        <v>142</v>
      </c>
      <c r="B946" s="24" t="str">
        <f>"300404"</f>
        <v>300404</v>
      </c>
      <c r="C946" s="24" t="s">
        <v>1167</v>
      </c>
      <c r="D946" s="24" t="s">
        <v>326</v>
      </c>
      <c r="E946" s="24">
        <v>1484.6</v>
      </c>
      <c r="F946" s="24">
        <v>9</v>
      </c>
    </row>
    <row r="947" s="24" customFormat="1" spans="1:6">
      <c r="A947" s="24" t="s">
        <v>142</v>
      </c>
      <c r="B947" s="24" t="str">
        <f>"002201"</f>
        <v>002201</v>
      </c>
      <c r="C947" s="24" t="s">
        <v>1168</v>
      </c>
      <c r="D947" s="24" t="s">
        <v>644</v>
      </c>
      <c r="E947" s="24">
        <v>1456.2</v>
      </c>
      <c r="F947" s="24">
        <v>6.65</v>
      </c>
    </row>
    <row r="948" s="24" customFormat="1" spans="1:6">
      <c r="A948" s="24" t="s">
        <v>140</v>
      </c>
      <c r="B948" s="24" t="str">
        <f>"601519"</f>
        <v>601519</v>
      </c>
      <c r="C948" s="24" t="s">
        <v>1169</v>
      </c>
      <c r="D948" s="24" t="s">
        <v>813</v>
      </c>
      <c r="E948" s="24">
        <v>1382.71</v>
      </c>
      <c r="F948" s="24">
        <v>13.2</v>
      </c>
    </row>
    <row r="949" s="24" customFormat="1" spans="1:6">
      <c r="A949" s="24" t="s">
        <v>142</v>
      </c>
      <c r="B949" s="24" t="str">
        <f>"002713"</f>
        <v>002713</v>
      </c>
      <c r="C949" s="24" t="s">
        <v>1170</v>
      </c>
      <c r="D949" s="24" t="s">
        <v>315</v>
      </c>
      <c r="E949" s="24">
        <v>1202.86</v>
      </c>
      <c r="F949" s="24">
        <v>10.67</v>
      </c>
    </row>
    <row r="950" s="24" customFormat="1" spans="1:6">
      <c r="A950" s="24" t="s">
        <v>140</v>
      </c>
      <c r="B950" s="24" t="str">
        <f>"600712"</f>
        <v>600712</v>
      </c>
      <c r="C950" s="24" t="s">
        <v>1171</v>
      </c>
      <c r="D950" s="24" t="s">
        <v>148</v>
      </c>
      <c r="E950" s="24">
        <v>1194.92</v>
      </c>
      <c r="F950" s="24">
        <v>3.54</v>
      </c>
    </row>
    <row r="951" s="24" customFormat="1" spans="1:6">
      <c r="A951" s="24" t="s">
        <v>142</v>
      </c>
      <c r="B951" s="24" t="str">
        <f>"300436"</f>
        <v>300436</v>
      </c>
      <c r="C951" s="24" t="s">
        <v>1172</v>
      </c>
      <c r="D951" s="24" t="s">
        <v>464</v>
      </c>
      <c r="E951" s="24">
        <v>1164.74</v>
      </c>
      <c r="F951" s="24">
        <v>10.63</v>
      </c>
    </row>
    <row r="952" s="24" customFormat="1" spans="1:6">
      <c r="A952" s="24" t="s">
        <v>140</v>
      </c>
      <c r="B952" s="24" t="str">
        <f>"600765"</f>
        <v>600765</v>
      </c>
      <c r="C952" s="24" t="s">
        <v>1173</v>
      </c>
      <c r="D952" s="24" t="s">
        <v>395</v>
      </c>
      <c r="E952" s="24">
        <v>1159.45</v>
      </c>
      <c r="F952" s="24">
        <v>1.36</v>
      </c>
    </row>
    <row r="953" s="24" customFormat="1" spans="1:6">
      <c r="A953" s="24" t="s">
        <v>142</v>
      </c>
      <c r="B953" s="24" t="str">
        <f>"000969"</f>
        <v>000969</v>
      </c>
      <c r="C953" s="24" t="s">
        <v>1174</v>
      </c>
      <c r="D953" s="24" t="s">
        <v>167</v>
      </c>
      <c r="E953" s="24">
        <v>1147.1</v>
      </c>
      <c r="F953" s="24">
        <v>1.8</v>
      </c>
    </row>
    <row r="954" s="24" customFormat="1" spans="1:6">
      <c r="A954" s="24" t="s">
        <v>142</v>
      </c>
      <c r="B954" s="24" t="str">
        <f>"300368"</f>
        <v>300368</v>
      </c>
      <c r="C954" s="24" t="s">
        <v>1175</v>
      </c>
      <c r="D954" s="24" t="s">
        <v>152</v>
      </c>
      <c r="E954" s="24">
        <v>1117.47</v>
      </c>
      <c r="F954" s="24">
        <v>8.09</v>
      </c>
    </row>
    <row r="955" s="24" customFormat="1" spans="1:6">
      <c r="A955" s="24" t="s">
        <v>142</v>
      </c>
      <c r="B955" s="24" t="str">
        <f>"002906"</f>
        <v>002906</v>
      </c>
      <c r="C955" s="24" t="s">
        <v>1176</v>
      </c>
      <c r="D955" s="24" t="s">
        <v>152</v>
      </c>
      <c r="E955" s="24">
        <v>1081.52</v>
      </c>
      <c r="F955" s="24">
        <v>1.69</v>
      </c>
    </row>
    <row r="956" s="24" customFormat="1" spans="1:6">
      <c r="A956" s="24" t="s">
        <v>142</v>
      </c>
      <c r="B956" s="24" t="str">
        <f>"300141"</f>
        <v>300141</v>
      </c>
      <c r="C956" s="24" t="s">
        <v>1177</v>
      </c>
      <c r="D956" s="24" t="s">
        <v>251</v>
      </c>
      <c r="E956" s="24">
        <v>1068.56</v>
      </c>
      <c r="F956" s="24">
        <v>2.38</v>
      </c>
    </row>
    <row r="957" s="24" customFormat="1" spans="1:6">
      <c r="A957" s="24" t="s">
        <v>140</v>
      </c>
      <c r="B957" s="24" t="str">
        <f>"600804"</f>
        <v>600804</v>
      </c>
      <c r="C957" s="24" t="s">
        <v>1178</v>
      </c>
      <c r="D957" s="24" t="s">
        <v>336</v>
      </c>
      <c r="E957" s="24">
        <v>1052.65</v>
      </c>
      <c r="F957" s="24">
        <v>1.91</v>
      </c>
    </row>
    <row r="958" s="24" customFormat="1" spans="1:6">
      <c r="A958" s="24" t="s">
        <v>142</v>
      </c>
      <c r="B958" s="24" t="str">
        <f>"002824"</f>
        <v>002824</v>
      </c>
      <c r="C958" s="24" t="s">
        <v>1179</v>
      </c>
      <c r="D958" s="24" t="s">
        <v>167</v>
      </c>
      <c r="E958" s="24">
        <v>1035.07</v>
      </c>
      <c r="F958" s="24">
        <v>2.37</v>
      </c>
    </row>
    <row r="959" s="24" customFormat="1" spans="1:6">
      <c r="A959" s="24" t="s">
        <v>142</v>
      </c>
      <c r="B959" s="24" t="str">
        <f>"000677"</f>
        <v>000677</v>
      </c>
      <c r="C959" s="24" t="s">
        <v>1180</v>
      </c>
      <c r="D959" s="24" t="s">
        <v>302</v>
      </c>
      <c r="E959" s="24">
        <v>1018.95</v>
      </c>
      <c r="F959" s="24">
        <v>10.11</v>
      </c>
    </row>
    <row r="960" s="24" customFormat="1" spans="1:6">
      <c r="A960" s="24" t="s">
        <v>142</v>
      </c>
      <c r="B960" s="24" t="str">
        <f>"002023"</f>
        <v>002023</v>
      </c>
      <c r="C960" s="24" t="s">
        <v>1181</v>
      </c>
      <c r="D960" s="24" t="s">
        <v>395</v>
      </c>
      <c r="E960" s="24">
        <v>1004.89</v>
      </c>
      <c r="F960" s="24">
        <v>2.66</v>
      </c>
    </row>
    <row r="961" s="24" customFormat="1" spans="1:6">
      <c r="A961" s="24" t="s">
        <v>140</v>
      </c>
      <c r="B961" s="24" t="str">
        <f>"600876"</f>
        <v>600876</v>
      </c>
      <c r="C961" s="24" t="s">
        <v>1182</v>
      </c>
      <c r="D961" s="24" t="s">
        <v>644</v>
      </c>
      <c r="E961" s="24">
        <v>996.27</v>
      </c>
      <c r="F961" s="24">
        <v>6.72</v>
      </c>
    </row>
    <row r="962" s="24" customFormat="1" spans="1:6">
      <c r="A962" s="24" t="s">
        <v>142</v>
      </c>
      <c r="B962" s="24" t="str">
        <f>"002371"</f>
        <v>002371</v>
      </c>
      <c r="C962" s="24" t="s">
        <v>1183</v>
      </c>
      <c r="D962" s="24" t="s">
        <v>173</v>
      </c>
      <c r="E962" s="24">
        <v>975.17</v>
      </c>
      <c r="F962" s="24">
        <v>12.49</v>
      </c>
    </row>
    <row r="963" s="24" customFormat="1" spans="1:6">
      <c r="A963" s="24" t="s">
        <v>140</v>
      </c>
      <c r="B963" s="24" t="str">
        <f>"603085"</f>
        <v>603085</v>
      </c>
      <c r="C963" s="24" t="s">
        <v>1184</v>
      </c>
      <c r="D963" s="24" t="s">
        <v>204</v>
      </c>
      <c r="E963" s="24">
        <v>958.18</v>
      </c>
      <c r="F963" s="24">
        <v>3.49</v>
      </c>
    </row>
    <row r="964" s="24" customFormat="1" spans="1:6">
      <c r="A964" s="24" t="s">
        <v>142</v>
      </c>
      <c r="B964" s="24" t="str">
        <f>"002712"</f>
        <v>002712</v>
      </c>
      <c r="C964" s="24" t="s">
        <v>1185</v>
      </c>
      <c r="D964" s="24" t="s">
        <v>170</v>
      </c>
      <c r="E964" s="24">
        <v>899.85</v>
      </c>
      <c r="F964" s="24">
        <v>2.46</v>
      </c>
    </row>
    <row r="965" s="24" customFormat="1" spans="1:6">
      <c r="A965" s="24" t="s">
        <v>140</v>
      </c>
      <c r="B965" s="24" t="str">
        <f>"603031"</f>
        <v>603031</v>
      </c>
      <c r="C965" s="24" t="s">
        <v>1186</v>
      </c>
      <c r="D965" s="24" t="s">
        <v>148</v>
      </c>
      <c r="E965" s="24">
        <v>845.8</v>
      </c>
      <c r="F965" s="24">
        <v>5.71</v>
      </c>
    </row>
    <row r="966" s="24" customFormat="1" spans="1:6">
      <c r="A966" s="24" t="s">
        <v>142</v>
      </c>
      <c r="B966" s="24" t="str">
        <f>"300666"</f>
        <v>300666</v>
      </c>
      <c r="C966" s="24" t="s">
        <v>1187</v>
      </c>
      <c r="D966" s="24" t="s">
        <v>197</v>
      </c>
      <c r="E966" s="24">
        <v>830.42</v>
      </c>
      <c r="F966" s="24">
        <v>18.57</v>
      </c>
    </row>
    <row r="967" s="24" customFormat="1" spans="1:6">
      <c r="A967" s="24" t="s">
        <v>140</v>
      </c>
      <c r="B967" s="24" t="str">
        <f>"688321"</f>
        <v>688321</v>
      </c>
      <c r="C967" s="24" t="s">
        <v>1188</v>
      </c>
      <c r="D967" s="24" t="s">
        <v>326</v>
      </c>
      <c r="E967" s="24">
        <v>811.73</v>
      </c>
      <c r="F967" s="24">
        <v>18.22</v>
      </c>
    </row>
    <row r="968" s="24" customFormat="1" spans="1:6">
      <c r="A968" s="24" t="s">
        <v>140</v>
      </c>
      <c r="B968" s="24" t="str">
        <f>"603028"</f>
        <v>603028</v>
      </c>
      <c r="C968" s="24" t="s">
        <v>1189</v>
      </c>
      <c r="D968" s="24" t="s">
        <v>258</v>
      </c>
      <c r="E968" s="24">
        <v>750.66</v>
      </c>
      <c r="F968" s="24">
        <v>3.36</v>
      </c>
    </row>
    <row r="969" s="24" customFormat="1" spans="1:6">
      <c r="A969" s="24" t="s">
        <v>140</v>
      </c>
      <c r="B969" s="24" t="str">
        <f>"600536"</f>
        <v>600536</v>
      </c>
      <c r="C969" s="24" t="s">
        <v>1190</v>
      </c>
      <c r="D969" s="24" t="s">
        <v>159</v>
      </c>
      <c r="E969" s="24">
        <v>746.27</v>
      </c>
      <c r="F969" s="24">
        <v>17.45</v>
      </c>
    </row>
    <row r="970" s="24" customFormat="1" spans="1:6">
      <c r="A970" s="24" t="s">
        <v>142</v>
      </c>
      <c r="B970" s="24" t="str">
        <f>"300340"</f>
        <v>300340</v>
      </c>
      <c r="C970" s="24" t="s">
        <v>1191</v>
      </c>
      <c r="D970" s="24" t="s">
        <v>152</v>
      </c>
      <c r="E970" s="24">
        <v>743.22</v>
      </c>
      <c r="F970" s="24">
        <v>2.32</v>
      </c>
    </row>
    <row r="971" s="24" customFormat="1" spans="1:6">
      <c r="A971" s="24" t="s">
        <v>142</v>
      </c>
      <c r="B971" s="24" t="str">
        <f>"000514"</f>
        <v>000514</v>
      </c>
      <c r="C971" s="24" t="s">
        <v>1192</v>
      </c>
      <c r="D971" s="24" t="s">
        <v>244</v>
      </c>
      <c r="E971" s="24">
        <v>727.39</v>
      </c>
      <c r="F971" s="24">
        <v>1.09</v>
      </c>
    </row>
    <row r="972" s="24" customFormat="1" spans="1:6">
      <c r="A972" s="24" t="s">
        <v>140</v>
      </c>
      <c r="B972" s="24" t="str">
        <f>"603005"</f>
        <v>603005</v>
      </c>
      <c r="C972" s="24" t="s">
        <v>1193</v>
      </c>
      <c r="D972" s="24" t="s">
        <v>276</v>
      </c>
      <c r="E972" s="24">
        <v>716.96</v>
      </c>
      <c r="F972" s="24">
        <v>10.84</v>
      </c>
    </row>
    <row r="973" s="24" customFormat="1" spans="1:6">
      <c r="A973" s="24" t="s">
        <v>142</v>
      </c>
      <c r="B973" s="24" t="str">
        <f>"000725"</f>
        <v>000725</v>
      </c>
      <c r="C973" s="24" t="s">
        <v>1194</v>
      </c>
      <c r="D973" s="24" t="s">
        <v>230</v>
      </c>
      <c r="E973" s="24">
        <v>714.12</v>
      </c>
      <c r="F973" s="24">
        <v>1.91</v>
      </c>
    </row>
    <row r="974" s="24" customFormat="1" spans="1:6">
      <c r="A974" s="24" t="s">
        <v>140</v>
      </c>
      <c r="B974" s="24" t="str">
        <f>"688037"</f>
        <v>688037</v>
      </c>
      <c r="C974" s="24" t="s">
        <v>1195</v>
      </c>
      <c r="D974" s="24" t="s">
        <v>173</v>
      </c>
      <c r="E974" s="24">
        <v>708.39</v>
      </c>
      <c r="F974" s="24">
        <v>16.11</v>
      </c>
    </row>
    <row r="975" s="24" customFormat="1" spans="1:6">
      <c r="A975" s="24" t="s">
        <v>142</v>
      </c>
      <c r="B975" s="24" t="str">
        <f>"300615"</f>
        <v>300615</v>
      </c>
      <c r="C975" s="24" t="s">
        <v>1196</v>
      </c>
      <c r="D975" s="24" t="s">
        <v>197</v>
      </c>
      <c r="E975" s="24">
        <v>666.09</v>
      </c>
      <c r="F975" s="24">
        <v>6.61</v>
      </c>
    </row>
    <row r="976" s="24" customFormat="1" spans="1:6">
      <c r="A976" s="24" t="s">
        <v>140</v>
      </c>
      <c r="B976" s="24" t="str">
        <f>"600191"</f>
        <v>600191</v>
      </c>
      <c r="C976" s="24" t="s">
        <v>1197</v>
      </c>
      <c r="D976" s="24" t="s">
        <v>190</v>
      </c>
      <c r="E976" s="24">
        <v>659.14</v>
      </c>
      <c r="F976" s="24">
        <v>1.19</v>
      </c>
    </row>
    <row r="977" s="24" customFormat="1" spans="1:6">
      <c r="A977" s="24" t="s">
        <v>142</v>
      </c>
      <c r="B977" s="24" t="str">
        <f>"300331"</f>
        <v>300331</v>
      </c>
      <c r="C977" s="24" t="s">
        <v>1198</v>
      </c>
      <c r="D977" s="24" t="s">
        <v>152</v>
      </c>
      <c r="E977" s="24">
        <v>648.04</v>
      </c>
      <c r="F977" s="24">
        <v>5.22</v>
      </c>
    </row>
    <row r="978" s="24" customFormat="1" spans="1:6">
      <c r="A978" s="24" t="s">
        <v>142</v>
      </c>
      <c r="B978" s="24" t="str">
        <f>"002870"</f>
        <v>002870</v>
      </c>
      <c r="C978" s="24" t="s">
        <v>1199</v>
      </c>
      <c r="D978" s="24" t="s">
        <v>152</v>
      </c>
      <c r="E978" s="24">
        <v>630.98</v>
      </c>
      <c r="F978" s="24">
        <v>2.6</v>
      </c>
    </row>
    <row r="979" s="24" customFormat="1" spans="1:6">
      <c r="A979" s="24" t="s">
        <v>140</v>
      </c>
      <c r="B979" s="24" t="str">
        <f>"603507"</f>
        <v>603507</v>
      </c>
      <c r="C979" s="24" t="s">
        <v>1200</v>
      </c>
      <c r="D979" s="24" t="s">
        <v>293</v>
      </c>
      <c r="E979" s="24">
        <v>625.25</v>
      </c>
      <c r="F979" s="24">
        <v>2.36</v>
      </c>
    </row>
    <row r="980" s="24" customFormat="1" spans="1:6">
      <c r="A980" s="24" t="s">
        <v>142</v>
      </c>
      <c r="B980" s="24" t="str">
        <f>"000020"</f>
        <v>000020</v>
      </c>
      <c r="C980" s="24" t="s">
        <v>1201</v>
      </c>
      <c r="D980" s="24" t="s">
        <v>230</v>
      </c>
      <c r="E980" s="24">
        <v>620.5</v>
      </c>
      <c r="F980" s="24">
        <v>9.25</v>
      </c>
    </row>
    <row r="981" s="24" customFormat="1" spans="1:6">
      <c r="A981" s="24" t="s">
        <v>140</v>
      </c>
      <c r="B981" s="24" t="str">
        <f>"600230"</f>
        <v>600230</v>
      </c>
      <c r="C981" s="24" t="s">
        <v>1202</v>
      </c>
      <c r="D981" s="24" t="s">
        <v>278</v>
      </c>
      <c r="E981" s="24">
        <v>609.62</v>
      </c>
      <c r="F981" s="24">
        <v>1.02</v>
      </c>
    </row>
    <row r="982" s="24" customFormat="1" spans="1:6">
      <c r="A982" s="24" t="s">
        <v>142</v>
      </c>
      <c r="B982" s="24" t="str">
        <f>"300205"</f>
        <v>300205</v>
      </c>
      <c r="C982" s="24" t="s">
        <v>1203</v>
      </c>
      <c r="D982" s="24" t="s">
        <v>152</v>
      </c>
      <c r="E982" s="24">
        <v>592.76</v>
      </c>
      <c r="F982" s="24">
        <v>4.52</v>
      </c>
    </row>
    <row r="983" s="24" customFormat="1" spans="1:6">
      <c r="A983" s="24" t="s">
        <v>142</v>
      </c>
      <c r="B983" s="24" t="str">
        <f>"002227"</f>
        <v>002227</v>
      </c>
      <c r="C983" s="24" t="s">
        <v>1204</v>
      </c>
      <c r="D983" s="24" t="s">
        <v>251</v>
      </c>
      <c r="E983" s="24">
        <v>566.07</v>
      </c>
      <c r="F983" s="24">
        <v>3.02</v>
      </c>
    </row>
    <row r="984" s="24" customFormat="1" spans="1:6">
      <c r="A984" s="24" t="s">
        <v>140</v>
      </c>
      <c r="B984" s="24" t="str">
        <f>"600099"</f>
        <v>600099</v>
      </c>
      <c r="C984" s="24" t="s">
        <v>1205</v>
      </c>
      <c r="D984" s="24" t="s">
        <v>175</v>
      </c>
      <c r="E984" s="24">
        <v>546.89</v>
      </c>
      <c r="F984" s="24">
        <v>2.65</v>
      </c>
    </row>
    <row r="985" s="24" customFormat="1" spans="1:6">
      <c r="A985" s="24" t="s">
        <v>142</v>
      </c>
      <c r="B985" s="24" t="str">
        <f>"300493"</f>
        <v>300493</v>
      </c>
      <c r="C985" s="24" t="s">
        <v>1206</v>
      </c>
      <c r="D985" s="24" t="s">
        <v>276</v>
      </c>
      <c r="E985" s="24">
        <v>524.81</v>
      </c>
      <c r="F985" s="24">
        <v>5.88</v>
      </c>
    </row>
    <row r="986" s="24" customFormat="1" spans="1:6">
      <c r="A986" s="24" t="s">
        <v>142</v>
      </c>
      <c r="B986" s="24" t="str">
        <f>"300534"</f>
        <v>300534</v>
      </c>
      <c r="C986" s="24" t="s">
        <v>1207</v>
      </c>
      <c r="D986" s="24" t="s">
        <v>388</v>
      </c>
      <c r="E986" s="24">
        <v>514.29</v>
      </c>
      <c r="F986" s="24">
        <v>2.79</v>
      </c>
    </row>
    <row r="987" s="24" customFormat="1" spans="1:6">
      <c r="A987" s="24" t="s">
        <v>142</v>
      </c>
      <c r="B987" s="24" t="str">
        <f>"000021"</f>
        <v>000021</v>
      </c>
      <c r="C987" s="24" t="s">
        <v>1208</v>
      </c>
      <c r="D987" s="24" t="s">
        <v>352</v>
      </c>
      <c r="E987" s="24">
        <v>509.93</v>
      </c>
      <c r="F987" s="24">
        <v>3.77</v>
      </c>
    </row>
    <row r="988" s="24" customFormat="1" spans="1:6">
      <c r="A988" s="24" t="s">
        <v>142</v>
      </c>
      <c r="B988" s="24" t="str">
        <f>"002876"</f>
        <v>002876</v>
      </c>
      <c r="C988" s="24" t="s">
        <v>1209</v>
      </c>
      <c r="D988" s="24" t="s">
        <v>197</v>
      </c>
      <c r="E988" s="24">
        <v>503.27</v>
      </c>
      <c r="F988" s="24">
        <v>5.95</v>
      </c>
    </row>
    <row r="989" s="24" customFormat="1" spans="1:6">
      <c r="A989" s="24" t="s">
        <v>142</v>
      </c>
      <c r="B989" s="24" t="str">
        <f>"300526"</f>
        <v>300526</v>
      </c>
      <c r="C989" s="24" t="s">
        <v>1210</v>
      </c>
      <c r="D989" s="24" t="s">
        <v>173</v>
      </c>
      <c r="E989" s="24">
        <v>497.3</v>
      </c>
      <c r="F989" s="24">
        <v>20.72</v>
      </c>
    </row>
    <row r="990" s="24" customFormat="1" spans="1:6">
      <c r="A990" s="24" t="s">
        <v>142</v>
      </c>
      <c r="B990" s="24" t="str">
        <f>"002785"</f>
        <v>002785</v>
      </c>
      <c r="C990" s="24" t="s">
        <v>1211</v>
      </c>
      <c r="D990" s="24" t="s">
        <v>644</v>
      </c>
      <c r="E990" s="24">
        <v>494.7</v>
      </c>
      <c r="F990" s="24">
        <v>3.97</v>
      </c>
    </row>
    <row r="991" s="24" customFormat="1" spans="1:6">
      <c r="A991" s="24" t="s">
        <v>142</v>
      </c>
      <c r="B991" s="24" t="str">
        <f>"300479"</f>
        <v>300479</v>
      </c>
      <c r="C991" s="24" t="s">
        <v>1212</v>
      </c>
      <c r="D991" s="24" t="s">
        <v>152</v>
      </c>
      <c r="E991" s="24">
        <v>488.33</v>
      </c>
      <c r="F991" s="24">
        <v>6.56</v>
      </c>
    </row>
    <row r="992" s="24" customFormat="1" spans="1:6">
      <c r="A992" s="24" t="s">
        <v>142</v>
      </c>
      <c r="B992" s="24" t="str">
        <f>"002779"</f>
        <v>002779</v>
      </c>
      <c r="C992" s="24" t="s">
        <v>1213</v>
      </c>
      <c r="D992" s="24" t="s">
        <v>173</v>
      </c>
      <c r="E992" s="24">
        <v>488.12</v>
      </c>
      <c r="F992" s="24">
        <v>2.88</v>
      </c>
    </row>
    <row r="993" s="24" customFormat="1" spans="1:6">
      <c r="A993" s="24" t="s">
        <v>142</v>
      </c>
      <c r="B993" s="24" t="str">
        <f>"000859"</f>
        <v>000859</v>
      </c>
      <c r="C993" s="24" t="s">
        <v>1214</v>
      </c>
      <c r="D993" s="24" t="s">
        <v>228</v>
      </c>
      <c r="E993" s="24">
        <v>476.82</v>
      </c>
      <c r="F993" s="24">
        <v>2.25</v>
      </c>
    </row>
    <row r="994" s="24" customFormat="1" spans="1:6">
      <c r="A994" s="24" t="s">
        <v>142</v>
      </c>
      <c r="B994" s="24" t="str">
        <f>"000785"</f>
        <v>000785</v>
      </c>
      <c r="C994" s="24" t="s">
        <v>1215</v>
      </c>
      <c r="D994" s="24" t="s">
        <v>148</v>
      </c>
      <c r="E994" s="24">
        <v>470</v>
      </c>
      <c r="F994" s="24">
        <v>1.34</v>
      </c>
    </row>
    <row r="995" s="24" customFormat="1" spans="1:6">
      <c r="A995" s="24" t="s">
        <v>140</v>
      </c>
      <c r="B995" s="24" t="str">
        <f>"600769"</f>
        <v>600769</v>
      </c>
      <c r="C995" s="24" t="s">
        <v>1216</v>
      </c>
      <c r="D995" s="24" t="s">
        <v>315</v>
      </c>
      <c r="E995" s="24">
        <v>464.96</v>
      </c>
      <c r="F995" s="24">
        <v>33.03</v>
      </c>
    </row>
    <row r="996" s="24" customFormat="1" spans="1:6">
      <c r="A996" s="24" t="s">
        <v>142</v>
      </c>
      <c r="B996" s="24" t="str">
        <f>"300025"</f>
        <v>300025</v>
      </c>
      <c r="C996" s="24" t="s">
        <v>1217</v>
      </c>
      <c r="D996" s="24" t="s">
        <v>179</v>
      </c>
      <c r="E996" s="24">
        <v>460.35</v>
      </c>
      <c r="F996" s="24">
        <v>2.8</v>
      </c>
    </row>
    <row r="997" s="24" customFormat="1" spans="1:6">
      <c r="A997" s="24" t="s">
        <v>140</v>
      </c>
      <c r="B997" s="24" t="str">
        <f>"688012"</f>
        <v>688012</v>
      </c>
      <c r="C997" s="24" t="s">
        <v>1218</v>
      </c>
      <c r="D997" s="24" t="s">
        <v>276</v>
      </c>
      <c r="E997" s="24">
        <v>457.01</v>
      </c>
      <c r="F997" s="24">
        <v>31.3</v>
      </c>
    </row>
    <row r="998" s="24" customFormat="1" spans="1:6">
      <c r="A998" s="24" t="s">
        <v>140</v>
      </c>
      <c r="B998" s="24" t="str">
        <f>"600695"</f>
        <v>600695</v>
      </c>
      <c r="C998" s="24" t="s">
        <v>1219</v>
      </c>
      <c r="D998" s="24" t="s">
        <v>442</v>
      </c>
      <c r="E998" s="24">
        <v>454.26</v>
      </c>
      <c r="F998" s="24">
        <v>7.13</v>
      </c>
    </row>
    <row r="999" s="24" customFormat="1" spans="1:6">
      <c r="A999" s="24" t="s">
        <v>142</v>
      </c>
      <c r="B999" s="24" t="str">
        <f>"300557"</f>
        <v>300557</v>
      </c>
      <c r="C999" s="24" t="s">
        <v>1220</v>
      </c>
      <c r="D999" s="24" t="s">
        <v>152</v>
      </c>
      <c r="E999" s="24">
        <v>452.03</v>
      </c>
      <c r="F999" s="24">
        <v>2.94</v>
      </c>
    </row>
    <row r="1000" s="24" customFormat="1" spans="1:6">
      <c r="A1000" s="24" t="s">
        <v>142</v>
      </c>
      <c r="B1000" s="24" t="str">
        <f>"300220"</f>
        <v>300220</v>
      </c>
      <c r="C1000" s="24" t="s">
        <v>1221</v>
      </c>
      <c r="D1000" s="24" t="s">
        <v>152</v>
      </c>
      <c r="E1000" s="24">
        <v>445.56</v>
      </c>
      <c r="F1000" s="24">
        <v>19.57</v>
      </c>
    </row>
    <row r="1001" s="24" customFormat="1" spans="1:6">
      <c r="A1001" s="24" t="s">
        <v>142</v>
      </c>
      <c r="B1001" s="24" t="str">
        <f>"000056"</f>
        <v>000056</v>
      </c>
      <c r="C1001" s="24" t="s">
        <v>1222</v>
      </c>
      <c r="D1001" s="24" t="s">
        <v>623</v>
      </c>
      <c r="E1001" s="24">
        <v>442.57</v>
      </c>
      <c r="F1001" s="24">
        <v>0.77</v>
      </c>
    </row>
    <row r="1002" s="24" customFormat="1" spans="1:6">
      <c r="A1002" s="24" t="s">
        <v>142</v>
      </c>
      <c r="B1002" s="24" t="str">
        <f>"300346"</f>
        <v>300346</v>
      </c>
      <c r="C1002" s="24" t="s">
        <v>1223</v>
      </c>
      <c r="D1002" s="24" t="s">
        <v>230</v>
      </c>
      <c r="E1002" s="24">
        <v>439.43</v>
      </c>
      <c r="F1002" s="24">
        <v>8.28</v>
      </c>
    </row>
    <row r="1003" s="24" customFormat="1" spans="1:6">
      <c r="A1003" s="24" t="s">
        <v>142</v>
      </c>
      <c r="B1003" s="24" t="str">
        <f>"300236"</f>
        <v>300236</v>
      </c>
      <c r="C1003" s="24" t="s">
        <v>1224</v>
      </c>
      <c r="D1003" s="24" t="s">
        <v>228</v>
      </c>
      <c r="E1003" s="24">
        <v>438.64</v>
      </c>
      <c r="F1003" s="24">
        <v>10.84</v>
      </c>
    </row>
    <row r="1004" s="24" customFormat="1" spans="1:6">
      <c r="A1004" s="24" t="s">
        <v>140</v>
      </c>
      <c r="B1004" s="24" t="str">
        <f>"603189"</f>
        <v>603189</v>
      </c>
      <c r="C1004" s="24" t="s">
        <v>1225</v>
      </c>
      <c r="D1004" s="24" t="s">
        <v>156</v>
      </c>
      <c r="E1004" s="24">
        <v>433.19</v>
      </c>
      <c r="F1004" s="24">
        <v>6.47</v>
      </c>
    </row>
    <row r="1005" s="24" customFormat="1" spans="1:6">
      <c r="A1005" s="24" t="s">
        <v>142</v>
      </c>
      <c r="B1005" s="24" t="str">
        <f>"002245"</f>
        <v>002245</v>
      </c>
      <c r="C1005" s="24" t="s">
        <v>1226</v>
      </c>
      <c r="D1005" s="24" t="s">
        <v>177</v>
      </c>
      <c r="E1005" s="24">
        <v>420.38</v>
      </c>
      <c r="F1005" s="24">
        <v>3.76</v>
      </c>
    </row>
    <row r="1006" s="24" customFormat="1" spans="1:6">
      <c r="A1006" s="24" t="s">
        <v>142</v>
      </c>
      <c r="B1006" s="24" t="str">
        <f>"002580"</f>
        <v>002580</v>
      </c>
      <c r="C1006" s="24" t="s">
        <v>1227</v>
      </c>
      <c r="D1006" s="24" t="s">
        <v>152</v>
      </c>
      <c r="E1006" s="24">
        <v>413.5</v>
      </c>
      <c r="F1006" s="24">
        <v>1.43</v>
      </c>
    </row>
    <row r="1007" s="24" customFormat="1" spans="1:6">
      <c r="A1007" s="24" t="s">
        <v>140</v>
      </c>
      <c r="B1007" s="24" t="str">
        <f>"688111"</f>
        <v>688111</v>
      </c>
      <c r="C1007" s="24" t="s">
        <v>1228</v>
      </c>
      <c r="D1007" s="24" t="s">
        <v>156</v>
      </c>
      <c r="E1007" s="24">
        <v>411.54</v>
      </c>
      <c r="F1007" s="24">
        <v>16.82</v>
      </c>
    </row>
    <row r="1008" s="24" customFormat="1" spans="1:6">
      <c r="A1008" s="24" t="s">
        <v>140</v>
      </c>
      <c r="B1008" s="24" t="str">
        <f>"603116"</f>
        <v>603116</v>
      </c>
      <c r="C1008" s="24" t="s">
        <v>1229</v>
      </c>
      <c r="D1008" s="24" t="s">
        <v>161</v>
      </c>
      <c r="E1008" s="24">
        <v>406.98</v>
      </c>
      <c r="F1008" s="24">
        <v>0.97</v>
      </c>
    </row>
    <row r="1009" s="24" customFormat="1" spans="1:6">
      <c r="A1009" s="24" t="s">
        <v>140</v>
      </c>
      <c r="B1009" s="24" t="str">
        <f>"600605"</f>
        <v>600605</v>
      </c>
      <c r="C1009" s="24" t="s">
        <v>1230</v>
      </c>
      <c r="D1009" s="24" t="s">
        <v>267</v>
      </c>
      <c r="E1009" s="24">
        <v>402.11</v>
      </c>
      <c r="F1009" s="24">
        <v>2.17</v>
      </c>
    </row>
    <row r="1010" s="24" customFormat="1" spans="1:6">
      <c r="A1010" s="24" t="s">
        <v>142</v>
      </c>
      <c r="B1010" s="24" t="str">
        <f>"300211"</f>
        <v>300211</v>
      </c>
      <c r="C1010" s="24" t="s">
        <v>1231</v>
      </c>
      <c r="D1010" s="24" t="s">
        <v>193</v>
      </c>
      <c r="E1010" s="24">
        <v>402.04</v>
      </c>
      <c r="F1010" s="24">
        <v>4.58</v>
      </c>
    </row>
    <row r="1011" s="24" customFormat="1" spans="1:6">
      <c r="A1011" s="24" t="s">
        <v>140</v>
      </c>
      <c r="B1011" s="24" t="str">
        <f>"600812"</f>
        <v>600812</v>
      </c>
      <c r="C1011" s="24" t="s">
        <v>1232</v>
      </c>
      <c r="D1011" s="24" t="s">
        <v>464</v>
      </c>
      <c r="E1011" s="24">
        <v>400.23</v>
      </c>
      <c r="F1011" s="24">
        <v>2.59</v>
      </c>
    </row>
    <row r="1012" s="24" customFormat="1" spans="1:6">
      <c r="A1012" s="24" t="s">
        <v>142</v>
      </c>
      <c r="B1012" s="24" t="str">
        <f>"300721"</f>
        <v>300721</v>
      </c>
      <c r="C1012" s="24" t="s">
        <v>1233</v>
      </c>
      <c r="D1012" s="24" t="s">
        <v>256</v>
      </c>
      <c r="E1012" s="24">
        <v>399.66</v>
      </c>
      <c r="F1012" s="24">
        <v>1.96</v>
      </c>
    </row>
    <row r="1013" s="24" customFormat="1" spans="1:6">
      <c r="A1013" s="24" t="s">
        <v>142</v>
      </c>
      <c r="B1013" s="24" t="str">
        <f>"300235"</f>
        <v>300235</v>
      </c>
      <c r="C1013" s="24" t="s">
        <v>1234</v>
      </c>
      <c r="D1013" s="24" t="s">
        <v>156</v>
      </c>
      <c r="E1013" s="24">
        <v>399.22</v>
      </c>
      <c r="F1013" s="24">
        <v>6.09</v>
      </c>
    </row>
    <row r="1014" s="24" customFormat="1" spans="1:6">
      <c r="A1014" s="24" t="s">
        <v>142</v>
      </c>
      <c r="B1014" s="24" t="str">
        <f>"002618"</f>
        <v>002618</v>
      </c>
      <c r="C1014" s="24" t="s">
        <v>1235</v>
      </c>
      <c r="D1014" s="24" t="s">
        <v>197</v>
      </c>
      <c r="E1014" s="24">
        <v>398.68</v>
      </c>
      <c r="F1014" s="24">
        <v>3.64</v>
      </c>
    </row>
    <row r="1015" s="24" customFormat="1" spans="1:6">
      <c r="A1015" s="24" t="s">
        <v>142</v>
      </c>
      <c r="B1015" s="24" t="str">
        <f>"300456"</f>
        <v>300456</v>
      </c>
      <c r="C1015" s="24" t="s">
        <v>1236</v>
      </c>
      <c r="D1015" s="24" t="s">
        <v>152</v>
      </c>
      <c r="E1015" s="24">
        <v>398.35</v>
      </c>
      <c r="F1015" s="24">
        <v>9.87</v>
      </c>
    </row>
    <row r="1016" s="24" customFormat="1" spans="1:6">
      <c r="A1016" s="24" t="s">
        <v>142</v>
      </c>
      <c r="B1016" s="24" t="str">
        <f>"000554"</f>
        <v>000554</v>
      </c>
      <c r="C1016" s="24" t="s">
        <v>1237</v>
      </c>
      <c r="D1016" s="24" t="s">
        <v>246</v>
      </c>
      <c r="E1016" s="24">
        <v>397.13</v>
      </c>
      <c r="F1016" s="24">
        <v>2.4</v>
      </c>
    </row>
    <row r="1017" s="24" customFormat="1" spans="1:6">
      <c r="A1017" s="24" t="s">
        <v>142</v>
      </c>
      <c r="B1017" s="24" t="str">
        <f>"300293"</f>
        <v>300293</v>
      </c>
      <c r="C1017" s="24" t="s">
        <v>1238</v>
      </c>
      <c r="D1017" s="24" t="s">
        <v>165</v>
      </c>
      <c r="E1017" s="24">
        <v>396.07</v>
      </c>
      <c r="F1017" s="24">
        <v>4.17</v>
      </c>
    </row>
    <row r="1018" s="24" customFormat="1" spans="1:6">
      <c r="A1018" s="24" t="s">
        <v>140</v>
      </c>
      <c r="B1018" s="24" t="str">
        <f>"600586"</f>
        <v>600586</v>
      </c>
      <c r="C1018" s="24" t="s">
        <v>1239</v>
      </c>
      <c r="D1018" s="24" t="s">
        <v>644</v>
      </c>
      <c r="E1018" s="24">
        <v>392.91</v>
      </c>
      <c r="F1018" s="24">
        <v>1.13</v>
      </c>
    </row>
    <row r="1019" s="24" customFormat="1" spans="1:6">
      <c r="A1019" s="24" t="s">
        <v>142</v>
      </c>
      <c r="B1019" s="24" t="str">
        <f>"200725"</f>
        <v>200725</v>
      </c>
      <c r="C1019" s="24" t="s">
        <v>1240</v>
      </c>
      <c r="D1019" s="24"/>
      <c r="E1019" s="24">
        <v>387.84</v>
      </c>
      <c r="F1019" s="24">
        <v>1.11</v>
      </c>
    </row>
    <row r="1020" s="24" customFormat="1" spans="1:6">
      <c r="A1020" s="24" t="s">
        <v>140</v>
      </c>
      <c r="B1020" s="24" t="str">
        <f>"600095"</f>
        <v>600095</v>
      </c>
      <c r="C1020" s="24" t="s">
        <v>1241</v>
      </c>
      <c r="D1020" s="24" t="s">
        <v>244</v>
      </c>
      <c r="E1020" s="24">
        <v>379.47</v>
      </c>
      <c r="F1020" s="24">
        <v>3.7</v>
      </c>
    </row>
    <row r="1021" s="24" customFormat="1" spans="1:6">
      <c r="A1021" s="24" t="s">
        <v>142</v>
      </c>
      <c r="B1021" s="24" t="str">
        <f>"000815"</f>
        <v>000815</v>
      </c>
      <c r="C1021" s="24" t="s">
        <v>1242</v>
      </c>
      <c r="D1021" s="24" t="s">
        <v>509</v>
      </c>
      <c r="E1021" s="24">
        <v>378.59</v>
      </c>
      <c r="F1021" s="24">
        <v>2.57</v>
      </c>
    </row>
    <row r="1022" s="24" customFormat="1" spans="1:6">
      <c r="A1022" s="24" t="s">
        <v>140</v>
      </c>
      <c r="B1022" s="24" t="str">
        <f>"603105"</f>
        <v>603105</v>
      </c>
      <c r="C1022" s="24" t="s">
        <v>1243</v>
      </c>
      <c r="D1022" s="24" t="s">
        <v>276</v>
      </c>
      <c r="E1022" s="24">
        <v>376.11</v>
      </c>
      <c r="F1022" s="24">
        <v>2.56</v>
      </c>
    </row>
    <row r="1023" s="24" customFormat="1" spans="1:6">
      <c r="A1023" s="24" t="s">
        <v>142</v>
      </c>
      <c r="B1023" s="24" t="str">
        <f>"000633"</f>
        <v>000633</v>
      </c>
      <c r="C1023" s="24" t="s">
        <v>1244</v>
      </c>
      <c r="D1023" s="24" t="s">
        <v>1003</v>
      </c>
      <c r="E1023" s="24">
        <v>375.11</v>
      </c>
      <c r="F1023" s="24">
        <v>8.77</v>
      </c>
    </row>
    <row r="1024" s="24" customFormat="1" spans="1:6">
      <c r="A1024" s="24" t="s">
        <v>142</v>
      </c>
      <c r="B1024" s="24" t="str">
        <f>"300612"</f>
        <v>300612</v>
      </c>
      <c r="C1024" s="24" t="s">
        <v>1245</v>
      </c>
      <c r="D1024" s="24" t="s">
        <v>214</v>
      </c>
      <c r="E1024" s="24">
        <v>372.87</v>
      </c>
      <c r="F1024" s="24">
        <v>6.06</v>
      </c>
    </row>
    <row r="1025" s="24" customFormat="1" spans="1:6">
      <c r="A1025" s="24" t="s">
        <v>142</v>
      </c>
      <c r="B1025" s="24" t="str">
        <f>"300671"</f>
        <v>300671</v>
      </c>
      <c r="C1025" s="24" t="s">
        <v>1246</v>
      </c>
      <c r="D1025" s="24" t="s">
        <v>276</v>
      </c>
      <c r="E1025" s="24">
        <v>370.2</v>
      </c>
      <c r="F1025" s="24">
        <v>7.71</v>
      </c>
    </row>
    <row r="1026" s="24" customFormat="1" spans="1:6">
      <c r="A1026" s="24" t="s">
        <v>142</v>
      </c>
      <c r="B1026" s="24" t="str">
        <f>"002453"</f>
        <v>002453</v>
      </c>
      <c r="C1026" s="24" t="s">
        <v>1247</v>
      </c>
      <c r="D1026" s="24" t="s">
        <v>256</v>
      </c>
      <c r="E1026" s="24">
        <v>368.94</v>
      </c>
      <c r="F1026" s="24">
        <v>5.74</v>
      </c>
    </row>
    <row r="1027" s="24" customFormat="1" spans="1:6">
      <c r="A1027" s="24" t="s">
        <v>142</v>
      </c>
      <c r="B1027" s="24" t="str">
        <f>"300344"</f>
        <v>300344</v>
      </c>
      <c r="C1027" s="24" t="s">
        <v>1248</v>
      </c>
      <c r="D1027" s="24" t="s">
        <v>573</v>
      </c>
      <c r="E1027" s="24">
        <v>366.06</v>
      </c>
      <c r="F1027" s="24">
        <v>18.57</v>
      </c>
    </row>
    <row r="1028" s="24" customFormat="1" spans="1:6">
      <c r="A1028" s="24" t="s">
        <v>142</v>
      </c>
      <c r="B1028" s="24" t="str">
        <f>"200056"</f>
        <v>200056</v>
      </c>
      <c r="C1028" s="24" t="s">
        <v>1249</v>
      </c>
      <c r="D1028" s="24"/>
      <c r="E1028" s="24">
        <v>361.86</v>
      </c>
      <c r="F1028" s="24">
        <v>0.38</v>
      </c>
    </row>
    <row r="1029" s="24" customFormat="1" spans="1:6">
      <c r="A1029" s="24" t="s">
        <v>140</v>
      </c>
      <c r="B1029" s="24" t="str">
        <f>"600562"</f>
        <v>600562</v>
      </c>
      <c r="C1029" s="24" t="s">
        <v>1250</v>
      </c>
      <c r="D1029" s="24" t="s">
        <v>152</v>
      </c>
      <c r="E1029" s="24">
        <v>360.71</v>
      </c>
      <c r="F1029" s="24">
        <v>4.85</v>
      </c>
    </row>
    <row r="1030" s="24" customFormat="1" spans="1:6">
      <c r="A1030" s="24" t="s">
        <v>142</v>
      </c>
      <c r="B1030" s="24" t="str">
        <f>"002551"</f>
        <v>002551</v>
      </c>
      <c r="C1030" s="24" t="s">
        <v>1251</v>
      </c>
      <c r="D1030" s="24" t="s">
        <v>618</v>
      </c>
      <c r="E1030" s="24">
        <v>353.25</v>
      </c>
      <c r="F1030" s="24">
        <v>2.26</v>
      </c>
    </row>
    <row r="1031" s="24" customFormat="1" spans="1:6">
      <c r="A1031" s="24" t="s">
        <v>142</v>
      </c>
      <c r="B1031" s="24" t="str">
        <f>"000404"</f>
        <v>000404</v>
      </c>
      <c r="C1031" s="24" t="s">
        <v>1252</v>
      </c>
      <c r="D1031" s="24" t="s">
        <v>165</v>
      </c>
      <c r="E1031" s="24">
        <v>353.23</v>
      </c>
      <c r="F1031" s="24">
        <v>0.79</v>
      </c>
    </row>
    <row r="1032" s="24" customFormat="1" spans="1:6">
      <c r="A1032" s="24" t="s">
        <v>142</v>
      </c>
      <c r="B1032" s="24" t="str">
        <f>"000925"</f>
        <v>000925</v>
      </c>
      <c r="C1032" s="24" t="s">
        <v>1253</v>
      </c>
      <c r="D1032" s="24" t="s">
        <v>214</v>
      </c>
      <c r="E1032" s="24">
        <v>352.55</v>
      </c>
      <c r="F1032" s="24">
        <v>2.6</v>
      </c>
    </row>
    <row r="1033" s="24" customFormat="1" spans="1:6">
      <c r="A1033" s="24" t="s">
        <v>142</v>
      </c>
      <c r="B1033" s="24" t="str">
        <f>"300181"</f>
        <v>300181</v>
      </c>
      <c r="C1033" s="24" t="s">
        <v>1254</v>
      </c>
      <c r="D1033" s="24" t="s">
        <v>388</v>
      </c>
      <c r="E1033" s="24">
        <v>352.09</v>
      </c>
      <c r="F1033" s="24">
        <v>2.74</v>
      </c>
    </row>
    <row r="1034" s="24" customFormat="1" spans="1:6">
      <c r="A1034" s="24" t="s">
        <v>142</v>
      </c>
      <c r="B1034" s="24" t="str">
        <f>"000996"</f>
        <v>000996</v>
      </c>
      <c r="C1034" s="24" t="s">
        <v>1255</v>
      </c>
      <c r="D1034" s="24" t="s">
        <v>207</v>
      </c>
      <c r="E1034" s="24">
        <v>349.3</v>
      </c>
      <c r="F1034" s="24">
        <v>5.42</v>
      </c>
    </row>
    <row r="1035" s="24" customFormat="1" spans="1:6">
      <c r="A1035" s="24" t="s">
        <v>142</v>
      </c>
      <c r="B1035" s="24" t="str">
        <f>"002041"</f>
        <v>002041</v>
      </c>
      <c r="C1035" s="24" t="s">
        <v>1256</v>
      </c>
      <c r="D1035" s="24" t="s">
        <v>145</v>
      </c>
      <c r="E1035" s="24">
        <v>347.19</v>
      </c>
      <c r="F1035" s="24">
        <v>3.44</v>
      </c>
    </row>
    <row r="1036" s="24" customFormat="1" spans="1:6">
      <c r="A1036" s="24" t="s">
        <v>142</v>
      </c>
      <c r="B1036" s="24" t="str">
        <f>"300238"</f>
        <v>300238</v>
      </c>
      <c r="C1036" s="24" t="s">
        <v>1257</v>
      </c>
      <c r="D1036" s="24" t="s">
        <v>618</v>
      </c>
      <c r="E1036" s="24">
        <v>344.69</v>
      </c>
      <c r="F1036" s="24">
        <v>8.28</v>
      </c>
    </row>
    <row r="1037" s="24" customFormat="1" spans="1:6">
      <c r="A1037" s="24" t="s">
        <v>142</v>
      </c>
      <c r="B1037" s="24" t="str">
        <f>"300469"</f>
        <v>300469</v>
      </c>
      <c r="C1037" s="24" t="s">
        <v>1258</v>
      </c>
      <c r="D1037" s="24" t="s">
        <v>163</v>
      </c>
      <c r="E1037" s="24">
        <v>341.26</v>
      </c>
      <c r="F1037" s="24">
        <v>6.56</v>
      </c>
    </row>
    <row r="1038" s="24" customFormat="1" spans="1:6">
      <c r="A1038" s="24" t="s">
        <v>142</v>
      </c>
      <c r="B1038" s="24" t="str">
        <f>"002691"</f>
        <v>002691</v>
      </c>
      <c r="C1038" s="24" t="s">
        <v>1259</v>
      </c>
      <c r="D1038" s="24" t="s">
        <v>173</v>
      </c>
      <c r="E1038" s="24">
        <v>338.63</v>
      </c>
      <c r="F1038" s="24">
        <v>1.98</v>
      </c>
    </row>
    <row r="1039" s="24" customFormat="1" spans="1:6">
      <c r="A1039" s="24" t="s">
        <v>142</v>
      </c>
      <c r="B1039" s="24" t="str">
        <f>"300539"</f>
        <v>300539</v>
      </c>
      <c r="C1039" s="24" t="s">
        <v>1260</v>
      </c>
      <c r="D1039" s="24" t="s">
        <v>228</v>
      </c>
      <c r="E1039" s="24">
        <v>337.74</v>
      </c>
      <c r="F1039" s="24">
        <v>3</v>
      </c>
    </row>
    <row r="1040" s="24" customFormat="1" spans="1:6">
      <c r="A1040" s="24" t="s">
        <v>142</v>
      </c>
      <c r="B1040" s="24" t="str">
        <f>"000430"</f>
        <v>000430</v>
      </c>
      <c r="C1040" s="24" t="s">
        <v>1261</v>
      </c>
      <c r="D1040" s="24" t="s">
        <v>453</v>
      </c>
      <c r="E1040" s="24">
        <v>337.66</v>
      </c>
      <c r="F1040" s="24">
        <v>1.12</v>
      </c>
    </row>
    <row r="1041" s="24" customFormat="1" spans="1:6">
      <c r="A1041" s="24" t="s">
        <v>142</v>
      </c>
      <c r="B1041" s="24" t="str">
        <f>"000909"</f>
        <v>000909</v>
      </c>
      <c r="C1041" s="24" t="s">
        <v>1262</v>
      </c>
      <c r="D1041" s="24" t="s">
        <v>244</v>
      </c>
      <c r="E1041" s="24">
        <v>336.41</v>
      </c>
      <c r="F1041" s="24">
        <v>2.26</v>
      </c>
    </row>
    <row r="1042" s="24" customFormat="1" spans="1:6">
      <c r="A1042" s="24" t="s">
        <v>142</v>
      </c>
      <c r="B1042" s="24" t="str">
        <f>"002066"</f>
        <v>002066</v>
      </c>
      <c r="C1042" s="24" t="s">
        <v>1263</v>
      </c>
      <c r="D1042" s="24" t="s">
        <v>644</v>
      </c>
      <c r="E1042" s="24">
        <v>335.47</v>
      </c>
      <c r="F1042" s="24">
        <v>3.66</v>
      </c>
    </row>
    <row r="1043" s="24" customFormat="1" spans="1:6">
      <c r="A1043" s="24" t="s">
        <v>142</v>
      </c>
      <c r="B1043" s="24" t="str">
        <f>"002902"</f>
        <v>002902</v>
      </c>
      <c r="C1043" s="24" t="s">
        <v>1264</v>
      </c>
      <c r="D1043" s="24" t="s">
        <v>197</v>
      </c>
      <c r="E1043" s="24">
        <v>332.3</v>
      </c>
      <c r="F1043" s="24">
        <v>4.32</v>
      </c>
    </row>
    <row r="1044" s="24" customFormat="1" spans="1:6">
      <c r="A1044" s="24" t="s">
        <v>140</v>
      </c>
      <c r="B1044" s="24" t="str">
        <f>"600365"</f>
        <v>600365</v>
      </c>
      <c r="C1044" s="24" t="s">
        <v>1265</v>
      </c>
      <c r="D1044" s="24" t="s">
        <v>309</v>
      </c>
      <c r="E1044" s="24">
        <v>332.16</v>
      </c>
      <c r="F1044" s="24">
        <v>2.08</v>
      </c>
    </row>
    <row r="1045" s="24" customFormat="1" spans="1:6">
      <c r="A1045" s="24" t="s">
        <v>140</v>
      </c>
      <c r="B1045" s="24" t="str">
        <f>"603683"</f>
        <v>603683</v>
      </c>
      <c r="C1045" s="24" t="s">
        <v>1266</v>
      </c>
      <c r="D1045" s="24" t="s">
        <v>228</v>
      </c>
      <c r="E1045" s="24">
        <v>329.1</v>
      </c>
      <c r="F1045" s="24">
        <v>1.9</v>
      </c>
    </row>
    <row r="1046" s="24" customFormat="1" spans="1:6">
      <c r="A1046" s="24" t="s">
        <v>142</v>
      </c>
      <c r="B1046" s="24" t="str">
        <f>"300053"</f>
        <v>300053</v>
      </c>
      <c r="C1046" s="24" t="s">
        <v>1267</v>
      </c>
      <c r="D1046" s="24" t="s">
        <v>197</v>
      </c>
      <c r="E1046" s="24">
        <v>326.67</v>
      </c>
      <c r="F1046" s="24">
        <v>3.93</v>
      </c>
    </row>
    <row r="1047" s="24" customFormat="1" spans="1:6">
      <c r="A1047" s="24" t="s">
        <v>140</v>
      </c>
      <c r="B1047" s="24" t="str">
        <f>"600776"</f>
        <v>600776</v>
      </c>
      <c r="C1047" s="24" t="s">
        <v>1268</v>
      </c>
      <c r="D1047" s="24" t="s">
        <v>193</v>
      </c>
      <c r="E1047" s="24">
        <v>323.69</v>
      </c>
      <c r="F1047" s="24">
        <v>7.54</v>
      </c>
    </row>
    <row r="1048" s="24" customFormat="1" spans="1:6">
      <c r="A1048" s="24" t="s">
        <v>140</v>
      </c>
      <c r="B1048" s="24" t="str">
        <f>"600218"</f>
        <v>600218</v>
      </c>
      <c r="C1048" s="24" t="s">
        <v>1269</v>
      </c>
      <c r="D1048" s="24" t="s">
        <v>165</v>
      </c>
      <c r="E1048" s="24">
        <v>313.64</v>
      </c>
      <c r="F1048" s="24">
        <v>1.94</v>
      </c>
    </row>
    <row r="1049" s="24" customFormat="1" spans="1:6">
      <c r="A1049" s="24" t="s">
        <v>142</v>
      </c>
      <c r="B1049" s="24" t="str">
        <f>"000695"</f>
        <v>000695</v>
      </c>
      <c r="C1049" s="24" t="s">
        <v>1270</v>
      </c>
      <c r="D1049" s="24" t="s">
        <v>450</v>
      </c>
      <c r="E1049" s="24">
        <v>309.87</v>
      </c>
      <c r="F1049" s="24">
        <v>4.32</v>
      </c>
    </row>
    <row r="1050" s="24" customFormat="1" spans="1:6">
      <c r="A1050" s="24" t="s">
        <v>142</v>
      </c>
      <c r="B1050" s="24" t="str">
        <f>"300688"</f>
        <v>300688</v>
      </c>
      <c r="C1050" s="24" t="s">
        <v>1271</v>
      </c>
      <c r="D1050" s="24" t="s">
        <v>214</v>
      </c>
      <c r="E1050" s="24">
        <v>307.34</v>
      </c>
      <c r="F1050" s="24">
        <v>5.26</v>
      </c>
    </row>
    <row r="1051" s="24" customFormat="1" spans="1:6">
      <c r="A1051" s="24" t="s">
        <v>140</v>
      </c>
      <c r="B1051" s="24" t="str">
        <f>"600157"</f>
        <v>600157</v>
      </c>
      <c r="C1051" s="24" t="s">
        <v>1272</v>
      </c>
      <c r="D1051" s="24" t="s">
        <v>401</v>
      </c>
      <c r="E1051" s="24">
        <v>306.29</v>
      </c>
      <c r="F1051" s="24">
        <v>0.88</v>
      </c>
    </row>
    <row r="1052" s="24" customFormat="1" spans="1:6">
      <c r="A1052" s="24" t="s">
        <v>142</v>
      </c>
      <c r="B1052" s="24" t="str">
        <f>"300094"</f>
        <v>300094</v>
      </c>
      <c r="C1052" s="24" t="s">
        <v>1273</v>
      </c>
      <c r="D1052" s="24" t="s">
        <v>145</v>
      </c>
      <c r="E1052" s="24">
        <v>303.77</v>
      </c>
      <c r="F1052" s="24">
        <v>1.27</v>
      </c>
    </row>
    <row r="1053" s="24" customFormat="1" spans="1:6">
      <c r="A1053" s="24" t="s">
        <v>140</v>
      </c>
      <c r="B1053" s="24" t="str">
        <f>"603196"</f>
        <v>603196</v>
      </c>
      <c r="C1053" s="24" t="s">
        <v>1274</v>
      </c>
      <c r="D1053" s="24" t="s">
        <v>161</v>
      </c>
      <c r="E1053" s="24">
        <v>299.84</v>
      </c>
      <c r="F1053" s="24">
        <v>1.99</v>
      </c>
    </row>
    <row r="1054" s="24" customFormat="1" spans="1:6">
      <c r="A1054" s="24" t="s">
        <v>140</v>
      </c>
      <c r="B1054" s="24" t="str">
        <f>"603386"</f>
        <v>603386</v>
      </c>
      <c r="C1054" s="24" t="s">
        <v>1275</v>
      </c>
      <c r="D1054" s="24" t="s">
        <v>276</v>
      </c>
      <c r="E1054" s="24">
        <v>296.76</v>
      </c>
      <c r="F1054" s="24">
        <v>6.09</v>
      </c>
    </row>
    <row r="1055" s="24" customFormat="1" spans="1:6">
      <c r="A1055" s="24" t="s">
        <v>140</v>
      </c>
      <c r="B1055" s="24" t="str">
        <f>"600206"</f>
        <v>600206</v>
      </c>
      <c r="C1055" s="24" t="s">
        <v>1276</v>
      </c>
      <c r="D1055" s="24" t="s">
        <v>167</v>
      </c>
      <c r="E1055" s="24">
        <v>296.71</v>
      </c>
      <c r="F1055" s="24">
        <v>3.95</v>
      </c>
    </row>
    <row r="1056" s="24" customFormat="1" spans="1:6">
      <c r="A1056" s="24" t="s">
        <v>142</v>
      </c>
      <c r="B1056" s="24" t="str">
        <f>"000826"</f>
        <v>000826</v>
      </c>
      <c r="C1056" s="24" t="s">
        <v>1277</v>
      </c>
      <c r="D1056" s="24" t="s">
        <v>214</v>
      </c>
      <c r="E1056" s="24">
        <v>295.25</v>
      </c>
      <c r="F1056" s="24">
        <v>1.12</v>
      </c>
    </row>
    <row r="1057" s="24" customFormat="1" spans="1:6">
      <c r="A1057" s="24" t="s">
        <v>140</v>
      </c>
      <c r="B1057" s="24" t="str">
        <f>"600517"</f>
        <v>600517</v>
      </c>
      <c r="C1057" s="24" t="s">
        <v>1278</v>
      </c>
      <c r="D1057" s="24" t="s">
        <v>293</v>
      </c>
      <c r="E1057" s="24">
        <v>295.04</v>
      </c>
      <c r="F1057" s="24">
        <v>2.71</v>
      </c>
    </row>
    <row r="1058" s="24" customFormat="1" spans="1:6">
      <c r="A1058" s="24" t="s">
        <v>140</v>
      </c>
      <c r="B1058" s="24" t="str">
        <f>"600783"</f>
        <v>600783</v>
      </c>
      <c r="C1058" s="24" t="s">
        <v>1279</v>
      </c>
      <c r="D1058" s="24" t="s">
        <v>644</v>
      </c>
      <c r="E1058" s="24">
        <v>294.86</v>
      </c>
      <c r="F1058" s="24">
        <v>2.8</v>
      </c>
    </row>
    <row r="1059" s="24" customFormat="1" spans="1:6">
      <c r="A1059" s="24" t="s">
        <v>142</v>
      </c>
      <c r="B1059" s="24" t="str">
        <f>"300348"</f>
        <v>300348</v>
      </c>
      <c r="C1059" s="24" t="s">
        <v>1280</v>
      </c>
      <c r="D1059" s="24" t="s">
        <v>156</v>
      </c>
      <c r="E1059" s="24">
        <v>294.5</v>
      </c>
      <c r="F1059" s="24">
        <v>11.12</v>
      </c>
    </row>
    <row r="1060" s="24" customFormat="1" spans="1:6">
      <c r="A1060" s="24" t="s">
        <v>142</v>
      </c>
      <c r="B1060" s="24" t="str">
        <f>"002395"</f>
        <v>002395</v>
      </c>
      <c r="C1060" s="24" t="s">
        <v>1281</v>
      </c>
      <c r="D1060" s="24" t="s">
        <v>228</v>
      </c>
      <c r="E1060" s="24">
        <v>294.09</v>
      </c>
      <c r="F1060" s="24">
        <v>5.36</v>
      </c>
    </row>
    <row r="1061" s="24" customFormat="1" spans="1:6">
      <c r="A1061" s="24" t="s">
        <v>142</v>
      </c>
      <c r="B1061" s="24" t="str">
        <f>"300228"</f>
        <v>300228</v>
      </c>
      <c r="C1061" s="24" t="s">
        <v>1282</v>
      </c>
      <c r="D1061" s="24" t="s">
        <v>173</v>
      </c>
      <c r="E1061" s="24">
        <v>292.88</v>
      </c>
      <c r="F1061" s="24">
        <v>1.15</v>
      </c>
    </row>
    <row r="1062" s="24" customFormat="1" spans="1:6">
      <c r="A1062" s="24" t="s">
        <v>142</v>
      </c>
      <c r="B1062" s="24" t="str">
        <f>"002552"</f>
        <v>002552</v>
      </c>
      <c r="C1062" s="24" t="s">
        <v>1283</v>
      </c>
      <c r="D1062" s="24" t="s">
        <v>165</v>
      </c>
      <c r="E1062" s="24">
        <v>291.36</v>
      </c>
      <c r="F1062" s="24">
        <v>9.34</v>
      </c>
    </row>
    <row r="1063" s="24" customFormat="1" spans="1:6">
      <c r="A1063" s="24" t="s">
        <v>140</v>
      </c>
      <c r="B1063" s="24" t="str">
        <f>"688166"</f>
        <v>688166</v>
      </c>
      <c r="C1063" s="24" t="s">
        <v>1284</v>
      </c>
      <c r="D1063" s="24" t="s">
        <v>997</v>
      </c>
      <c r="E1063" s="24">
        <v>289.81</v>
      </c>
      <c r="F1063" s="24">
        <v>18.93</v>
      </c>
    </row>
    <row r="1064" s="24" customFormat="1" spans="1:6">
      <c r="A1064" s="24" t="s">
        <v>142</v>
      </c>
      <c r="B1064" s="24" t="str">
        <f>"000957"</f>
        <v>000957</v>
      </c>
      <c r="C1064" s="24" t="s">
        <v>1285</v>
      </c>
      <c r="D1064" s="24" t="s">
        <v>175</v>
      </c>
      <c r="E1064" s="24">
        <v>289.71</v>
      </c>
      <c r="F1064" s="24">
        <v>1.68</v>
      </c>
    </row>
    <row r="1065" s="24" customFormat="1" spans="1:6">
      <c r="A1065" s="24" t="s">
        <v>140</v>
      </c>
      <c r="B1065" s="24" t="str">
        <f>"600725"</f>
        <v>600725</v>
      </c>
      <c r="C1065" s="24" t="s">
        <v>1286</v>
      </c>
      <c r="D1065" s="24" t="s">
        <v>401</v>
      </c>
      <c r="E1065" s="24">
        <v>287.06</v>
      </c>
      <c r="F1065" s="24">
        <v>9.42</v>
      </c>
    </row>
    <row r="1066" s="24" customFormat="1" spans="1:6">
      <c r="A1066" s="24" t="s">
        <v>140</v>
      </c>
      <c r="B1066" s="24" t="str">
        <f>"600573"</f>
        <v>600573</v>
      </c>
      <c r="C1066" s="24" t="s">
        <v>1287</v>
      </c>
      <c r="D1066" s="24" t="s">
        <v>309</v>
      </c>
      <c r="E1066" s="24">
        <v>285.1</v>
      </c>
      <c r="F1066" s="24">
        <v>1.26</v>
      </c>
    </row>
    <row r="1067" s="24" customFormat="1" spans="1:6">
      <c r="A1067" s="24" t="s">
        <v>142</v>
      </c>
      <c r="B1067" s="24" t="str">
        <f>"300177"</f>
        <v>300177</v>
      </c>
      <c r="C1067" s="24" t="s">
        <v>1288</v>
      </c>
      <c r="D1067" s="24" t="s">
        <v>193</v>
      </c>
      <c r="E1067" s="24">
        <v>283.43</v>
      </c>
      <c r="F1067" s="24">
        <v>4.61</v>
      </c>
    </row>
    <row r="1068" s="24" customFormat="1" spans="1:6">
      <c r="A1068" s="24" t="s">
        <v>142</v>
      </c>
      <c r="B1068" s="24" t="str">
        <f>"300655"</f>
        <v>300655</v>
      </c>
      <c r="C1068" s="24" t="s">
        <v>1289</v>
      </c>
      <c r="D1068" s="24" t="s">
        <v>228</v>
      </c>
      <c r="E1068" s="24">
        <v>280</v>
      </c>
      <c r="F1068" s="24">
        <v>11.91</v>
      </c>
    </row>
    <row r="1069" s="24" customFormat="1" spans="1:6">
      <c r="A1069" s="24" t="s">
        <v>142</v>
      </c>
      <c r="B1069" s="24" t="str">
        <f>"000862"</f>
        <v>000862</v>
      </c>
      <c r="C1069" s="24" t="s">
        <v>1290</v>
      </c>
      <c r="D1069" s="24" t="s">
        <v>188</v>
      </c>
      <c r="E1069" s="24">
        <v>279.33</v>
      </c>
      <c r="F1069" s="24">
        <v>1.15</v>
      </c>
    </row>
    <row r="1070" s="24" customFormat="1" spans="1:6">
      <c r="A1070" s="24" t="s">
        <v>142</v>
      </c>
      <c r="B1070" s="24" t="str">
        <f>"300168"</f>
        <v>300168</v>
      </c>
      <c r="C1070" s="24" t="s">
        <v>1291</v>
      </c>
      <c r="D1070" s="24" t="s">
        <v>156</v>
      </c>
      <c r="E1070" s="24">
        <v>279.21</v>
      </c>
      <c r="F1070" s="24">
        <v>8.52</v>
      </c>
    </row>
    <row r="1071" s="24" customFormat="1" spans="1:6">
      <c r="A1071" s="24" t="s">
        <v>142</v>
      </c>
      <c r="B1071" s="24" t="str">
        <f>"300135"</f>
        <v>300135</v>
      </c>
      <c r="C1071" s="24" t="s">
        <v>1292</v>
      </c>
      <c r="D1071" s="24" t="s">
        <v>667</v>
      </c>
      <c r="E1071" s="24">
        <v>277.86</v>
      </c>
      <c r="F1071" s="24">
        <v>1.72</v>
      </c>
    </row>
    <row r="1072" s="24" customFormat="1" spans="1:6">
      <c r="A1072" s="24" t="s">
        <v>142</v>
      </c>
      <c r="B1072" s="24" t="str">
        <f>"300561"</f>
        <v>300561</v>
      </c>
      <c r="C1072" s="24" t="s">
        <v>1293</v>
      </c>
      <c r="D1072" s="24" t="s">
        <v>156</v>
      </c>
      <c r="E1072" s="24">
        <v>272.62</v>
      </c>
      <c r="F1072" s="24">
        <v>5.29</v>
      </c>
    </row>
    <row r="1073" s="24" customFormat="1" spans="1:6">
      <c r="A1073" s="24" t="s">
        <v>142</v>
      </c>
      <c r="B1073" s="24" t="str">
        <f>"002012"</f>
        <v>002012</v>
      </c>
      <c r="C1073" s="24" t="s">
        <v>1294</v>
      </c>
      <c r="D1073" s="24" t="s">
        <v>509</v>
      </c>
      <c r="E1073" s="24">
        <v>272.02</v>
      </c>
      <c r="F1073" s="24">
        <v>2.1</v>
      </c>
    </row>
    <row r="1074" s="24" customFormat="1" spans="1:6">
      <c r="A1074" s="24" t="s">
        <v>140</v>
      </c>
      <c r="B1074" s="24" t="str">
        <f>"688003"</f>
        <v>688003</v>
      </c>
      <c r="C1074" s="24" t="s">
        <v>1295</v>
      </c>
      <c r="D1074" s="24" t="s">
        <v>173</v>
      </c>
      <c r="E1074" s="24">
        <v>271.66</v>
      </c>
      <c r="F1074" s="24">
        <v>4.38</v>
      </c>
    </row>
    <row r="1075" s="24" customFormat="1" spans="1:6">
      <c r="A1075" s="24" t="s">
        <v>142</v>
      </c>
      <c r="B1075" s="24" t="str">
        <f>"002230"</f>
        <v>002230</v>
      </c>
      <c r="C1075" s="24" t="s">
        <v>1296</v>
      </c>
      <c r="D1075" s="24" t="s">
        <v>156</v>
      </c>
      <c r="E1075" s="24">
        <v>271.44</v>
      </c>
      <c r="F1075" s="24">
        <v>8.56</v>
      </c>
    </row>
    <row r="1076" s="24" customFormat="1" spans="1:6">
      <c r="A1076" s="24" t="s">
        <v>140</v>
      </c>
      <c r="B1076" s="24" t="str">
        <f>"603015"</f>
        <v>603015</v>
      </c>
      <c r="C1076" s="24" t="s">
        <v>1297</v>
      </c>
      <c r="D1076" s="24" t="s">
        <v>173</v>
      </c>
      <c r="E1076" s="24">
        <v>270.61</v>
      </c>
      <c r="F1076" s="24">
        <v>1.97</v>
      </c>
    </row>
    <row r="1077" s="24" customFormat="1" spans="1:6">
      <c r="A1077" s="24" t="s">
        <v>140</v>
      </c>
      <c r="B1077" s="24" t="str">
        <f>"600817"</f>
        <v>600817</v>
      </c>
      <c r="C1077" s="24" t="s">
        <v>1298</v>
      </c>
      <c r="D1077" s="24" t="s">
        <v>623</v>
      </c>
      <c r="E1077" s="24">
        <v>269.89</v>
      </c>
      <c r="F1077" s="24">
        <v>14.84</v>
      </c>
    </row>
    <row r="1078" s="24" customFormat="1" spans="1:6">
      <c r="A1078" s="24" t="s">
        <v>140</v>
      </c>
      <c r="B1078" s="24" t="str">
        <f>"600764"</f>
        <v>600764</v>
      </c>
      <c r="C1078" s="24" t="s">
        <v>1299</v>
      </c>
      <c r="D1078" s="24" t="s">
        <v>152</v>
      </c>
      <c r="E1078" s="24">
        <v>269.78</v>
      </c>
      <c r="F1078" s="24">
        <v>2.33</v>
      </c>
    </row>
    <row r="1079" s="24" customFormat="1" spans="1:6">
      <c r="A1079" s="24" t="s">
        <v>142</v>
      </c>
      <c r="B1079" s="24" t="str">
        <f>"300644"</f>
        <v>300644</v>
      </c>
      <c r="C1079" s="24" t="s">
        <v>1300</v>
      </c>
      <c r="D1079" s="24" t="s">
        <v>228</v>
      </c>
      <c r="E1079" s="24">
        <v>268.52</v>
      </c>
      <c r="F1079" s="24">
        <v>2.66</v>
      </c>
    </row>
    <row r="1080" s="24" customFormat="1" spans="1:6">
      <c r="A1080" s="24" t="s">
        <v>142</v>
      </c>
      <c r="B1080" s="24" t="str">
        <f>"002351"</f>
        <v>002351</v>
      </c>
      <c r="C1080" s="24" t="s">
        <v>1301</v>
      </c>
      <c r="D1080" s="24" t="s">
        <v>184</v>
      </c>
      <c r="E1080" s="24">
        <v>266.45</v>
      </c>
      <c r="F1080" s="24">
        <v>6.79</v>
      </c>
    </row>
    <row r="1081" s="24" customFormat="1" spans="1:6">
      <c r="A1081" s="24" t="s">
        <v>140</v>
      </c>
      <c r="B1081" s="24" t="str">
        <f>"600882"</f>
        <v>600882</v>
      </c>
      <c r="C1081" s="24" t="s">
        <v>1302</v>
      </c>
      <c r="D1081" s="24" t="s">
        <v>190</v>
      </c>
      <c r="E1081" s="24">
        <v>266.35</v>
      </c>
      <c r="F1081" s="24">
        <v>8.85</v>
      </c>
    </row>
    <row r="1082" s="24" customFormat="1" spans="1:6">
      <c r="A1082" s="24" t="s">
        <v>142</v>
      </c>
      <c r="B1082" s="24" t="str">
        <f>"300171"</f>
        <v>300171</v>
      </c>
      <c r="C1082" s="24" t="s">
        <v>1303</v>
      </c>
      <c r="D1082" s="24" t="s">
        <v>173</v>
      </c>
      <c r="E1082" s="24">
        <v>266.07</v>
      </c>
      <c r="F1082" s="24">
        <v>1.78</v>
      </c>
    </row>
    <row r="1083" s="24" customFormat="1" spans="1:6">
      <c r="A1083" s="24" t="s">
        <v>140</v>
      </c>
      <c r="B1083" s="24" t="str">
        <f>"688023"</f>
        <v>688023</v>
      </c>
      <c r="C1083" s="24" t="s">
        <v>1304</v>
      </c>
      <c r="D1083" s="24" t="s">
        <v>163</v>
      </c>
      <c r="E1083" s="24">
        <v>266.06</v>
      </c>
      <c r="F1083" s="24">
        <v>13.3</v>
      </c>
    </row>
    <row r="1084" s="24" customFormat="1" spans="1:6">
      <c r="A1084" s="24" t="s">
        <v>140</v>
      </c>
      <c r="B1084" s="24" t="str">
        <f>"603335"</f>
        <v>603335</v>
      </c>
      <c r="C1084" s="24" t="s">
        <v>1305</v>
      </c>
      <c r="D1084" s="24" t="s">
        <v>204</v>
      </c>
      <c r="E1084" s="24">
        <v>265.26</v>
      </c>
      <c r="F1084" s="24">
        <v>3.25</v>
      </c>
    </row>
    <row r="1085" s="24" customFormat="1" spans="1:6">
      <c r="A1085" s="24" t="s">
        <v>140</v>
      </c>
      <c r="B1085" s="24" t="str">
        <f>"600428"</f>
        <v>600428</v>
      </c>
      <c r="C1085" s="24" t="s">
        <v>1306</v>
      </c>
      <c r="D1085" s="24" t="s">
        <v>397</v>
      </c>
      <c r="E1085" s="24">
        <v>264.66</v>
      </c>
      <c r="F1085" s="24">
        <v>0.71</v>
      </c>
    </row>
    <row r="1086" s="24" customFormat="1" spans="1:6">
      <c r="A1086" s="24" t="s">
        <v>140</v>
      </c>
      <c r="B1086" s="24" t="str">
        <f>"600051"</f>
        <v>600051</v>
      </c>
      <c r="C1086" s="24" t="s">
        <v>1307</v>
      </c>
      <c r="D1086" s="24" t="s">
        <v>267</v>
      </c>
      <c r="E1086" s="24">
        <v>264.54</v>
      </c>
      <c r="F1086" s="24">
        <v>0.72</v>
      </c>
    </row>
    <row r="1087" s="24" customFormat="1" spans="1:6">
      <c r="A1087" s="24" t="s">
        <v>142</v>
      </c>
      <c r="B1087" s="24" t="str">
        <f>"002185"</f>
        <v>002185</v>
      </c>
      <c r="C1087" s="24" t="s">
        <v>1308</v>
      </c>
      <c r="D1087" s="24" t="s">
        <v>276</v>
      </c>
      <c r="E1087" s="24">
        <v>259.51</v>
      </c>
      <c r="F1087" s="24">
        <v>4.11</v>
      </c>
    </row>
    <row r="1088" s="24" customFormat="1" spans="1:6">
      <c r="A1088" s="24" t="s">
        <v>140</v>
      </c>
      <c r="B1088" s="24" t="str">
        <f>"600435"</f>
        <v>600435</v>
      </c>
      <c r="C1088" s="24" t="s">
        <v>1309</v>
      </c>
      <c r="D1088" s="24" t="s">
        <v>395</v>
      </c>
      <c r="E1088" s="24">
        <v>257.31</v>
      </c>
      <c r="F1088" s="24">
        <v>5.69</v>
      </c>
    </row>
    <row r="1089" s="24" customFormat="1" spans="1:6">
      <c r="A1089" s="24" t="s">
        <v>142</v>
      </c>
      <c r="B1089" s="24" t="str">
        <f>"300093"</f>
        <v>300093</v>
      </c>
      <c r="C1089" s="24" t="s">
        <v>1310</v>
      </c>
      <c r="D1089" s="24" t="s">
        <v>644</v>
      </c>
      <c r="E1089" s="24">
        <v>257.08</v>
      </c>
      <c r="F1089" s="24">
        <v>2.91</v>
      </c>
    </row>
    <row r="1090" s="24" customFormat="1" spans="1:6">
      <c r="A1090" s="24" t="s">
        <v>142</v>
      </c>
      <c r="B1090" s="24" t="str">
        <f>"002090"</f>
        <v>002090</v>
      </c>
      <c r="C1090" s="24" t="s">
        <v>1311</v>
      </c>
      <c r="D1090" s="24" t="s">
        <v>293</v>
      </c>
      <c r="E1090" s="24">
        <v>255.68</v>
      </c>
      <c r="F1090" s="24">
        <v>2.95</v>
      </c>
    </row>
    <row r="1091" s="24" customFormat="1" spans="1:6">
      <c r="A1091" s="24" t="s">
        <v>140</v>
      </c>
      <c r="B1091" s="24" t="str">
        <f>"600343"</f>
        <v>600343</v>
      </c>
      <c r="C1091" s="24" t="s">
        <v>1312</v>
      </c>
      <c r="D1091" s="24" t="s">
        <v>165</v>
      </c>
      <c r="E1091" s="24">
        <v>254.33</v>
      </c>
      <c r="F1091" s="24">
        <v>2.3</v>
      </c>
    </row>
    <row r="1092" s="24" customFormat="1" spans="1:6">
      <c r="A1092" s="24" t="s">
        <v>140</v>
      </c>
      <c r="B1092" s="24" t="str">
        <f>"600593"</f>
        <v>600593</v>
      </c>
      <c r="C1092" s="24" t="s">
        <v>1313</v>
      </c>
      <c r="D1092" s="24" t="s">
        <v>453</v>
      </c>
      <c r="E1092" s="24">
        <v>253.29</v>
      </c>
      <c r="F1092" s="24">
        <v>8.62</v>
      </c>
    </row>
    <row r="1093" s="24" customFormat="1" spans="1:6">
      <c r="A1093" s="24" t="s">
        <v>142</v>
      </c>
      <c r="B1093" s="24" t="str">
        <f>"000652"</f>
        <v>000652</v>
      </c>
      <c r="C1093" s="24" t="s">
        <v>1314</v>
      </c>
      <c r="D1093" s="24" t="s">
        <v>267</v>
      </c>
      <c r="E1093" s="24">
        <v>252.48</v>
      </c>
      <c r="F1093" s="24">
        <v>2.69</v>
      </c>
    </row>
    <row r="1094" s="24" customFormat="1" spans="1:6">
      <c r="A1094" s="24" t="s">
        <v>142</v>
      </c>
      <c r="B1094" s="24" t="str">
        <f>"000757"</f>
        <v>000757</v>
      </c>
      <c r="C1094" s="24" t="s">
        <v>1315</v>
      </c>
      <c r="D1094" s="24" t="s">
        <v>506</v>
      </c>
      <c r="E1094" s="24">
        <v>252.4</v>
      </c>
      <c r="F1094" s="24">
        <v>1.63</v>
      </c>
    </row>
    <row r="1095" s="24" customFormat="1" spans="1:6">
      <c r="A1095" s="24" t="s">
        <v>140</v>
      </c>
      <c r="B1095" s="24" t="str">
        <f>"900939"</f>
        <v>900939</v>
      </c>
      <c r="C1095" s="24" t="s">
        <v>1316</v>
      </c>
      <c r="D1095" s="24"/>
      <c r="E1095" s="24">
        <v>252.2</v>
      </c>
      <c r="F1095" s="24">
        <v>10.22</v>
      </c>
    </row>
    <row r="1096" s="24" customFormat="1" spans="1:6">
      <c r="A1096" s="24" t="s">
        <v>140</v>
      </c>
      <c r="B1096" s="24" t="str">
        <f>"600272"</f>
        <v>600272</v>
      </c>
      <c r="C1096" s="24" t="s">
        <v>1317</v>
      </c>
      <c r="D1096" s="24" t="s">
        <v>584</v>
      </c>
      <c r="E1096" s="24">
        <v>250.64</v>
      </c>
      <c r="F1096" s="24">
        <v>3.36</v>
      </c>
    </row>
    <row r="1097" s="24" customFormat="1" spans="1:6">
      <c r="A1097" s="24" t="s">
        <v>142</v>
      </c>
      <c r="B1097" s="24" t="str">
        <f>"300573"</f>
        <v>300573</v>
      </c>
      <c r="C1097" s="24" t="s">
        <v>1318</v>
      </c>
      <c r="D1097" s="24" t="s">
        <v>464</v>
      </c>
      <c r="E1097" s="24">
        <v>250.07</v>
      </c>
      <c r="F1097" s="24">
        <v>10.54</v>
      </c>
    </row>
    <row r="1098" s="24" customFormat="1" spans="1:6">
      <c r="A1098" s="24" t="s">
        <v>142</v>
      </c>
      <c r="B1098" s="24" t="str">
        <f>"002644"</f>
        <v>002644</v>
      </c>
      <c r="C1098" s="24" t="s">
        <v>1319</v>
      </c>
      <c r="D1098" s="24" t="s">
        <v>388</v>
      </c>
      <c r="E1098" s="24">
        <v>249.68</v>
      </c>
      <c r="F1098" s="24">
        <v>2.77</v>
      </c>
    </row>
    <row r="1099" s="24" customFormat="1" spans="1:6">
      <c r="A1099" s="24" t="s">
        <v>140</v>
      </c>
      <c r="B1099" s="24" t="str">
        <f>"603321"</f>
        <v>603321</v>
      </c>
      <c r="C1099" s="24" t="s">
        <v>1320</v>
      </c>
      <c r="D1099" s="24" t="s">
        <v>173</v>
      </c>
      <c r="E1099" s="24">
        <v>248.24</v>
      </c>
      <c r="F1099" s="24">
        <v>2.2</v>
      </c>
    </row>
    <row r="1100" s="24" customFormat="1" spans="1:6">
      <c r="A1100" s="24" t="s">
        <v>142</v>
      </c>
      <c r="B1100" s="24" t="str">
        <f>"300142"</f>
        <v>300142</v>
      </c>
      <c r="C1100" s="24" t="s">
        <v>1321</v>
      </c>
      <c r="D1100" s="24" t="s">
        <v>326</v>
      </c>
      <c r="E1100" s="24">
        <v>247.72</v>
      </c>
      <c r="F1100" s="24">
        <v>9.04</v>
      </c>
    </row>
    <row r="1101" s="24" customFormat="1" spans="1:6">
      <c r="A1101" s="24" t="s">
        <v>140</v>
      </c>
      <c r="B1101" s="24" t="str">
        <f>"603986"</f>
        <v>603986</v>
      </c>
      <c r="C1101" s="24" t="s">
        <v>1322</v>
      </c>
      <c r="D1101" s="24" t="s">
        <v>276</v>
      </c>
      <c r="E1101" s="24">
        <v>246.59</v>
      </c>
      <c r="F1101" s="24">
        <v>27.99</v>
      </c>
    </row>
    <row r="1102" s="24" customFormat="1" spans="1:6">
      <c r="A1102" s="24" t="s">
        <v>142</v>
      </c>
      <c r="B1102" s="24" t="str">
        <f>"002747"</f>
        <v>002747</v>
      </c>
      <c r="C1102" s="24" t="s">
        <v>1323</v>
      </c>
      <c r="D1102" s="24" t="s">
        <v>251</v>
      </c>
      <c r="E1102" s="24">
        <v>246.29</v>
      </c>
      <c r="F1102" s="24">
        <v>9.71</v>
      </c>
    </row>
    <row r="1103" s="24" customFormat="1" spans="1:6">
      <c r="A1103" s="24" t="s">
        <v>140</v>
      </c>
      <c r="B1103" s="24" t="str">
        <f>"600826"</f>
        <v>600826</v>
      </c>
      <c r="C1103" s="24" t="s">
        <v>1324</v>
      </c>
      <c r="D1103" s="24" t="s">
        <v>267</v>
      </c>
      <c r="E1103" s="24">
        <v>243.11</v>
      </c>
      <c r="F1103" s="24">
        <v>1.24</v>
      </c>
    </row>
    <row r="1104" s="24" customFormat="1" spans="1:6">
      <c r="A1104" s="24" t="s">
        <v>142</v>
      </c>
      <c r="B1104" s="24" t="str">
        <f>"002778"</f>
        <v>002778</v>
      </c>
      <c r="C1104" s="24" t="s">
        <v>1325</v>
      </c>
      <c r="D1104" s="24" t="s">
        <v>246</v>
      </c>
      <c r="E1104" s="24">
        <v>239.84</v>
      </c>
      <c r="F1104" s="24">
        <v>3.01</v>
      </c>
    </row>
    <row r="1105" s="24" customFormat="1" spans="1:6">
      <c r="A1105" s="24" t="s">
        <v>140</v>
      </c>
      <c r="B1105" s="24" t="str">
        <f>"600319"</f>
        <v>600319</v>
      </c>
      <c r="C1105" s="24" t="s">
        <v>1326</v>
      </c>
      <c r="D1105" s="24" t="s">
        <v>256</v>
      </c>
      <c r="E1105" s="24">
        <v>236.85</v>
      </c>
      <c r="F1105" s="24">
        <v>31.8</v>
      </c>
    </row>
    <row r="1106" s="24" customFormat="1" spans="1:6">
      <c r="A1106" s="24" t="s">
        <v>142</v>
      </c>
      <c r="B1106" s="24" t="str">
        <f>"300706"</f>
        <v>300706</v>
      </c>
      <c r="C1106" s="24" t="s">
        <v>1327</v>
      </c>
      <c r="D1106" s="24" t="s">
        <v>644</v>
      </c>
      <c r="E1106" s="24">
        <v>236.09</v>
      </c>
      <c r="F1106" s="24">
        <v>8.61</v>
      </c>
    </row>
    <row r="1107" s="24" customFormat="1" spans="1:6">
      <c r="A1107" s="24" t="s">
        <v>142</v>
      </c>
      <c r="B1107" s="24" t="str">
        <f>"002123"</f>
        <v>002123</v>
      </c>
      <c r="C1107" s="24" t="s">
        <v>1328</v>
      </c>
      <c r="D1107" s="24" t="s">
        <v>179</v>
      </c>
      <c r="E1107" s="24">
        <v>235.36</v>
      </c>
      <c r="F1107" s="24">
        <v>6.97</v>
      </c>
    </row>
    <row r="1108" s="24" customFormat="1" spans="1:6">
      <c r="A1108" s="24" t="s">
        <v>142</v>
      </c>
      <c r="B1108" s="24" t="str">
        <f>"002575"</f>
        <v>002575</v>
      </c>
      <c r="C1108" s="24" t="s">
        <v>1329</v>
      </c>
      <c r="D1108" s="24" t="s">
        <v>283</v>
      </c>
      <c r="E1108" s="24">
        <v>232.66</v>
      </c>
      <c r="F1108" s="24">
        <v>4.41</v>
      </c>
    </row>
    <row r="1109" s="24" customFormat="1" spans="1:6">
      <c r="A1109" s="24" t="s">
        <v>142</v>
      </c>
      <c r="B1109" s="24" t="str">
        <f>"000716"</f>
        <v>000716</v>
      </c>
      <c r="C1109" s="24" t="s">
        <v>1330</v>
      </c>
      <c r="D1109" s="24" t="s">
        <v>190</v>
      </c>
      <c r="E1109" s="24">
        <v>232.1</v>
      </c>
      <c r="F1109" s="24">
        <v>1.16</v>
      </c>
    </row>
    <row r="1110" s="24" customFormat="1" spans="1:6">
      <c r="A1110" s="24" t="s">
        <v>140</v>
      </c>
      <c r="B1110" s="24" t="str">
        <f>"600624"</f>
        <v>600624</v>
      </c>
      <c r="C1110" s="24" t="s">
        <v>1331</v>
      </c>
      <c r="D1110" s="24" t="s">
        <v>464</v>
      </c>
      <c r="E1110" s="24">
        <v>231.5</v>
      </c>
      <c r="F1110" s="24">
        <v>6.22</v>
      </c>
    </row>
    <row r="1111" s="24" customFormat="1" spans="1:6">
      <c r="A1111" s="24" t="s">
        <v>142</v>
      </c>
      <c r="B1111" s="24" t="str">
        <f>"000886"</f>
        <v>000886</v>
      </c>
      <c r="C1111" s="24" t="s">
        <v>1332</v>
      </c>
      <c r="D1111" s="24" t="s">
        <v>244</v>
      </c>
      <c r="E1111" s="24">
        <v>230.69</v>
      </c>
      <c r="F1111" s="24">
        <v>1.46</v>
      </c>
    </row>
    <row r="1112" s="24" customFormat="1" spans="1:6">
      <c r="A1112" s="24" t="s">
        <v>142</v>
      </c>
      <c r="B1112" s="24" t="str">
        <f>"300052"</f>
        <v>300052</v>
      </c>
      <c r="C1112" s="24" t="s">
        <v>1333</v>
      </c>
      <c r="D1112" s="24" t="s">
        <v>156</v>
      </c>
      <c r="E1112" s="24">
        <v>229.05</v>
      </c>
      <c r="F1112" s="24">
        <v>5</v>
      </c>
    </row>
    <row r="1113" s="24" customFormat="1" spans="1:6">
      <c r="A1113" s="24" t="s">
        <v>142</v>
      </c>
      <c r="B1113" s="24" t="str">
        <f>"000576"</f>
        <v>000576</v>
      </c>
      <c r="C1113" s="24" t="s">
        <v>1334</v>
      </c>
      <c r="D1113" s="24" t="s">
        <v>509</v>
      </c>
      <c r="E1113" s="24">
        <v>228.53</v>
      </c>
      <c r="F1113" s="24">
        <v>6.97</v>
      </c>
    </row>
    <row r="1114" s="24" customFormat="1" spans="1:6">
      <c r="A1114" s="24" t="s">
        <v>142</v>
      </c>
      <c r="B1114" s="24" t="str">
        <f>"002337"</f>
        <v>002337</v>
      </c>
      <c r="C1114" s="24" t="s">
        <v>1335</v>
      </c>
      <c r="D1114" s="24" t="s">
        <v>173</v>
      </c>
      <c r="E1114" s="24">
        <v>227.64</v>
      </c>
      <c r="F1114" s="24">
        <v>1.6</v>
      </c>
    </row>
    <row r="1115" s="24" customFormat="1" spans="1:6">
      <c r="A1115" s="24" t="s">
        <v>142</v>
      </c>
      <c r="B1115" s="24" t="str">
        <f>"300530"</f>
        <v>300530</v>
      </c>
      <c r="C1115" s="24" t="s">
        <v>1336</v>
      </c>
      <c r="D1115" s="24" t="s">
        <v>228</v>
      </c>
      <c r="E1115" s="24">
        <v>227.42</v>
      </c>
      <c r="F1115" s="24">
        <v>5.91</v>
      </c>
    </row>
    <row r="1116" s="24" customFormat="1" spans="1:6">
      <c r="A1116" s="24" t="s">
        <v>140</v>
      </c>
      <c r="B1116" s="24" t="str">
        <f>"688019"</f>
        <v>688019</v>
      </c>
      <c r="C1116" s="24" t="s">
        <v>1337</v>
      </c>
      <c r="D1116" s="24" t="s">
        <v>276</v>
      </c>
      <c r="E1116" s="24">
        <v>227.01</v>
      </c>
      <c r="F1116" s="24">
        <v>11.69</v>
      </c>
    </row>
    <row r="1117" s="24" customFormat="1" spans="1:6">
      <c r="A1117" s="24" t="s">
        <v>142</v>
      </c>
      <c r="B1117" s="24" t="str">
        <f>"300096"</f>
        <v>300096</v>
      </c>
      <c r="C1117" s="24" t="s">
        <v>1338</v>
      </c>
      <c r="D1117" s="24" t="s">
        <v>159</v>
      </c>
      <c r="E1117" s="24">
        <v>226.39</v>
      </c>
      <c r="F1117" s="24">
        <v>6.14</v>
      </c>
    </row>
    <row r="1118" s="24" customFormat="1" spans="1:6">
      <c r="A1118" s="24" t="s">
        <v>142</v>
      </c>
      <c r="B1118" s="24" t="str">
        <f>"300169"</f>
        <v>300169</v>
      </c>
      <c r="C1118" s="24" t="s">
        <v>1339</v>
      </c>
      <c r="D1118" s="24" t="s">
        <v>228</v>
      </c>
      <c r="E1118" s="24">
        <v>224.66</v>
      </c>
      <c r="F1118" s="24">
        <v>1.74</v>
      </c>
    </row>
    <row r="1119" s="24" customFormat="1" spans="1:6">
      <c r="A1119" s="24" t="s">
        <v>142</v>
      </c>
      <c r="B1119" s="24" t="str">
        <f>"300204"</f>
        <v>300204</v>
      </c>
      <c r="C1119" s="24" t="s">
        <v>1340</v>
      </c>
      <c r="D1119" s="24" t="s">
        <v>326</v>
      </c>
      <c r="E1119" s="24">
        <v>218.16</v>
      </c>
      <c r="F1119" s="24">
        <v>4.65</v>
      </c>
    </row>
    <row r="1120" s="24" customFormat="1" spans="1:6">
      <c r="A1120" s="24" t="s">
        <v>140</v>
      </c>
      <c r="B1120" s="24" t="str">
        <f>"600774"</f>
        <v>600774</v>
      </c>
      <c r="C1120" s="24" t="s">
        <v>1341</v>
      </c>
      <c r="D1120" s="24" t="s">
        <v>148</v>
      </c>
      <c r="E1120" s="24">
        <v>217.6</v>
      </c>
      <c r="F1120" s="24">
        <v>3.6</v>
      </c>
    </row>
    <row r="1121" s="24" customFormat="1" spans="1:6">
      <c r="A1121" s="24" t="s">
        <v>142</v>
      </c>
      <c r="B1121" s="24" t="str">
        <f>"000759"</f>
        <v>000759</v>
      </c>
      <c r="C1121" s="24" t="s">
        <v>1342</v>
      </c>
      <c r="D1121" s="24" t="s">
        <v>361</v>
      </c>
      <c r="E1121" s="24">
        <v>217.45</v>
      </c>
      <c r="F1121" s="24">
        <v>1.41</v>
      </c>
    </row>
    <row r="1122" s="24" customFormat="1" spans="1:6">
      <c r="A1122" s="24" t="s">
        <v>140</v>
      </c>
      <c r="B1122" s="24" t="str">
        <f>"600789"</f>
        <v>600789</v>
      </c>
      <c r="C1122" s="24" t="s">
        <v>1343</v>
      </c>
      <c r="D1122" s="24" t="s">
        <v>464</v>
      </c>
      <c r="E1122" s="24">
        <v>217.45</v>
      </c>
      <c r="F1122" s="24">
        <v>3.71</v>
      </c>
    </row>
    <row r="1123" s="24" customFormat="1" spans="1:6">
      <c r="A1123" s="24" t="s">
        <v>140</v>
      </c>
      <c r="B1123" s="24" t="str">
        <f>"600797"</f>
        <v>600797</v>
      </c>
      <c r="C1123" s="24" t="s">
        <v>1344</v>
      </c>
      <c r="D1123" s="24" t="s">
        <v>159</v>
      </c>
      <c r="E1123" s="24">
        <v>217.05</v>
      </c>
      <c r="F1123" s="24">
        <v>2.96</v>
      </c>
    </row>
    <row r="1124" s="24" customFormat="1" spans="1:6">
      <c r="A1124" s="24" t="s">
        <v>140</v>
      </c>
      <c r="B1124" s="24" t="str">
        <f>"688278"</f>
        <v>688278</v>
      </c>
      <c r="C1124" s="24" t="s">
        <v>1345</v>
      </c>
      <c r="D1124" s="24"/>
      <c r="E1124" s="24">
        <v>216.63</v>
      </c>
      <c r="F1124" s="24">
        <v>18.57</v>
      </c>
    </row>
    <row r="1125" s="24" customFormat="1" spans="1:6">
      <c r="A1125" s="24" t="s">
        <v>140</v>
      </c>
      <c r="B1125" s="24" t="str">
        <f>"603022"</f>
        <v>603022</v>
      </c>
      <c r="C1125" s="24" t="s">
        <v>1346</v>
      </c>
      <c r="D1125" s="24" t="s">
        <v>290</v>
      </c>
      <c r="E1125" s="24">
        <v>215.87</v>
      </c>
      <c r="F1125" s="24">
        <v>5.58</v>
      </c>
    </row>
    <row r="1126" s="24" customFormat="1" spans="1:6">
      <c r="A1126" s="24" t="s">
        <v>142</v>
      </c>
      <c r="B1126" s="24" t="str">
        <f>"002291"</f>
        <v>002291</v>
      </c>
      <c r="C1126" s="24" t="s">
        <v>1347</v>
      </c>
      <c r="D1126" s="24" t="s">
        <v>161</v>
      </c>
      <c r="E1126" s="24">
        <v>215.57</v>
      </c>
      <c r="F1126" s="24">
        <v>12.05</v>
      </c>
    </row>
    <row r="1127" s="24" customFormat="1" spans="1:6">
      <c r="A1127" s="24" t="s">
        <v>142</v>
      </c>
      <c r="B1127" s="24" t="str">
        <f>"300001"</f>
        <v>300001</v>
      </c>
      <c r="C1127" s="24" t="s">
        <v>1348</v>
      </c>
      <c r="D1127" s="24" t="s">
        <v>293</v>
      </c>
      <c r="E1127" s="24">
        <v>215.45</v>
      </c>
      <c r="F1127" s="24">
        <v>8.25</v>
      </c>
    </row>
    <row r="1128" s="24" customFormat="1" spans="1:6">
      <c r="A1128" s="24" t="s">
        <v>140</v>
      </c>
      <c r="B1128" s="24" t="str">
        <f>"688088"</f>
        <v>688088</v>
      </c>
      <c r="C1128" s="24" t="s">
        <v>1349</v>
      </c>
      <c r="D1128" s="24" t="s">
        <v>156</v>
      </c>
      <c r="E1128" s="24">
        <v>214.46</v>
      </c>
      <c r="F1128" s="24">
        <v>16.49</v>
      </c>
    </row>
    <row r="1129" s="24" customFormat="1" spans="1:6">
      <c r="A1129" s="24" t="s">
        <v>142</v>
      </c>
      <c r="B1129" s="24" t="str">
        <f>"002030"</f>
        <v>002030</v>
      </c>
      <c r="C1129" s="24" t="s">
        <v>1350</v>
      </c>
      <c r="D1129" s="24" t="s">
        <v>326</v>
      </c>
      <c r="E1129" s="24">
        <v>214.36</v>
      </c>
      <c r="F1129" s="24">
        <v>4.96</v>
      </c>
    </row>
    <row r="1130" s="24" customFormat="1" spans="1:6">
      <c r="A1130" s="24" t="s">
        <v>142</v>
      </c>
      <c r="B1130" s="24" t="str">
        <f>"002497"</f>
        <v>002497</v>
      </c>
      <c r="C1130" s="24" t="s">
        <v>1351</v>
      </c>
      <c r="D1130" s="24" t="s">
        <v>228</v>
      </c>
      <c r="E1130" s="24">
        <v>213.5</v>
      </c>
      <c r="F1130" s="24">
        <v>4.82</v>
      </c>
    </row>
    <row r="1131" s="24" customFormat="1" spans="1:6">
      <c r="A1131" s="24" t="s">
        <v>142</v>
      </c>
      <c r="B1131" s="24" t="str">
        <f>"300643"</f>
        <v>300643</v>
      </c>
      <c r="C1131" s="24" t="s">
        <v>1352</v>
      </c>
      <c r="D1131" s="24" t="s">
        <v>204</v>
      </c>
      <c r="E1131" s="24">
        <v>212.38</v>
      </c>
      <c r="F1131" s="24">
        <v>8.58</v>
      </c>
    </row>
    <row r="1132" s="24" customFormat="1" spans="1:6">
      <c r="A1132" s="24" t="s">
        <v>142</v>
      </c>
      <c r="B1132" s="24" t="str">
        <f>"002589"</f>
        <v>002589</v>
      </c>
      <c r="C1132" s="24" t="s">
        <v>1353</v>
      </c>
      <c r="D1132" s="24" t="s">
        <v>584</v>
      </c>
      <c r="E1132" s="24">
        <v>211.86</v>
      </c>
      <c r="F1132" s="24">
        <v>1.84</v>
      </c>
    </row>
    <row r="1133" s="24" customFormat="1" spans="1:6">
      <c r="A1133" s="24" t="s">
        <v>140</v>
      </c>
      <c r="B1133" s="24" t="str">
        <f>"600234"</f>
        <v>600234</v>
      </c>
      <c r="C1133" s="24" t="s">
        <v>1354</v>
      </c>
      <c r="D1133" s="24" t="s">
        <v>623</v>
      </c>
      <c r="E1133" s="24">
        <v>210.58</v>
      </c>
      <c r="F1133" s="24">
        <v>29.18</v>
      </c>
    </row>
    <row r="1134" s="24" customFormat="1" spans="1:6">
      <c r="A1134" s="24" t="s">
        <v>140</v>
      </c>
      <c r="B1134" s="24" t="str">
        <f>"600489"</f>
        <v>600489</v>
      </c>
      <c r="C1134" s="24" t="s">
        <v>1355</v>
      </c>
      <c r="D1134" s="24" t="s">
        <v>167</v>
      </c>
      <c r="E1134" s="24">
        <v>209.92</v>
      </c>
      <c r="F1134" s="24">
        <v>2.15</v>
      </c>
    </row>
    <row r="1135" s="24" customFormat="1" spans="1:6">
      <c r="A1135" s="24" t="s">
        <v>142</v>
      </c>
      <c r="B1135" s="24" t="str">
        <f>"002385"</f>
        <v>002385</v>
      </c>
      <c r="C1135" s="24" t="s">
        <v>1356</v>
      </c>
      <c r="D1135" s="24" t="s">
        <v>145</v>
      </c>
      <c r="E1135" s="24">
        <v>209.24</v>
      </c>
      <c r="F1135" s="24">
        <v>3.17</v>
      </c>
    </row>
    <row r="1136" s="24" customFormat="1" spans="1:6">
      <c r="A1136" s="24" t="s">
        <v>142</v>
      </c>
      <c r="B1136" s="24" t="str">
        <f>"002313"</f>
        <v>002313</v>
      </c>
      <c r="C1136" s="24" t="s">
        <v>1357</v>
      </c>
      <c r="D1136" s="24" t="s">
        <v>193</v>
      </c>
      <c r="E1136" s="24">
        <v>209.11</v>
      </c>
      <c r="F1136" s="24">
        <v>3.45</v>
      </c>
    </row>
    <row r="1137" s="24" customFormat="1" spans="1:6">
      <c r="A1137" s="24" t="s">
        <v>142</v>
      </c>
      <c r="B1137" s="24" t="str">
        <f>"002168"</f>
        <v>002168</v>
      </c>
      <c r="C1137" s="24" t="s">
        <v>1358</v>
      </c>
      <c r="D1137" s="24" t="s">
        <v>156</v>
      </c>
      <c r="E1137" s="24">
        <v>209.08</v>
      </c>
      <c r="F1137" s="24">
        <v>10.18</v>
      </c>
    </row>
    <row r="1138" s="24" customFormat="1" spans="1:6">
      <c r="A1138" s="24" t="s">
        <v>142</v>
      </c>
      <c r="B1138" s="24" t="str">
        <f>"002748"</f>
        <v>002748</v>
      </c>
      <c r="C1138" s="24" t="s">
        <v>1359</v>
      </c>
      <c r="D1138" s="24" t="s">
        <v>256</v>
      </c>
      <c r="E1138" s="24">
        <v>207.91</v>
      </c>
      <c r="F1138" s="24">
        <v>1.4</v>
      </c>
    </row>
    <row r="1139" s="24" customFormat="1" spans="1:6">
      <c r="A1139" s="24" t="s">
        <v>142</v>
      </c>
      <c r="B1139" s="24" t="str">
        <f>"002515"</f>
        <v>002515</v>
      </c>
      <c r="C1139" s="24" t="s">
        <v>1360</v>
      </c>
      <c r="D1139" s="24" t="s">
        <v>190</v>
      </c>
      <c r="E1139" s="24">
        <v>207.34</v>
      </c>
      <c r="F1139" s="24">
        <v>3.66</v>
      </c>
    </row>
    <row r="1140" s="24" customFormat="1" spans="1:6">
      <c r="A1140" s="24" t="s">
        <v>142</v>
      </c>
      <c r="B1140" s="24" t="str">
        <f>"002709"</f>
        <v>002709</v>
      </c>
      <c r="C1140" s="24" t="s">
        <v>1361</v>
      </c>
      <c r="D1140" s="24" t="s">
        <v>256</v>
      </c>
      <c r="E1140" s="24">
        <v>206.08</v>
      </c>
      <c r="F1140" s="24">
        <v>6.15</v>
      </c>
    </row>
    <row r="1141" s="24" customFormat="1" spans="1:6">
      <c r="A1141" s="24" t="s">
        <v>142</v>
      </c>
      <c r="B1141" s="24" t="str">
        <f>"000530"</f>
        <v>000530</v>
      </c>
      <c r="C1141" s="24" t="s">
        <v>1362</v>
      </c>
      <c r="D1141" s="24" t="s">
        <v>165</v>
      </c>
      <c r="E1141" s="24">
        <v>205.82</v>
      </c>
      <c r="F1141" s="24">
        <v>0.93</v>
      </c>
    </row>
    <row r="1142" s="24" customFormat="1" spans="1:6">
      <c r="A1142" s="24" t="s">
        <v>140</v>
      </c>
      <c r="B1142" s="24" t="str">
        <f>"601999"</f>
        <v>601999</v>
      </c>
      <c r="C1142" s="24" t="s">
        <v>1363</v>
      </c>
      <c r="D1142" s="24" t="s">
        <v>170</v>
      </c>
      <c r="E1142" s="24">
        <v>205.56</v>
      </c>
      <c r="F1142" s="24">
        <v>2.16</v>
      </c>
    </row>
    <row r="1143" s="24" customFormat="1" spans="1:6">
      <c r="A1143" s="24" t="s">
        <v>140</v>
      </c>
      <c r="B1143" s="24" t="str">
        <f>"600180"</f>
        <v>600180</v>
      </c>
      <c r="C1143" s="24" t="s">
        <v>1364</v>
      </c>
      <c r="D1143" s="24" t="s">
        <v>177</v>
      </c>
      <c r="E1143" s="24">
        <v>204.57</v>
      </c>
      <c r="F1143" s="24">
        <v>1.08</v>
      </c>
    </row>
    <row r="1144" s="24" customFormat="1" spans="1:6">
      <c r="A1144" s="24" t="s">
        <v>142</v>
      </c>
      <c r="B1144" s="24" t="str">
        <f>"300661"</f>
        <v>300661</v>
      </c>
      <c r="C1144" s="24" t="s">
        <v>1365</v>
      </c>
      <c r="D1144" s="24" t="s">
        <v>276</v>
      </c>
      <c r="E1144" s="24">
        <v>204.42</v>
      </c>
      <c r="F1144" s="24">
        <v>28.85</v>
      </c>
    </row>
    <row r="1145" s="24" customFormat="1" spans="1:6">
      <c r="A1145" s="24" t="s">
        <v>140</v>
      </c>
      <c r="B1145" s="24" t="str">
        <f>"688018"</f>
        <v>688018</v>
      </c>
      <c r="C1145" s="24" t="s">
        <v>1366</v>
      </c>
      <c r="D1145" s="24" t="s">
        <v>276</v>
      </c>
      <c r="E1145" s="24">
        <v>203.94</v>
      </c>
      <c r="F1145" s="24">
        <v>14.27</v>
      </c>
    </row>
    <row r="1146" s="24" customFormat="1" spans="1:6">
      <c r="A1146" s="24" t="s">
        <v>142</v>
      </c>
      <c r="B1146" s="24" t="str">
        <f>"002733"</f>
        <v>002733</v>
      </c>
      <c r="C1146" s="24" t="s">
        <v>1367</v>
      </c>
      <c r="D1146" s="24" t="s">
        <v>251</v>
      </c>
      <c r="E1146" s="24">
        <v>199.34</v>
      </c>
      <c r="F1146" s="24">
        <v>3.77</v>
      </c>
    </row>
    <row r="1147" s="24" customFormat="1" spans="1:6">
      <c r="A1147" s="24" t="s">
        <v>140</v>
      </c>
      <c r="B1147" s="24" t="str">
        <f>"600714"</f>
        <v>600714</v>
      </c>
      <c r="C1147" s="24" t="s">
        <v>1368</v>
      </c>
      <c r="D1147" s="24" t="s">
        <v>228</v>
      </c>
      <c r="E1147" s="24">
        <v>198.78</v>
      </c>
      <c r="F1147" s="24">
        <v>2.35</v>
      </c>
    </row>
    <row r="1148" s="24" customFormat="1" spans="1:6">
      <c r="A1148" s="24" t="s">
        <v>142</v>
      </c>
      <c r="B1148" s="24" t="str">
        <f>"000893"</f>
        <v>000893</v>
      </c>
      <c r="C1148" s="24" t="s">
        <v>1369</v>
      </c>
      <c r="D1148" s="24" t="s">
        <v>190</v>
      </c>
      <c r="E1148" s="24">
        <v>198.58</v>
      </c>
      <c r="F1148" s="24">
        <v>1.22</v>
      </c>
    </row>
    <row r="1149" s="24" customFormat="1" spans="1:6">
      <c r="A1149" s="24" t="s">
        <v>142</v>
      </c>
      <c r="B1149" s="24" t="str">
        <f>"300659"</f>
        <v>300659</v>
      </c>
      <c r="C1149" s="24" t="s">
        <v>1370</v>
      </c>
      <c r="D1149" s="24" t="s">
        <v>163</v>
      </c>
      <c r="E1149" s="24">
        <v>197.68</v>
      </c>
      <c r="F1149" s="24">
        <v>22.29</v>
      </c>
    </row>
    <row r="1150" s="24" customFormat="1" spans="1:6">
      <c r="A1150" s="24" t="s">
        <v>142</v>
      </c>
      <c r="B1150" s="24" t="str">
        <f>"002466"</f>
        <v>002466</v>
      </c>
      <c r="C1150" s="24" t="s">
        <v>1371</v>
      </c>
      <c r="D1150" s="24" t="s">
        <v>167</v>
      </c>
      <c r="E1150" s="24">
        <v>196.88</v>
      </c>
      <c r="F1150" s="24">
        <v>3.94</v>
      </c>
    </row>
    <row r="1151" s="24" customFormat="1" spans="1:6">
      <c r="A1151" s="24" t="s">
        <v>142</v>
      </c>
      <c r="B1151" s="24" t="str">
        <f>"002792"</f>
        <v>002792</v>
      </c>
      <c r="C1151" s="24" t="s">
        <v>1372</v>
      </c>
      <c r="D1151" s="24" t="s">
        <v>193</v>
      </c>
      <c r="E1151" s="24">
        <v>196.2</v>
      </c>
      <c r="F1151" s="24">
        <v>4.26</v>
      </c>
    </row>
    <row r="1152" s="24" customFormat="1" spans="1:6">
      <c r="A1152" s="24" t="s">
        <v>142</v>
      </c>
      <c r="B1152" s="24" t="str">
        <f>"300782"</f>
        <v>300782</v>
      </c>
      <c r="C1152" s="24" t="s">
        <v>1373</v>
      </c>
      <c r="D1152" s="24" t="s">
        <v>276</v>
      </c>
      <c r="E1152" s="24">
        <v>195.87</v>
      </c>
      <c r="F1152" s="24">
        <v>30.14</v>
      </c>
    </row>
    <row r="1153" s="24" customFormat="1" spans="1:6">
      <c r="A1153" s="24" t="s">
        <v>142</v>
      </c>
      <c r="B1153" s="24" t="str">
        <f>"000078"</f>
        <v>000078</v>
      </c>
      <c r="C1153" s="24" t="s">
        <v>1374</v>
      </c>
      <c r="D1153" s="24" t="s">
        <v>584</v>
      </c>
      <c r="E1153" s="24">
        <v>195.26</v>
      </c>
      <c r="F1153" s="24">
        <v>5.87</v>
      </c>
    </row>
    <row r="1154" s="24" customFormat="1" spans="1:6">
      <c r="A1154" s="24" t="s">
        <v>142</v>
      </c>
      <c r="B1154" s="24" t="str">
        <f>"200020"</f>
        <v>200020</v>
      </c>
      <c r="C1154" s="24" t="s">
        <v>1375</v>
      </c>
      <c r="D1154" s="24"/>
      <c r="E1154" s="24">
        <v>195.13</v>
      </c>
      <c r="F1154" s="24">
        <v>2.97</v>
      </c>
    </row>
    <row r="1155" s="24" customFormat="1" spans="1:6">
      <c r="A1155" s="24" t="s">
        <v>140</v>
      </c>
      <c r="B1155" s="24" t="str">
        <f>"600745"</f>
        <v>600745</v>
      </c>
      <c r="C1155" s="24" t="s">
        <v>1376</v>
      </c>
      <c r="D1155" s="24" t="s">
        <v>193</v>
      </c>
      <c r="E1155" s="24">
        <v>193.82</v>
      </c>
      <c r="F1155" s="24">
        <v>7.48</v>
      </c>
    </row>
    <row r="1156" s="24" customFormat="1" spans="1:6">
      <c r="A1156" s="24" t="s">
        <v>140</v>
      </c>
      <c r="B1156" s="24" t="str">
        <f>"600664"</f>
        <v>600664</v>
      </c>
      <c r="C1156" s="24" t="s">
        <v>1377</v>
      </c>
      <c r="D1156" s="24" t="s">
        <v>464</v>
      </c>
      <c r="E1156" s="24">
        <v>193.47</v>
      </c>
      <c r="F1156" s="24">
        <v>2.27</v>
      </c>
    </row>
    <row r="1157" s="24" customFormat="1" spans="1:6">
      <c r="A1157" s="24" t="s">
        <v>140</v>
      </c>
      <c r="B1157" s="24" t="str">
        <f>"603363"</f>
        <v>603363</v>
      </c>
      <c r="C1157" s="24" t="s">
        <v>1378</v>
      </c>
      <c r="D1157" s="24" t="s">
        <v>145</v>
      </c>
      <c r="E1157" s="24">
        <v>192.69</v>
      </c>
      <c r="F1157" s="24">
        <v>8.79</v>
      </c>
    </row>
    <row r="1158" s="24" customFormat="1" spans="1:6">
      <c r="A1158" s="24" t="s">
        <v>142</v>
      </c>
      <c r="B1158" s="24" t="str">
        <f>"300283"</f>
        <v>300283</v>
      </c>
      <c r="C1158" s="24" t="s">
        <v>1379</v>
      </c>
      <c r="D1158" s="24" t="s">
        <v>251</v>
      </c>
      <c r="E1158" s="24">
        <v>192.46</v>
      </c>
      <c r="F1158" s="24">
        <v>2.8</v>
      </c>
    </row>
    <row r="1159" s="24" customFormat="1" spans="1:6">
      <c r="A1159" s="24" t="s">
        <v>140</v>
      </c>
      <c r="B1159" s="24" t="str">
        <f>"603895"</f>
        <v>603895</v>
      </c>
      <c r="C1159" s="24" t="s">
        <v>1380</v>
      </c>
      <c r="D1159" s="24" t="s">
        <v>173</v>
      </c>
      <c r="E1159" s="24">
        <v>190.69</v>
      </c>
      <c r="F1159" s="24">
        <v>3.19</v>
      </c>
    </row>
    <row r="1160" s="24" customFormat="1" spans="1:6">
      <c r="A1160" s="24" t="s">
        <v>142</v>
      </c>
      <c r="B1160" s="24" t="str">
        <f>"000796"</f>
        <v>000796</v>
      </c>
      <c r="C1160" s="24" t="s">
        <v>1381</v>
      </c>
      <c r="D1160" s="24" t="s">
        <v>453</v>
      </c>
      <c r="E1160" s="24">
        <v>188.83</v>
      </c>
      <c r="F1160" s="24">
        <v>2.55</v>
      </c>
    </row>
    <row r="1161" s="24" customFormat="1" spans="1:6">
      <c r="A1161" s="24" t="s">
        <v>142</v>
      </c>
      <c r="B1161" s="24" t="str">
        <f>"300532"</f>
        <v>300532</v>
      </c>
      <c r="C1161" s="24" t="s">
        <v>1382</v>
      </c>
      <c r="D1161" s="24" t="s">
        <v>159</v>
      </c>
      <c r="E1161" s="24">
        <v>187.96</v>
      </c>
      <c r="F1161" s="24">
        <v>4.08</v>
      </c>
    </row>
    <row r="1162" s="24" customFormat="1" spans="1:6">
      <c r="A1162" s="24" t="s">
        <v>140</v>
      </c>
      <c r="B1162" s="24" t="str">
        <f>"603056"</f>
        <v>603056</v>
      </c>
      <c r="C1162" s="24" t="s">
        <v>1383</v>
      </c>
      <c r="D1162" s="24" t="s">
        <v>177</v>
      </c>
      <c r="E1162" s="24">
        <v>187.19</v>
      </c>
      <c r="F1162" s="24">
        <v>2.54</v>
      </c>
    </row>
    <row r="1163" s="24" customFormat="1" spans="1:6">
      <c r="A1163" s="24" t="s">
        <v>142</v>
      </c>
      <c r="B1163" s="24" t="str">
        <f>"300613"</f>
        <v>300613</v>
      </c>
      <c r="C1163" s="24" t="s">
        <v>1384</v>
      </c>
      <c r="D1163" s="24" t="s">
        <v>197</v>
      </c>
      <c r="E1163" s="24">
        <v>186.14</v>
      </c>
      <c r="F1163" s="24">
        <v>6.91</v>
      </c>
    </row>
    <row r="1164" s="24" customFormat="1" spans="1:6">
      <c r="A1164" s="24" t="s">
        <v>142</v>
      </c>
      <c r="B1164" s="24" t="str">
        <f>"300180"</f>
        <v>300180</v>
      </c>
      <c r="C1164" s="24" t="s">
        <v>1385</v>
      </c>
      <c r="D1164" s="24" t="s">
        <v>228</v>
      </c>
      <c r="E1164" s="24">
        <v>186.14</v>
      </c>
      <c r="F1164" s="24">
        <v>4.2</v>
      </c>
    </row>
    <row r="1165" s="24" customFormat="1" spans="1:6">
      <c r="A1165" s="24" t="s">
        <v>142</v>
      </c>
      <c r="B1165" s="24" t="str">
        <f>"300663"</f>
        <v>300663</v>
      </c>
      <c r="C1165" s="24" t="s">
        <v>1386</v>
      </c>
      <c r="D1165" s="24" t="s">
        <v>156</v>
      </c>
      <c r="E1165" s="24">
        <v>185.67</v>
      </c>
      <c r="F1165" s="24">
        <v>11.97</v>
      </c>
    </row>
    <row r="1166" s="24" customFormat="1" spans="1:6">
      <c r="A1166" s="24" t="s">
        <v>142</v>
      </c>
      <c r="B1166" s="24" t="str">
        <f>"300731"</f>
        <v>300731</v>
      </c>
      <c r="C1166" s="24" t="s">
        <v>1387</v>
      </c>
      <c r="D1166" s="24" t="s">
        <v>644</v>
      </c>
      <c r="E1166" s="24">
        <v>184.93</v>
      </c>
      <c r="F1166" s="24">
        <v>9.31</v>
      </c>
    </row>
    <row r="1167" s="24" customFormat="1" spans="1:6">
      <c r="A1167" s="24" t="s">
        <v>140</v>
      </c>
      <c r="B1167" s="24" t="str">
        <f>"688258"</f>
        <v>688258</v>
      </c>
      <c r="C1167" s="24" t="s">
        <v>1388</v>
      </c>
      <c r="D1167" s="24" t="s">
        <v>163</v>
      </c>
      <c r="E1167" s="24">
        <v>184.09</v>
      </c>
      <c r="F1167" s="24">
        <v>10.48</v>
      </c>
    </row>
    <row r="1168" s="24" customFormat="1" spans="1:6">
      <c r="A1168" s="24" t="s">
        <v>140</v>
      </c>
      <c r="B1168" s="24" t="str">
        <f>"600588"</f>
        <v>600588</v>
      </c>
      <c r="C1168" s="24" t="s">
        <v>1389</v>
      </c>
      <c r="D1168" s="24" t="s">
        <v>156</v>
      </c>
      <c r="E1168" s="24">
        <v>183.01</v>
      </c>
      <c r="F1168" s="24">
        <v>19.96</v>
      </c>
    </row>
    <row r="1169" s="24" customFormat="1" spans="1:6">
      <c r="A1169" s="24" t="s">
        <v>142</v>
      </c>
      <c r="B1169" s="24" t="str">
        <f>"300290"</f>
        <v>300290</v>
      </c>
      <c r="C1169" s="24" t="s">
        <v>1390</v>
      </c>
      <c r="D1169" s="24" t="s">
        <v>159</v>
      </c>
      <c r="E1169" s="24">
        <v>181.68</v>
      </c>
      <c r="F1169" s="24">
        <v>5.04</v>
      </c>
    </row>
    <row r="1170" s="24" customFormat="1" spans="1:6">
      <c r="A1170" s="24" t="s">
        <v>142</v>
      </c>
      <c r="B1170" s="24" t="str">
        <f>"300496"</f>
        <v>300496</v>
      </c>
      <c r="C1170" s="24" t="s">
        <v>1391</v>
      </c>
      <c r="D1170" s="24" t="s">
        <v>163</v>
      </c>
      <c r="E1170" s="24">
        <v>181.4</v>
      </c>
      <c r="F1170" s="24">
        <v>20.82</v>
      </c>
    </row>
    <row r="1171" s="24" customFormat="1" spans="1:6">
      <c r="A1171" s="24" t="s">
        <v>140</v>
      </c>
      <c r="B1171" s="24" t="str">
        <f>"603315"</f>
        <v>603315</v>
      </c>
      <c r="C1171" s="24" t="s">
        <v>1392</v>
      </c>
      <c r="D1171" s="24" t="s">
        <v>165</v>
      </c>
      <c r="E1171" s="24">
        <v>181.3</v>
      </c>
      <c r="F1171" s="24">
        <v>2.76</v>
      </c>
    </row>
    <row r="1172" s="24" customFormat="1" spans="1:6">
      <c r="A1172" s="24" t="s">
        <v>140</v>
      </c>
      <c r="B1172" s="24" t="str">
        <f>"601890"</f>
        <v>601890</v>
      </c>
      <c r="C1172" s="24" t="s">
        <v>1393</v>
      </c>
      <c r="D1172" s="24" t="s">
        <v>173</v>
      </c>
      <c r="E1172" s="24">
        <v>180.45</v>
      </c>
      <c r="F1172" s="24">
        <v>1.68</v>
      </c>
    </row>
    <row r="1173" s="24" customFormat="1" spans="1:6">
      <c r="A1173" s="24" t="s">
        <v>142</v>
      </c>
      <c r="B1173" s="24" t="str">
        <f>"300710"</f>
        <v>300710</v>
      </c>
      <c r="C1173" s="24" t="s">
        <v>1394</v>
      </c>
      <c r="D1173" s="24" t="s">
        <v>193</v>
      </c>
      <c r="E1173" s="24">
        <v>180.21</v>
      </c>
      <c r="F1173" s="24">
        <v>3.33</v>
      </c>
    </row>
    <row r="1174" s="24" customFormat="1" spans="1:6">
      <c r="A1174" s="24" t="s">
        <v>142</v>
      </c>
      <c r="B1174" s="24" t="str">
        <f>"002729"</f>
        <v>002729</v>
      </c>
      <c r="C1174" s="24" t="s">
        <v>1395</v>
      </c>
      <c r="D1174" s="24" t="s">
        <v>197</v>
      </c>
      <c r="E1174" s="24">
        <v>179.31</v>
      </c>
      <c r="F1174" s="24">
        <v>6.58</v>
      </c>
    </row>
    <row r="1175" s="24" customFormat="1" spans="1:6">
      <c r="A1175" s="24" t="s">
        <v>142</v>
      </c>
      <c r="B1175" s="24" t="str">
        <f>"002307"</f>
        <v>002307</v>
      </c>
      <c r="C1175" s="24" t="s">
        <v>1396</v>
      </c>
      <c r="D1175" s="24" t="s">
        <v>315</v>
      </c>
      <c r="E1175" s="24">
        <v>179.13</v>
      </c>
      <c r="F1175" s="24">
        <v>2.57</v>
      </c>
    </row>
    <row r="1176" s="24" customFormat="1" spans="1:6">
      <c r="A1176" s="24" t="s">
        <v>142</v>
      </c>
      <c r="B1176" s="24" t="str">
        <f>"002414"</f>
        <v>002414</v>
      </c>
      <c r="C1176" s="24" t="s">
        <v>1397</v>
      </c>
      <c r="D1176" s="24" t="s">
        <v>152</v>
      </c>
      <c r="E1176" s="24">
        <v>178.82</v>
      </c>
      <c r="F1176" s="24">
        <v>11.89</v>
      </c>
    </row>
    <row r="1177" s="24" customFormat="1" spans="1:6">
      <c r="A1177" s="24" t="s">
        <v>142</v>
      </c>
      <c r="B1177" s="24" t="str">
        <f>"002342"</f>
        <v>002342</v>
      </c>
      <c r="C1177" s="24" t="s">
        <v>1398</v>
      </c>
      <c r="D1177" s="24" t="s">
        <v>165</v>
      </c>
      <c r="E1177" s="24">
        <v>178.67</v>
      </c>
      <c r="F1177" s="24">
        <v>1.13</v>
      </c>
    </row>
    <row r="1178" s="24" customFormat="1" spans="1:6">
      <c r="A1178" s="24" t="s">
        <v>142</v>
      </c>
      <c r="B1178" s="24" t="str">
        <f>"300553"</f>
        <v>300553</v>
      </c>
      <c r="C1178" s="24" t="s">
        <v>1399</v>
      </c>
      <c r="D1178" s="24" t="s">
        <v>152</v>
      </c>
      <c r="E1178" s="24">
        <v>178.54</v>
      </c>
      <c r="F1178" s="24">
        <v>5.02</v>
      </c>
    </row>
    <row r="1179" s="24" customFormat="1" spans="1:6">
      <c r="A1179" s="24" t="s">
        <v>142</v>
      </c>
      <c r="B1179" s="24" t="str">
        <f>"300143"</f>
        <v>300143</v>
      </c>
      <c r="C1179" s="24" t="s">
        <v>1400</v>
      </c>
      <c r="D1179" s="24" t="s">
        <v>618</v>
      </c>
      <c r="E1179" s="24">
        <v>177.13</v>
      </c>
      <c r="F1179" s="24">
        <v>26.89</v>
      </c>
    </row>
    <row r="1180" s="24" customFormat="1" spans="1:6">
      <c r="A1180" s="24" t="s">
        <v>142</v>
      </c>
      <c r="B1180" s="24" t="str">
        <f>"002647"</f>
        <v>002647</v>
      </c>
      <c r="C1180" s="24" t="s">
        <v>1401</v>
      </c>
      <c r="D1180" s="24" t="s">
        <v>813</v>
      </c>
      <c r="E1180" s="24">
        <v>176.65</v>
      </c>
      <c r="F1180" s="24">
        <v>1414.43</v>
      </c>
    </row>
    <row r="1181" s="24" customFormat="1" spans="1:6">
      <c r="A1181" s="24" t="s">
        <v>142</v>
      </c>
      <c r="B1181" s="24" t="str">
        <f>"000523"</f>
        <v>000523</v>
      </c>
      <c r="C1181" s="24" t="s">
        <v>1402</v>
      </c>
      <c r="D1181" s="24" t="s">
        <v>616</v>
      </c>
      <c r="E1181" s="24">
        <v>175.55</v>
      </c>
      <c r="F1181" s="24">
        <v>2.26</v>
      </c>
    </row>
    <row r="1182" s="24" customFormat="1" spans="1:6">
      <c r="A1182" s="24" t="s">
        <v>142</v>
      </c>
      <c r="B1182" s="24" t="str">
        <f>"002625"</f>
        <v>002625</v>
      </c>
      <c r="C1182" s="24" t="s">
        <v>1403</v>
      </c>
      <c r="D1182" s="24" t="s">
        <v>204</v>
      </c>
      <c r="E1182" s="24">
        <v>175.42</v>
      </c>
      <c r="F1182" s="24">
        <v>2.25</v>
      </c>
    </row>
    <row r="1183" s="24" customFormat="1" spans="1:6">
      <c r="A1183" s="24" t="s">
        <v>142</v>
      </c>
      <c r="B1183" s="24" t="str">
        <f>"002410"</f>
        <v>002410</v>
      </c>
      <c r="C1183" s="24" t="s">
        <v>1404</v>
      </c>
      <c r="D1183" s="24" t="s">
        <v>156</v>
      </c>
      <c r="E1183" s="24">
        <v>175.36</v>
      </c>
      <c r="F1183" s="24">
        <v>19.22</v>
      </c>
    </row>
    <row r="1184" s="24" customFormat="1" spans="1:6">
      <c r="A1184" s="24" t="s">
        <v>140</v>
      </c>
      <c r="B1184" s="24" t="str">
        <f>"601698"</f>
        <v>601698</v>
      </c>
      <c r="C1184" s="24" t="s">
        <v>1405</v>
      </c>
      <c r="D1184" s="24" t="s">
        <v>179</v>
      </c>
      <c r="E1184" s="24">
        <v>175.15</v>
      </c>
      <c r="F1184" s="24">
        <v>6.89</v>
      </c>
    </row>
    <row r="1185" s="24" customFormat="1" spans="1:6">
      <c r="A1185" s="24" t="s">
        <v>142</v>
      </c>
      <c r="B1185" s="24" t="str">
        <f>"002888"</f>
        <v>002888</v>
      </c>
      <c r="C1185" s="24" t="s">
        <v>1406</v>
      </c>
      <c r="D1185" s="24" t="s">
        <v>184</v>
      </c>
      <c r="E1185" s="24">
        <v>173.95</v>
      </c>
      <c r="F1185" s="24">
        <v>5.93</v>
      </c>
    </row>
    <row r="1186" s="24" customFormat="1" spans="1:6">
      <c r="A1186" s="24" t="s">
        <v>142</v>
      </c>
      <c r="B1186" s="24" t="str">
        <f>"002096"</f>
        <v>002096</v>
      </c>
      <c r="C1186" s="24" t="s">
        <v>1407</v>
      </c>
      <c r="D1186" s="24" t="s">
        <v>228</v>
      </c>
      <c r="E1186" s="24">
        <v>173.38</v>
      </c>
      <c r="F1186" s="24">
        <v>1.07</v>
      </c>
    </row>
    <row r="1187" s="24" customFormat="1" spans="1:6">
      <c r="A1187" s="24" t="s">
        <v>142</v>
      </c>
      <c r="B1187" s="24" t="str">
        <f>"300314"</f>
        <v>300314</v>
      </c>
      <c r="C1187" s="24" t="s">
        <v>1408</v>
      </c>
      <c r="D1187" s="24" t="s">
        <v>618</v>
      </c>
      <c r="E1187" s="24">
        <v>173.01</v>
      </c>
      <c r="F1187" s="24">
        <v>3.58</v>
      </c>
    </row>
    <row r="1188" s="24" customFormat="1" spans="1:6">
      <c r="A1188" s="24" t="s">
        <v>142</v>
      </c>
      <c r="B1188" s="24" t="str">
        <f>"300578"</f>
        <v>300578</v>
      </c>
      <c r="C1188" s="24" t="s">
        <v>1409</v>
      </c>
      <c r="D1188" s="24" t="s">
        <v>159</v>
      </c>
      <c r="E1188" s="24">
        <v>172.11</v>
      </c>
      <c r="F1188" s="24">
        <v>25.99</v>
      </c>
    </row>
    <row r="1189" s="24" customFormat="1" spans="1:6">
      <c r="A1189" s="24" t="s">
        <v>142</v>
      </c>
      <c r="B1189" s="24" t="str">
        <f>"300523"</f>
        <v>300523</v>
      </c>
      <c r="C1189" s="24" t="s">
        <v>1410</v>
      </c>
      <c r="D1189" s="24" t="s">
        <v>163</v>
      </c>
      <c r="E1189" s="24">
        <v>171.43</v>
      </c>
      <c r="F1189" s="24">
        <v>8.17</v>
      </c>
    </row>
    <row r="1190" s="24" customFormat="1" spans="1:6">
      <c r="A1190" s="24" t="s">
        <v>142</v>
      </c>
      <c r="B1190" s="24" t="str">
        <f>"002364"</f>
        <v>002364</v>
      </c>
      <c r="C1190" s="24" t="s">
        <v>1411</v>
      </c>
      <c r="D1190" s="24" t="s">
        <v>251</v>
      </c>
      <c r="E1190" s="24">
        <v>171.12</v>
      </c>
      <c r="F1190" s="24">
        <v>2.92</v>
      </c>
    </row>
    <row r="1191" s="24" customFormat="1" spans="1:6">
      <c r="A1191" s="24" t="s">
        <v>142</v>
      </c>
      <c r="B1191" s="24" t="str">
        <f>"300049"</f>
        <v>300049</v>
      </c>
      <c r="C1191" s="24" t="s">
        <v>1412</v>
      </c>
      <c r="D1191" s="24" t="s">
        <v>388</v>
      </c>
      <c r="E1191" s="24">
        <v>170.83</v>
      </c>
      <c r="F1191" s="24">
        <v>1.68</v>
      </c>
    </row>
    <row r="1192" s="24" customFormat="1" spans="1:6">
      <c r="A1192" s="24" t="s">
        <v>142</v>
      </c>
      <c r="B1192" s="24" t="str">
        <f>"300328"</f>
        <v>300328</v>
      </c>
      <c r="C1192" s="24" t="s">
        <v>1413</v>
      </c>
      <c r="D1192" s="24" t="s">
        <v>167</v>
      </c>
      <c r="E1192" s="24">
        <v>170.52</v>
      </c>
      <c r="F1192" s="24">
        <v>5.93</v>
      </c>
    </row>
    <row r="1193" s="24" customFormat="1" spans="1:6">
      <c r="A1193" s="24" t="s">
        <v>140</v>
      </c>
      <c r="B1193" s="24" t="str">
        <f>"688039"</f>
        <v>688039</v>
      </c>
      <c r="C1193" s="24" t="s">
        <v>1414</v>
      </c>
      <c r="D1193" s="24" t="s">
        <v>156</v>
      </c>
      <c r="E1193" s="24">
        <v>170.25</v>
      </c>
      <c r="F1193" s="24">
        <v>7.41</v>
      </c>
    </row>
    <row r="1194" s="24" customFormat="1" spans="1:6">
      <c r="A1194" s="24" t="s">
        <v>142</v>
      </c>
      <c r="B1194" s="24" t="str">
        <f>"002584"</f>
        <v>002584</v>
      </c>
      <c r="C1194" s="24" t="s">
        <v>1415</v>
      </c>
      <c r="D1194" s="24" t="s">
        <v>256</v>
      </c>
      <c r="E1194" s="24">
        <v>169.71</v>
      </c>
      <c r="F1194" s="24">
        <v>2.42</v>
      </c>
    </row>
    <row r="1195" s="24" customFormat="1" spans="1:6">
      <c r="A1195" s="24" t="s">
        <v>140</v>
      </c>
      <c r="B1195" s="24" t="str">
        <f>"600468"</f>
        <v>600468</v>
      </c>
      <c r="C1195" s="24" t="s">
        <v>1416</v>
      </c>
      <c r="D1195" s="24" t="s">
        <v>251</v>
      </c>
      <c r="E1195" s="24">
        <v>169.56</v>
      </c>
      <c r="F1195" s="24">
        <v>2.38</v>
      </c>
    </row>
    <row r="1196" s="24" customFormat="1" spans="1:6">
      <c r="A1196" s="24" t="s">
        <v>140</v>
      </c>
      <c r="B1196" s="24" t="str">
        <f>"688298"</f>
        <v>688298</v>
      </c>
      <c r="C1196" s="24" t="s">
        <v>1417</v>
      </c>
      <c r="D1196" s="24"/>
      <c r="E1196" s="24">
        <v>169.53</v>
      </c>
      <c r="F1196" s="24">
        <v>13.54</v>
      </c>
    </row>
    <row r="1197" s="24" customFormat="1" spans="1:6">
      <c r="A1197" s="24" t="s">
        <v>140</v>
      </c>
      <c r="B1197" s="24" t="str">
        <f>"600158"</f>
        <v>600158</v>
      </c>
      <c r="C1197" s="24" t="s">
        <v>1418</v>
      </c>
      <c r="D1197" s="24" t="s">
        <v>453</v>
      </c>
      <c r="E1197" s="24">
        <v>169.31</v>
      </c>
      <c r="F1197" s="24">
        <v>4.84</v>
      </c>
    </row>
    <row r="1198" s="24" customFormat="1" spans="1:6">
      <c r="A1198" s="24" t="s">
        <v>140</v>
      </c>
      <c r="B1198" s="24" t="str">
        <f>"603991"</f>
        <v>603991</v>
      </c>
      <c r="C1198" s="24" t="s">
        <v>1419</v>
      </c>
      <c r="D1198" s="24" t="s">
        <v>228</v>
      </c>
      <c r="E1198" s="24">
        <v>169.1</v>
      </c>
      <c r="F1198" s="24">
        <v>2.46</v>
      </c>
    </row>
    <row r="1199" s="24" customFormat="1" spans="1:6">
      <c r="A1199" s="24" t="s">
        <v>140</v>
      </c>
      <c r="B1199" s="24" t="str">
        <f>"603828"</f>
        <v>603828</v>
      </c>
      <c r="C1199" s="24" t="s">
        <v>1420</v>
      </c>
      <c r="D1199" s="24" t="s">
        <v>315</v>
      </c>
      <c r="E1199" s="24">
        <v>168.98</v>
      </c>
      <c r="F1199" s="24">
        <v>2.39</v>
      </c>
    </row>
    <row r="1200" s="24" customFormat="1" spans="1:6">
      <c r="A1200" s="24" t="s">
        <v>140</v>
      </c>
      <c r="B1200" s="24" t="str">
        <f>"600077"</f>
        <v>600077</v>
      </c>
      <c r="C1200" s="24" t="s">
        <v>1421</v>
      </c>
      <c r="D1200" s="24" t="s">
        <v>244</v>
      </c>
      <c r="E1200" s="24">
        <v>168.12</v>
      </c>
      <c r="F1200" s="24">
        <v>0.92</v>
      </c>
    </row>
    <row r="1201" s="24" customFormat="1" spans="1:6">
      <c r="A1201" s="24" t="s">
        <v>140</v>
      </c>
      <c r="B1201" s="24" t="str">
        <f>"601162"</f>
        <v>601162</v>
      </c>
      <c r="C1201" s="24" t="s">
        <v>1422</v>
      </c>
      <c r="D1201" s="24" t="s">
        <v>714</v>
      </c>
      <c r="E1201" s="24">
        <v>167.94</v>
      </c>
      <c r="F1201" s="24">
        <v>2.66</v>
      </c>
    </row>
    <row r="1202" s="24" customFormat="1" spans="1:6">
      <c r="A1202" s="24" t="s">
        <v>140</v>
      </c>
      <c r="B1202" s="24" t="str">
        <f>"603727"</f>
        <v>603727</v>
      </c>
      <c r="C1202" s="24" t="s">
        <v>1423</v>
      </c>
      <c r="D1202" s="24" t="s">
        <v>377</v>
      </c>
      <c r="E1202" s="24">
        <v>167.89</v>
      </c>
      <c r="F1202" s="24">
        <v>2.07</v>
      </c>
    </row>
    <row r="1203" s="24" customFormat="1" spans="1:6">
      <c r="A1203" s="24" t="s">
        <v>142</v>
      </c>
      <c r="B1203" s="24" t="str">
        <f>"300277"</f>
        <v>300277</v>
      </c>
      <c r="C1203" s="24" t="s">
        <v>1424</v>
      </c>
      <c r="D1203" s="24" t="s">
        <v>159</v>
      </c>
      <c r="E1203" s="24">
        <v>167.74</v>
      </c>
      <c r="F1203" s="24">
        <v>5.76</v>
      </c>
    </row>
    <row r="1204" s="24" customFormat="1" spans="1:6">
      <c r="A1204" s="24" t="s">
        <v>140</v>
      </c>
      <c r="B1204" s="24" t="str">
        <f>"603232"</f>
        <v>603232</v>
      </c>
      <c r="C1204" s="24" t="s">
        <v>1425</v>
      </c>
      <c r="D1204" s="24" t="s">
        <v>156</v>
      </c>
      <c r="E1204" s="24">
        <v>166.31</v>
      </c>
      <c r="F1204" s="24">
        <v>9.9</v>
      </c>
    </row>
    <row r="1205" s="24" customFormat="1" spans="1:6">
      <c r="A1205" s="24" t="s">
        <v>140</v>
      </c>
      <c r="B1205" s="24" t="str">
        <f>"600455"</f>
        <v>600455</v>
      </c>
      <c r="C1205" s="24" t="s">
        <v>1426</v>
      </c>
      <c r="D1205" s="24" t="s">
        <v>467</v>
      </c>
      <c r="E1205" s="24">
        <v>165.95</v>
      </c>
      <c r="F1205" s="24">
        <v>11.12</v>
      </c>
    </row>
    <row r="1206" s="24" customFormat="1" spans="1:6">
      <c r="A1206" s="24" t="s">
        <v>140</v>
      </c>
      <c r="B1206" s="24" t="str">
        <f>"600539"</f>
        <v>600539</v>
      </c>
      <c r="C1206" s="24" t="s">
        <v>1427</v>
      </c>
      <c r="D1206" s="24" t="s">
        <v>667</v>
      </c>
      <c r="E1206" s="24">
        <v>165.66</v>
      </c>
      <c r="F1206" s="24">
        <v>3.3</v>
      </c>
    </row>
    <row r="1207" s="24" customFormat="1" spans="1:6">
      <c r="A1207" s="24" t="s">
        <v>142</v>
      </c>
      <c r="B1207" s="24" t="str">
        <f>"000061"</f>
        <v>000061</v>
      </c>
      <c r="C1207" s="24" t="s">
        <v>1428</v>
      </c>
      <c r="D1207" s="24" t="s">
        <v>361</v>
      </c>
      <c r="E1207" s="24">
        <v>164.44</v>
      </c>
      <c r="F1207" s="24">
        <v>1.97</v>
      </c>
    </row>
    <row r="1208" s="24" customFormat="1" spans="1:6">
      <c r="A1208" s="24" t="s">
        <v>142</v>
      </c>
      <c r="B1208" s="24" t="str">
        <f>"300455"</f>
        <v>300455</v>
      </c>
      <c r="C1208" s="24" t="s">
        <v>1429</v>
      </c>
      <c r="D1208" s="24" t="s">
        <v>152</v>
      </c>
      <c r="E1208" s="24">
        <v>164.26</v>
      </c>
      <c r="F1208" s="24">
        <v>5.47</v>
      </c>
    </row>
    <row r="1209" s="24" customFormat="1" spans="1:6">
      <c r="A1209" s="24" t="s">
        <v>142</v>
      </c>
      <c r="B1209" s="24" t="str">
        <f>"300733"</f>
        <v>300733</v>
      </c>
      <c r="C1209" s="24" t="s">
        <v>1430</v>
      </c>
      <c r="D1209" s="24" t="s">
        <v>204</v>
      </c>
      <c r="E1209" s="24">
        <v>163.92</v>
      </c>
      <c r="F1209" s="24">
        <v>1.38</v>
      </c>
    </row>
    <row r="1210" s="24" customFormat="1" spans="1:6">
      <c r="A1210" s="24" t="s">
        <v>142</v>
      </c>
      <c r="B1210" s="24" t="str">
        <f>"300433"</f>
        <v>300433</v>
      </c>
      <c r="C1210" s="24" t="s">
        <v>1431</v>
      </c>
      <c r="D1210" s="24" t="s">
        <v>230</v>
      </c>
      <c r="E1210" s="24">
        <v>163.86</v>
      </c>
      <c r="F1210" s="24">
        <v>5.17</v>
      </c>
    </row>
    <row r="1211" s="24" customFormat="1" spans="1:6">
      <c r="A1211" s="24" t="s">
        <v>142</v>
      </c>
      <c r="B1211" s="24" t="str">
        <f>"300079"</f>
        <v>300079</v>
      </c>
      <c r="C1211" s="24" t="s">
        <v>1432</v>
      </c>
      <c r="D1211" s="24" t="s">
        <v>193</v>
      </c>
      <c r="E1211" s="24">
        <v>163.84</v>
      </c>
      <c r="F1211" s="24">
        <v>2.32</v>
      </c>
    </row>
    <row r="1212" s="24" customFormat="1" spans="1:6">
      <c r="A1212" s="24" t="s">
        <v>140</v>
      </c>
      <c r="B1212" s="24" t="str">
        <f>"603963"</f>
        <v>603963</v>
      </c>
      <c r="C1212" s="24" t="s">
        <v>1433</v>
      </c>
      <c r="D1212" s="24" t="s">
        <v>464</v>
      </c>
      <c r="E1212" s="24">
        <v>161.94</v>
      </c>
      <c r="F1212" s="24">
        <v>4.04</v>
      </c>
    </row>
    <row r="1213" s="24" customFormat="1" spans="1:6">
      <c r="A1213" s="24" t="s">
        <v>140</v>
      </c>
      <c r="B1213" s="24" t="str">
        <f>"603690"</f>
        <v>603690</v>
      </c>
      <c r="C1213" s="24" t="s">
        <v>1434</v>
      </c>
      <c r="D1213" s="24" t="s">
        <v>214</v>
      </c>
      <c r="E1213" s="24">
        <v>160.65</v>
      </c>
      <c r="F1213" s="24">
        <v>8.78</v>
      </c>
    </row>
    <row r="1214" s="24" customFormat="1" spans="1:6">
      <c r="A1214" s="24" t="s">
        <v>142</v>
      </c>
      <c r="B1214" s="24" t="str">
        <f>"002095"</f>
        <v>002095</v>
      </c>
      <c r="C1214" s="24" t="s">
        <v>1435</v>
      </c>
      <c r="D1214" s="24" t="s">
        <v>163</v>
      </c>
      <c r="E1214" s="24">
        <v>160.51</v>
      </c>
      <c r="F1214" s="24">
        <v>6.23</v>
      </c>
    </row>
    <row r="1215" s="24" customFormat="1" spans="1:6">
      <c r="A1215" s="24" t="s">
        <v>142</v>
      </c>
      <c r="B1215" s="24" t="str">
        <f>"002646"</f>
        <v>002646</v>
      </c>
      <c r="C1215" s="24" t="s">
        <v>1436</v>
      </c>
      <c r="D1215" s="24" t="s">
        <v>309</v>
      </c>
      <c r="E1215" s="24">
        <v>159.48</v>
      </c>
      <c r="F1215" s="24">
        <v>1.97</v>
      </c>
    </row>
    <row r="1216" s="24" customFormat="1" spans="1:6">
      <c r="A1216" s="24" t="s">
        <v>142</v>
      </c>
      <c r="B1216" s="24" t="str">
        <f>"002639"</f>
        <v>002639</v>
      </c>
      <c r="C1216" s="24" t="s">
        <v>1437</v>
      </c>
      <c r="D1216" s="24" t="s">
        <v>173</v>
      </c>
      <c r="E1216" s="24">
        <v>159.18</v>
      </c>
      <c r="F1216" s="24">
        <v>3.16</v>
      </c>
    </row>
    <row r="1217" s="24" customFormat="1" spans="1:6">
      <c r="A1217" s="24" t="s">
        <v>142</v>
      </c>
      <c r="B1217" s="24" t="str">
        <f>"300458"</f>
        <v>300458</v>
      </c>
      <c r="C1217" s="24" t="s">
        <v>1438</v>
      </c>
      <c r="D1217" s="24" t="s">
        <v>276</v>
      </c>
      <c r="E1217" s="24">
        <v>158.76</v>
      </c>
      <c r="F1217" s="24">
        <v>5.54</v>
      </c>
    </row>
    <row r="1218" s="24" customFormat="1" spans="1:6">
      <c r="A1218" s="24" t="s">
        <v>142</v>
      </c>
      <c r="B1218" s="24" t="str">
        <f>"002017"</f>
        <v>002017</v>
      </c>
      <c r="C1218" s="24" t="s">
        <v>1439</v>
      </c>
      <c r="D1218" s="24" t="s">
        <v>152</v>
      </c>
      <c r="E1218" s="24">
        <v>158.17</v>
      </c>
      <c r="F1218" s="24">
        <v>4.2</v>
      </c>
    </row>
    <row r="1219" s="24" customFormat="1" spans="1:6">
      <c r="A1219" s="24" t="s">
        <v>140</v>
      </c>
      <c r="B1219" s="24" t="str">
        <f>"900919"</f>
        <v>900919</v>
      </c>
      <c r="C1219" s="24" t="s">
        <v>1440</v>
      </c>
      <c r="D1219" s="24"/>
      <c r="E1219" s="24">
        <v>158</v>
      </c>
      <c r="F1219" s="24">
        <v>2.36</v>
      </c>
    </row>
    <row r="1220" s="24" customFormat="1" spans="1:6">
      <c r="A1220" s="24" t="s">
        <v>142</v>
      </c>
      <c r="B1220" s="24" t="str">
        <f>"002920"</f>
        <v>002920</v>
      </c>
      <c r="C1220" s="24" t="s">
        <v>1441</v>
      </c>
      <c r="D1220" s="24" t="s">
        <v>152</v>
      </c>
      <c r="E1220" s="24">
        <v>156.8</v>
      </c>
      <c r="F1220" s="24">
        <v>4.92</v>
      </c>
    </row>
    <row r="1221" s="24" customFormat="1" spans="1:6">
      <c r="A1221" s="24" t="s">
        <v>142</v>
      </c>
      <c r="B1221" s="24" t="str">
        <f>"002243"</f>
        <v>002243</v>
      </c>
      <c r="C1221" s="24" t="s">
        <v>1442</v>
      </c>
      <c r="D1221" s="24" t="s">
        <v>290</v>
      </c>
      <c r="E1221" s="24">
        <v>156.75</v>
      </c>
      <c r="F1221" s="24">
        <v>2.18</v>
      </c>
    </row>
    <row r="1222" s="24" customFormat="1" spans="1:6">
      <c r="A1222" s="24" t="s">
        <v>140</v>
      </c>
      <c r="B1222" s="24" t="str">
        <f>"688099"</f>
        <v>688099</v>
      </c>
      <c r="C1222" s="24" t="s">
        <v>1443</v>
      </c>
      <c r="D1222" s="24" t="s">
        <v>276</v>
      </c>
      <c r="E1222" s="24">
        <v>155.98</v>
      </c>
      <c r="F1222" s="24">
        <v>12.44</v>
      </c>
    </row>
    <row r="1223" s="24" customFormat="1" spans="1:6">
      <c r="A1223" s="24" t="s">
        <v>140</v>
      </c>
      <c r="B1223" s="24" t="str">
        <f>"688002"</f>
        <v>688002</v>
      </c>
      <c r="C1223" s="24" t="s">
        <v>1444</v>
      </c>
      <c r="D1223" s="24" t="s">
        <v>152</v>
      </c>
      <c r="E1223" s="24">
        <v>155.19</v>
      </c>
      <c r="F1223" s="24">
        <v>10.56</v>
      </c>
    </row>
    <row r="1224" s="24" customFormat="1" spans="1:6">
      <c r="A1224" s="24" t="s">
        <v>142</v>
      </c>
      <c r="B1224" s="24" t="str">
        <f>"002667"</f>
        <v>002667</v>
      </c>
      <c r="C1224" s="24" t="s">
        <v>1445</v>
      </c>
      <c r="D1224" s="24" t="s">
        <v>173</v>
      </c>
      <c r="E1224" s="24">
        <v>155.19</v>
      </c>
      <c r="F1224" s="24">
        <v>1.75</v>
      </c>
    </row>
    <row r="1225" s="24" customFormat="1" spans="1:6">
      <c r="A1225" s="24" t="s">
        <v>142</v>
      </c>
      <c r="B1225" s="24" t="str">
        <f>"000100"</f>
        <v>000100</v>
      </c>
      <c r="C1225" s="24" t="s">
        <v>1446</v>
      </c>
      <c r="D1225" s="24" t="s">
        <v>184</v>
      </c>
      <c r="E1225" s="24">
        <v>155.11</v>
      </c>
      <c r="F1225" s="24">
        <v>2.53</v>
      </c>
    </row>
    <row r="1226" s="24" customFormat="1" spans="1:6">
      <c r="A1226" s="24" t="s">
        <v>142</v>
      </c>
      <c r="B1226" s="24" t="str">
        <f>"300074"</f>
        <v>300074</v>
      </c>
      <c r="C1226" s="24" t="s">
        <v>1447</v>
      </c>
      <c r="D1226" s="24" t="s">
        <v>159</v>
      </c>
      <c r="E1226" s="24">
        <v>154.8</v>
      </c>
      <c r="F1226" s="24">
        <v>2.02</v>
      </c>
    </row>
    <row r="1227" s="24" customFormat="1" spans="1:6">
      <c r="A1227" s="24" t="s">
        <v>140</v>
      </c>
      <c r="B1227" s="24" t="str">
        <f>"600131"</f>
        <v>600131</v>
      </c>
      <c r="C1227" s="24" t="s">
        <v>1448</v>
      </c>
      <c r="D1227" s="24" t="s">
        <v>188</v>
      </c>
      <c r="E1227" s="24">
        <v>154.75</v>
      </c>
      <c r="F1227" s="24">
        <v>14.15</v>
      </c>
    </row>
    <row r="1228" s="24" customFormat="1" spans="1:6">
      <c r="A1228" s="24" t="s">
        <v>142</v>
      </c>
      <c r="B1228" s="24" t="str">
        <f>"002347"</f>
        <v>002347</v>
      </c>
      <c r="C1228" s="24" t="s">
        <v>1449</v>
      </c>
      <c r="D1228" s="24" t="s">
        <v>165</v>
      </c>
      <c r="E1228" s="24">
        <v>154.45</v>
      </c>
      <c r="F1228" s="24">
        <v>1.58</v>
      </c>
    </row>
    <row r="1229" s="24" customFormat="1" spans="1:6">
      <c r="A1229" s="24" t="s">
        <v>142</v>
      </c>
      <c r="B1229" s="24" t="str">
        <f>"002941"</f>
        <v>002941</v>
      </c>
      <c r="C1229" s="24" t="s">
        <v>1450</v>
      </c>
      <c r="D1229" s="24" t="s">
        <v>315</v>
      </c>
      <c r="E1229" s="24">
        <v>153.14</v>
      </c>
      <c r="F1229" s="24">
        <v>4.24</v>
      </c>
    </row>
    <row r="1230" s="24" customFormat="1" spans="1:6">
      <c r="A1230" s="24" t="s">
        <v>142</v>
      </c>
      <c r="B1230" s="24" t="str">
        <f>"300175"</f>
        <v>300175</v>
      </c>
      <c r="C1230" s="24" t="s">
        <v>1451</v>
      </c>
      <c r="D1230" s="24" t="s">
        <v>145</v>
      </c>
      <c r="E1230" s="24">
        <v>152.68</v>
      </c>
      <c r="F1230" s="24">
        <v>4.05</v>
      </c>
    </row>
    <row r="1231" s="24" customFormat="1" spans="1:6">
      <c r="A1231" s="24" t="s">
        <v>142</v>
      </c>
      <c r="B1231" s="24" t="str">
        <f>"002268"</f>
        <v>002268</v>
      </c>
      <c r="C1231" s="24" t="s">
        <v>1452</v>
      </c>
      <c r="D1231" s="24" t="s">
        <v>152</v>
      </c>
      <c r="E1231" s="24">
        <v>152.61</v>
      </c>
      <c r="F1231" s="24">
        <v>5.31</v>
      </c>
    </row>
    <row r="1232" s="24" customFormat="1" spans="1:6">
      <c r="A1232" s="24" t="s">
        <v>142</v>
      </c>
      <c r="B1232" s="24" t="str">
        <f>"300040"</f>
        <v>300040</v>
      </c>
      <c r="C1232" s="24" t="s">
        <v>1453</v>
      </c>
      <c r="D1232" s="24" t="s">
        <v>251</v>
      </c>
      <c r="E1232" s="24">
        <v>152.1</v>
      </c>
      <c r="F1232" s="24">
        <v>0.97</v>
      </c>
    </row>
    <row r="1233" s="24" customFormat="1" spans="1:6">
      <c r="A1233" s="24" t="s">
        <v>140</v>
      </c>
      <c r="B1233" s="24" t="str">
        <f>"688008"</f>
        <v>688008</v>
      </c>
      <c r="C1233" s="24" t="s">
        <v>1454</v>
      </c>
      <c r="D1233" s="24" t="s">
        <v>276</v>
      </c>
      <c r="E1233" s="24">
        <v>151.95</v>
      </c>
      <c r="F1233" s="24">
        <v>18.27</v>
      </c>
    </row>
    <row r="1234" s="24" customFormat="1" spans="1:6">
      <c r="A1234" s="24" t="s">
        <v>142</v>
      </c>
      <c r="B1234" s="24" t="str">
        <f>"002881"</f>
        <v>002881</v>
      </c>
      <c r="C1234" s="24" t="s">
        <v>1455</v>
      </c>
      <c r="D1234" s="24" t="s">
        <v>197</v>
      </c>
      <c r="E1234" s="24">
        <v>151.75</v>
      </c>
      <c r="F1234" s="24">
        <v>7.75</v>
      </c>
    </row>
    <row r="1235" s="24" customFormat="1" spans="1:6">
      <c r="A1235" s="24" t="s">
        <v>142</v>
      </c>
      <c r="B1235" s="24" t="str">
        <f>"300492"</f>
        <v>300492</v>
      </c>
      <c r="C1235" s="24" t="s">
        <v>1456</v>
      </c>
      <c r="D1235" s="24" t="s">
        <v>214</v>
      </c>
      <c r="E1235" s="24">
        <v>151.6</v>
      </c>
      <c r="F1235" s="24">
        <v>13.64</v>
      </c>
    </row>
    <row r="1236" s="24" customFormat="1" spans="1:6">
      <c r="A1236" s="24" t="s">
        <v>142</v>
      </c>
      <c r="B1236" s="24" t="str">
        <f>"300322"</f>
        <v>300322</v>
      </c>
      <c r="C1236" s="24" t="s">
        <v>1457</v>
      </c>
      <c r="D1236" s="24" t="s">
        <v>193</v>
      </c>
      <c r="E1236" s="24">
        <v>151.41</v>
      </c>
      <c r="F1236" s="24">
        <v>12.02</v>
      </c>
    </row>
    <row r="1237" s="24" customFormat="1" spans="1:6">
      <c r="A1237" s="24" t="s">
        <v>142</v>
      </c>
      <c r="B1237" s="24" t="str">
        <f>"000521"</f>
        <v>000521</v>
      </c>
      <c r="C1237" s="24" t="s">
        <v>1458</v>
      </c>
      <c r="D1237" s="24" t="s">
        <v>184</v>
      </c>
      <c r="E1237" s="24">
        <v>150.92</v>
      </c>
      <c r="F1237" s="24">
        <v>0.66</v>
      </c>
    </row>
    <row r="1238" s="24" customFormat="1" spans="1:6">
      <c r="A1238" s="24" t="s">
        <v>142</v>
      </c>
      <c r="B1238" s="24" t="str">
        <f>"002564"</f>
        <v>002564</v>
      </c>
      <c r="C1238" s="24" t="s">
        <v>1459</v>
      </c>
      <c r="D1238" s="24" t="s">
        <v>173</v>
      </c>
      <c r="E1238" s="24">
        <v>150.55</v>
      </c>
      <c r="F1238" s="24">
        <v>2.28</v>
      </c>
    </row>
    <row r="1239" s="24" customFormat="1" spans="1:6">
      <c r="A1239" s="24" t="s">
        <v>142</v>
      </c>
      <c r="B1239" s="24" t="str">
        <f>"002767"</f>
        <v>002767</v>
      </c>
      <c r="C1239" s="24" t="s">
        <v>1460</v>
      </c>
      <c r="D1239" s="24" t="s">
        <v>152</v>
      </c>
      <c r="E1239" s="24">
        <v>150.5</v>
      </c>
      <c r="F1239" s="24">
        <v>2.51</v>
      </c>
    </row>
    <row r="1240" s="24" customFormat="1" spans="1:6">
      <c r="A1240" s="24" t="s">
        <v>140</v>
      </c>
      <c r="B1240" s="24" t="str">
        <f>"688068"</f>
        <v>688068</v>
      </c>
      <c r="C1240" s="24" t="s">
        <v>1461</v>
      </c>
      <c r="D1240" s="24" t="s">
        <v>326</v>
      </c>
      <c r="E1240" s="24">
        <v>150.42</v>
      </c>
      <c r="F1240" s="24">
        <v>7.62</v>
      </c>
    </row>
    <row r="1241" s="24" customFormat="1" spans="1:6">
      <c r="A1241" s="24" t="s">
        <v>140</v>
      </c>
      <c r="B1241" s="24" t="str">
        <f>"600855"</f>
        <v>600855</v>
      </c>
      <c r="C1241" s="24" t="s">
        <v>1462</v>
      </c>
      <c r="D1241" s="24" t="s">
        <v>173</v>
      </c>
      <c r="E1241" s="24">
        <v>150.08</v>
      </c>
      <c r="F1241" s="24">
        <v>2.48</v>
      </c>
    </row>
    <row r="1242" s="24" customFormat="1" spans="1:6">
      <c r="A1242" s="24" t="s">
        <v>142</v>
      </c>
      <c r="B1242" s="24" t="str">
        <f>"300391"</f>
        <v>300391</v>
      </c>
      <c r="C1242" s="24" t="s">
        <v>1463</v>
      </c>
      <c r="D1242" s="24" t="s">
        <v>165</v>
      </c>
      <c r="E1242" s="24">
        <v>149.85</v>
      </c>
      <c r="F1242" s="24">
        <v>3.22</v>
      </c>
    </row>
    <row r="1243" s="24" customFormat="1" spans="1:6">
      <c r="A1243" s="24" t="s">
        <v>140</v>
      </c>
      <c r="B1243" s="24" t="str">
        <f>"601700"</f>
        <v>601700</v>
      </c>
      <c r="C1243" s="24" t="s">
        <v>1464</v>
      </c>
      <c r="D1243" s="24" t="s">
        <v>251</v>
      </c>
      <c r="E1243" s="24">
        <v>149.68</v>
      </c>
      <c r="F1243" s="24">
        <v>2.19</v>
      </c>
    </row>
    <row r="1244" s="24" customFormat="1" spans="1:6">
      <c r="A1244" s="24" t="s">
        <v>142</v>
      </c>
      <c r="B1244" s="24" t="str">
        <f>"002805"</f>
        <v>002805</v>
      </c>
      <c r="C1244" s="24" t="s">
        <v>1465</v>
      </c>
      <c r="D1244" s="24" t="s">
        <v>256</v>
      </c>
      <c r="E1244" s="24">
        <v>149.13</v>
      </c>
      <c r="F1244" s="24">
        <v>3.17</v>
      </c>
    </row>
    <row r="1245" s="24" customFormat="1" spans="1:6">
      <c r="A1245" s="24" t="s">
        <v>140</v>
      </c>
      <c r="B1245" s="24" t="str">
        <f>"603308"</f>
        <v>603308</v>
      </c>
      <c r="C1245" s="24" t="s">
        <v>1466</v>
      </c>
      <c r="D1245" s="24" t="s">
        <v>173</v>
      </c>
      <c r="E1245" s="24">
        <v>148.58</v>
      </c>
      <c r="F1245" s="24">
        <v>2.33</v>
      </c>
    </row>
    <row r="1246" s="24" customFormat="1" spans="1:6">
      <c r="A1246" s="24" t="s">
        <v>142</v>
      </c>
      <c r="B1246" s="24" t="str">
        <f>"300558"</f>
        <v>300558</v>
      </c>
      <c r="C1246" s="24" t="s">
        <v>1467</v>
      </c>
      <c r="D1246" s="24" t="s">
        <v>464</v>
      </c>
      <c r="E1246" s="24">
        <v>148.47</v>
      </c>
      <c r="F1246" s="24">
        <v>14.64</v>
      </c>
    </row>
    <row r="1247" s="24" customFormat="1" spans="1:6">
      <c r="A1247" s="24" t="s">
        <v>140</v>
      </c>
      <c r="B1247" s="24" t="str">
        <f>"688389"</f>
        <v>688389</v>
      </c>
      <c r="C1247" s="24" t="s">
        <v>1468</v>
      </c>
      <c r="D1247" s="24" t="s">
        <v>326</v>
      </c>
      <c r="E1247" s="24">
        <v>148.41</v>
      </c>
      <c r="F1247" s="24">
        <v>10.38</v>
      </c>
    </row>
    <row r="1248" s="24" customFormat="1" spans="1:6">
      <c r="A1248" s="24" t="s">
        <v>142</v>
      </c>
      <c r="B1248" s="24" t="str">
        <f>"300601"</f>
        <v>300601</v>
      </c>
      <c r="C1248" s="24" t="s">
        <v>1469</v>
      </c>
      <c r="D1248" s="24" t="s">
        <v>326</v>
      </c>
      <c r="E1248" s="24">
        <v>148.29</v>
      </c>
      <c r="F1248" s="24">
        <v>28.53</v>
      </c>
    </row>
    <row r="1249" s="24" customFormat="1" spans="1:6">
      <c r="A1249" s="24" t="s">
        <v>142</v>
      </c>
      <c r="B1249" s="24" t="str">
        <f>"300454"</f>
        <v>300454</v>
      </c>
      <c r="C1249" s="24" t="s">
        <v>1470</v>
      </c>
      <c r="D1249" s="24" t="s">
        <v>156</v>
      </c>
      <c r="E1249" s="24">
        <v>148.19</v>
      </c>
      <c r="F1249" s="24">
        <v>20.8</v>
      </c>
    </row>
    <row r="1250" s="24" customFormat="1" spans="1:6">
      <c r="A1250" s="24" t="s">
        <v>140</v>
      </c>
      <c r="B1250" s="24" t="str">
        <f>"600301"</f>
        <v>600301</v>
      </c>
      <c r="C1250" s="24" t="s">
        <v>1471</v>
      </c>
      <c r="D1250" s="24" t="s">
        <v>256</v>
      </c>
      <c r="E1250" s="24">
        <v>147.69</v>
      </c>
      <c r="F1250" s="24">
        <v>4.76</v>
      </c>
    </row>
    <row r="1251" s="24" customFormat="1" spans="1:6">
      <c r="A1251" s="24" t="s">
        <v>142</v>
      </c>
      <c r="B1251" s="24" t="str">
        <f>"002216"</f>
        <v>002216</v>
      </c>
      <c r="C1251" s="24" t="s">
        <v>1472</v>
      </c>
      <c r="D1251" s="24" t="s">
        <v>190</v>
      </c>
      <c r="E1251" s="24">
        <v>147.63</v>
      </c>
      <c r="F1251" s="24">
        <v>5.71</v>
      </c>
    </row>
    <row r="1252" s="24" customFormat="1" spans="1:6">
      <c r="A1252" s="24" t="s">
        <v>140</v>
      </c>
      <c r="B1252" s="24" t="str">
        <f>"600851"</f>
        <v>600851</v>
      </c>
      <c r="C1252" s="24" t="s">
        <v>1473</v>
      </c>
      <c r="D1252" s="24" t="s">
        <v>997</v>
      </c>
      <c r="E1252" s="24">
        <v>147.41</v>
      </c>
      <c r="F1252" s="24">
        <v>2.62</v>
      </c>
    </row>
    <row r="1253" s="24" customFormat="1" spans="1:6">
      <c r="A1253" s="24" t="s">
        <v>140</v>
      </c>
      <c r="B1253" s="24" t="str">
        <f>"600848"</f>
        <v>600848</v>
      </c>
      <c r="C1253" s="24" t="s">
        <v>1474</v>
      </c>
      <c r="D1253" s="24" t="s">
        <v>1076</v>
      </c>
      <c r="E1253" s="24">
        <v>147.01</v>
      </c>
      <c r="F1253" s="24">
        <v>3.29</v>
      </c>
    </row>
    <row r="1254" s="24" customFormat="1" spans="1:6">
      <c r="A1254" s="24" t="s">
        <v>142</v>
      </c>
      <c r="B1254" s="24" t="str">
        <f>"300472"</f>
        <v>300472</v>
      </c>
      <c r="C1254" s="24" t="s">
        <v>1475</v>
      </c>
      <c r="D1254" s="24" t="s">
        <v>173</v>
      </c>
      <c r="E1254" s="24">
        <v>146.89</v>
      </c>
      <c r="F1254" s="24">
        <v>4.75</v>
      </c>
    </row>
    <row r="1255" s="24" customFormat="1" spans="1:6">
      <c r="A1255" s="24" t="s">
        <v>142</v>
      </c>
      <c r="B1255" s="24" t="str">
        <f>"002093"</f>
        <v>002093</v>
      </c>
      <c r="C1255" s="24" t="s">
        <v>1476</v>
      </c>
      <c r="D1255" s="24" t="s">
        <v>179</v>
      </c>
      <c r="E1255" s="24">
        <v>146.63</v>
      </c>
      <c r="F1255" s="24">
        <v>2.35</v>
      </c>
    </row>
    <row r="1256" s="24" customFormat="1" spans="1:6">
      <c r="A1256" s="24" t="s">
        <v>142</v>
      </c>
      <c r="B1256" s="24" t="str">
        <f>"000520"</f>
        <v>000520</v>
      </c>
      <c r="C1256" s="24" t="s">
        <v>1477</v>
      </c>
      <c r="D1256" s="24" t="s">
        <v>397</v>
      </c>
      <c r="E1256" s="24">
        <v>146.61</v>
      </c>
      <c r="F1256" s="24">
        <v>8.67</v>
      </c>
    </row>
    <row r="1257" s="24" customFormat="1" spans="1:6">
      <c r="A1257" s="24" t="s">
        <v>140</v>
      </c>
      <c r="B1257" s="24" t="str">
        <f>"600171"</f>
        <v>600171</v>
      </c>
      <c r="C1257" s="24" t="s">
        <v>1478</v>
      </c>
      <c r="D1257" s="24" t="s">
        <v>276</v>
      </c>
      <c r="E1257" s="24">
        <v>146.3</v>
      </c>
      <c r="F1257" s="24">
        <v>5.72</v>
      </c>
    </row>
    <row r="1258" s="24" customFormat="1" spans="1:6">
      <c r="A1258" s="24" t="s">
        <v>142</v>
      </c>
      <c r="B1258" s="24" t="str">
        <f>"002399"</f>
        <v>002399</v>
      </c>
      <c r="C1258" s="24" t="s">
        <v>1479</v>
      </c>
      <c r="D1258" s="24" t="s">
        <v>997</v>
      </c>
      <c r="E1258" s="24">
        <v>146.03</v>
      </c>
      <c r="F1258" s="24">
        <v>6.99</v>
      </c>
    </row>
    <row r="1259" s="24" customFormat="1" spans="1:6">
      <c r="A1259" s="24" t="s">
        <v>140</v>
      </c>
      <c r="B1259" s="24" t="str">
        <f>"600640"</f>
        <v>600640</v>
      </c>
      <c r="C1259" s="24" t="s">
        <v>1480</v>
      </c>
      <c r="D1259" s="24" t="s">
        <v>467</v>
      </c>
      <c r="E1259" s="24">
        <v>145.87</v>
      </c>
      <c r="F1259" s="24">
        <v>3.67</v>
      </c>
    </row>
    <row r="1260" s="24" customFormat="1" spans="1:6">
      <c r="A1260" s="24" t="s">
        <v>142</v>
      </c>
      <c r="B1260" s="24" t="str">
        <f>"002741"</f>
        <v>002741</v>
      </c>
      <c r="C1260" s="24" t="s">
        <v>1481</v>
      </c>
      <c r="D1260" s="24" t="s">
        <v>256</v>
      </c>
      <c r="E1260" s="24">
        <v>145.27</v>
      </c>
      <c r="F1260" s="24">
        <v>3.7</v>
      </c>
    </row>
    <row r="1261" s="24" customFormat="1" spans="1:6">
      <c r="A1261" s="24" t="s">
        <v>140</v>
      </c>
      <c r="B1261" s="24" t="str">
        <f>"601212"</f>
        <v>601212</v>
      </c>
      <c r="C1261" s="24" t="s">
        <v>1482</v>
      </c>
      <c r="D1261" s="24" t="s">
        <v>167</v>
      </c>
      <c r="E1261" s="24">
        <v>145.23</v>
      </c>
      <c r="F1261" s="24">
        <v>2.05</v>
      </c>
    </row>
    <row r="1262" s="24" customFormat="1" spans="1:6">
      <c r="A1262" s="24" t="s">
        <v>140</v>
      </c>
      <c r="B1262" s="24" t="str">
        <f>"600787"</f>
        <v>600787</v>
      </c>
      <c r="C1262" s="24" t="s">
        <v>1483</v>
      </c>
      <c r="D1262" s="24" t="s">
        <v>177</v>
      </c>
      <c r="E1262" s="24">
        <v>145.14</v>
      </c>
      <c r="F1262" s="24">
        <v>0.97</v>
      </c>
    </row>
    <row r="1263" s="24" customFormat="1" spans="1:6">
      <c r="A1263" s="24" t="s">
        <v>142</v>
      </c>
      <c r="B1263" s="24" t="str">
        <f>"002714"</f>
        <v>002714</v>
      </c>
      <c r="C1263" s="24" t="s">
        <v>1484</v>
      </c>
      <c r="D1263" s="24" t="s">
        <v>145</v>
      </c>
      <c r="E1263" s="24">
        <v>144.96</v>
      </c>
      <c r="F1263" s="24">
        <v>13.45</v>
      </c>
    </row>
    <row r="1264" s="24" customFormat="1" spans="1:6">
      <c r="A1264" s="24" t="s">
        <v>140</v>
      </c>
      <c r="B1264" s="24" t="str">
        <f>"600831"</f>
        <v>600831</v>
      </c>
      <c r="C1264" s="24" t="s">
        <v>1485</v>
      </c>
      <c r="D1264" s="24" t="s">
        <v>170</v>
      </c>
      <c r="E1264" s="24">
        <v>144.41</v>
      </c>
      <c r="F1264" s="24">
        <v>1.69</v>
      </c>
    </row>
    <row r="1265" s="24" customFormat="1" spans="1:6">
      <c r="A1265" s="24" t="s">
        <v>142</v>
      </c>
      <c r="B1265" s="24" t="str">
        <f>"300110"</f>
        <v>300110</v>
      </c>
      <c r="C1265" s="24" t="s">
        <v>1486</v>
      </c>
      <c r="D1265" s="24" t="s">
        <v>464</v>
      </c>
      <c r="E1265" s="24">
        <v>144.33</v>
      </c>
      <c r="F1265" s="24">
        <v>2.48</v>
      </c>
    </row>
    <row r="1266" s="24" customFormat="1" spans="1:6">
      <c r="A1266" s="24" t="s">
        <v>142</v>
      </c>
      <c r="B1266" s="24" t="str">
        <f>"300678"</f>
        <v>300678</v>
      </c>
      <c r="C1266" s="24" t="s">
        <v>1487</v>
      </c>
      <c r="D1266" s="24" t="s">
        <v>159</v>
      </c>
      <c r="E1266" s="24">
        <v>144.25</v>
      </c>
      <c r="F1266" s="24">
        <v>6.66</v>
      </c>
    </row>
    <row r="1267" s="24" customFormat="1" spans="1:6">
      <c r="A1267" s="24" t="s">
        <v>142</v>
      </c>
      <c r="B1267" s="24" t="str">
        <f>"300542"</f>
        <v>300542</v>
      </c>
      <c r="C1267" s="24" t="s">
        <v>1488</v>
      </c>
      <c r="D1267" s="24" t="s">
        <v>163</v>
      </c>
      <c r="E1267" s="24">
        <v>143.02</v>
      </c>
      <c r="F1267" s="24">
        <v>7.76</v>
      </c>
    </row>
    <row r="1268" s="24" customFormat="1" spans="1:6">
      <c r="A1268" s="24" t="s">
        <v>140</v>
      </c>
      <c r="B1268" s="24" t="str">
        <f>"603079"</f>
        <v>603079</v>
      </c>
      <c r="C1268" s="24" t="s">
        <v>1489</v>
      </c>
      <c r="D1268" s="24" t="s">
        <v>464</v>
      </c>
      <c r="E1268" s="24">
        <v>143.02</v>
      </c>
      <c r="F1268" s="24">
        <v>5.5</v>
      </c>
    </row>
    <row r="1269" s="24" customFormat="1" spans="1:6">
      <c r="A1269" s="24" t="s">
        <v>140</v>
      </c>
      <c r="B1269" s="24" t="str">
        <f>"688122"</f>
        <v>688122</v>
      </c>
      <c r="C1269" s="24" t="s">
        <v>1490</v>
      </c>
      <c r="D1269" s="24" t="s">
        <v>1003</v>
      </c>
      <c r="E1269" s="24">
        <v>142.99</v>
      </c>
      <c r="F1269" s="24">
        <v>6.64</v>
      </c>
    </row>
    <row r="1270" s="24" customFormat="1" spans="1:6">
      <c r="A1270" s="24" t="s">
        <v>140</v>
      </c>
      <c r="B1270" s="24" t="str">
        <f>"603880"</f>
        <v>603880</v>
      </c>
      <c r="C1270" s="24" t="s">
        <v>1491</v>
      </c>
      <c r="D1270" s="24" t="s">
        <v>618</v>
      </c>
      <c r="E1270" s="24">
        <v>142.26</v>
      </c>
      <c r="F1270" s="24">
        <v>4.64</v>
      </c>
    </row>
    <row r="1271" s="24" customFormat="1" spans="1:6">
      <c r="A1271" s="24" t="s">
        <v>140</v>
      </c>
      <c r="B1271" s="24" t="str">
        <f>"688159"</f>
        <v>688159</v>
      </c>
      <c r="C1271" s="24" t="s">
        <v>1492</v>
      </c>
      <c r="D1271" s="24"/>
      <c r="E1271" s="24">
        <v>141.96</v>
      </c>
      <c r="F1271" s="24">
        <v>6.64</v>
      </c>
    </row>
    <row r="1272" s="24" customFormat="1" spans="1:6">
      <c r="A1272" s="24" t="s">
        <v>140</v>
      </c>
      <c r="B1272" s="24" t="str">
        <f>"601606"</f>
        <v>601606</v>
      </c>
      <c r="C1272" s="24" t="s">
        <v>1493</v>
      </c>
      <c r="D1272" s="24" t="s">
        <v>395</v>
      </c>
      <c r="E1272" s="24">
        <v>141.07</v>
      </c>
      <c r="F1272" s="24">
        <v>3.32</v>
      </c>
    </row>
    <row r="1273" s="24" customFormat="1" spans="1:6">
      <c r="A1273" s="24" t="s">
        <v>142</v>
      </c>
      <c r="B1273" s="24" t="str">
        <f>"002074"</f>
        <v>002074</v>
      </c>
      <c r="C1273" s="24" t="s">
        <v>1494</v>
      </c>
      <c r="D1273" s="24" t="s">
        <v>251</v>
      </c>
      <c r="E1273" s="24">
        <v>141.02</v>
      </c>
      <c r="F1273" s="24">
        <v>3.16</v>
      </c>
    </row>
    <row r="1274" s="24" customFormat="1" spans="1:6">
      <c r="A1274" s="24" t="s">
        <v>142</v>
      </c>
      <c r="B1274" s="24" t="str">
        <f>"002162"</f>
        <v>002162</v>
      </c>
      <c r="C1274" s="24" t="s">
        <v>1495</v>
      </c>
      <c r="D1274" s="24" t="s">
        <v>573</v>
      </c>
      <c r="E1274" s="24">
        <v>140.75</v>
      </c>
      <c r="F1274" s="24">
        <v>3.11</v>
      </c>
    </row>
    <row r="1275" s="24" customFormat="1" spans="1:6">
      <c r="A1275" s="24" t="s">
        <v>142</v>
      </c>
      <c r="B1275" s="24" t="str">
        <f>"300566"</f>
        <v>300566</v>
      </c>
      <c r="C1275" s="24" t="s">
        <v>1496</v>
      </c>
      <c r="D1275" s="24" t="s">
        <v>230</v>
      </c>
      <c r="E1275" s="24">
        <v>140.6</v>
      </c>
      <c r="F1275" s="24">
        <v>5.86</v>
      </c>
    </row>
    <row r="1276" s="24" customFormat="1" spans="1:6">
      <c r="A1276" s="24" t="s">
        <v>140</v>
      </c>
      <c r="B1276" s="24" t="str">
        <f>"603990"</f>
        <v>603990</v>
      </c>
      <c r="C1276" s="24" t="s">
        <v>1497</v>
      </c>
      <c r="D1276" s="24" t="s">
        <v>156</v>
      </c>
      <c r="E1276" s="24">
        <v>140.54</v>
      </c>
      <c r="F1276" s="24">
        <v>11.05</v>
      </c>
    </row>
    <row r="1277" s="24" customFormat="1" spans="1:6">
      <c r="A1277" s="24" t="s">
        <v>140</v>
      </c>
      <c r="B1277" s="24" t="str">
        <f>"600288"</f>
        <v>600288</v>
      </c>
      <c r="C1277" s="24" t="s">
        <v>1498</v>
      </c>
      <c r="D1277" s="24" t="s">
        <v>152</v>
      </c>
      <c r="E1277" s="24">
        <v>140.3</v>
      </c>
      <c r="F1277" s="24">
        <v>3.48</v>
      </c>
    </row>
    <row r="1278" s="24" customFormat="1" spans="1:6">
      <c r="A1278" s="24" t="s">
        <v>142</v>
      </c>
      <c r="B1278" s="24" t="str">
        <f>"002411"</f>
        <v>002411</v>
      </c>
      <c r="C1278" s="24" t="s">
        <v>1499</v>
      </c>
      <c r="D1278" s="24" t="s">
        <v>464</v>
      </c>
      <c r="E1278" s="24">
        <v>139.29</v>
      </c>
      <c r="F1278" s="24">
        <v>2.42</v>
      </c>
    </row>
    <row r="1279" s="24" customFormat="1" spans="1:6">
      <c r="A1279" s="24" t="s">
        <v>140</v>
      </c>
      <c r="B1279" s="24" t="str">
        <f>"603019"</f>
        <v>603019</v>
      </c>
      <c r="C1279" s="24" t="s">
        <v>1500</v>
      </c>
      <c r="D1279" s="24" t="s">
        <v>352</v>
      </c>
      <c r="E1279" s="24">
        <v>139.24</v>
      </c>
      <c r="F1279" s="24">
        <v>10.95</v>
      </c>
    </row>
    <row r="1280" s="24" customFormat="1" spans="1:6">
      <c r="A1280" s="24" t="s">
        <v>140</v>
      </c>
      <c r="B1280" s="24" t="str">
        <f>"601068"</f>
        <v>601068</v>
      </c>
      <c r="C1280" s="24" t="s">
        <v>1501</v>
      </c>
      <c r="D1280" s="24" t="s">
        <v>315</v>
      </c>
      <c r="E1280" s="24">
        <v>138.54</v>
      </c>
      <c r="F1280" s="24">
        <v>1.48</v>
      </c>
    </row>
    <row r="1281" s="24" customFormat="1" spans="1:6">
      <c r="A1281" s="24" t="s">
        <v>140</v>
      </c>
      <c r="B1281" s="24" t="str">
        <f>"603628"</f>
        <v>603628</v>
      </c>
      <c r="C1281" s="24" t="s">
        <v>1502</v>
      </c>
      <c r="D1281" s="24" t="s">
        <v>251</v>
      </c>
      <c r="E1281" s="24">
        <v>138.36</v>
      </c>
      <c r="F1281" s="24">
        <v>2.15</v>
      </c>
    </row>
    <row r="1282" s="24" customFormat="1" spans="1:6">
      <c r="A1282" s="24" t="s">
        <v>140</v>
      </c>
      <c r="B1282" s="24" t="str">
        <f>"688026"</f>
        <v>688026</v>
      </c>
      <c r="C1282" s="24" t="s">
        <v>1503</v>
      </c>
      <c r="D1282" s="24"/>
      <c r="E1282" s="24">
        <v>138.22</v>
      </c>
      <c r="F1282" s="24">
        <v>11.02</v>
      </c>
    </row>
    <row r="1283" s="24" customFormat="1" spans="1:6">
      <c r="A1283" s="24" t="s">
        <v>142</v>
      </c>
      <c r="B1283" s="24" t="str">
        <f>"002740"</f>
        <v>002740</v>
      </c>
      <c r="C1283" s="24" t="s">
        <v>1504</v>
      </c>
      <c r="D1283" s="24" t="s">
        <v>161</v>
      </c>
      <c r="E1283" s="24">
        <v>137.53</v>
      </c>
      <c r="F1283" s="24">
        <v>2.06</v>
      </c>
    </row>
    <row r="1284" s="24" customFormat="1" spans="1:6">
      <c r="A1284" s="24" t="s">
        <v>140</v>
      </c>
      <c r="B1284" s="24" t="str">
        <f>"603768"</f>
        <v>603768</v>
      </c>
      <c r="C1284" s="24" t="s">
        <v>1505</v>
      </c>
      <c r="D1284" s="24" t="s">
        <v>204</v>
      </c>
      <c r="E1284" s="24">
        <v>137.08</v>
      </c>
      <c r="F1284" s="24">
        <v>1.15</v>
      </c>
    </row>
    <row r="1285" s="24" customFormat="1" spans="1:6">
      <c r="A1285" s="24" t="s">
        <v>142</v>
      </c>
      <c r="B1285" s="24" t="str">
        <f>"002842"</f>
        <v>002842</v>
      </c>
      <c r="C1285" s="24" t="s">
        <v>1506</v>
      </c>
      <c r="D1285" s="24" t="s">
        <v>167</v>
      </c>
      <c r="E1285" s="24">
        <v>136.54</v>
      </c>
      <c r="F1285" s="24">
        <v>3.78</v>
      </c>
    </row>
    <row r="1286" s="24" customFormat="1" spans="1:6">
      <c r="A1286" s="24" t="s">
        <v>140</v>
      </c>
      <c r="B1286" s="24" t="str">
        <f>"603655"</f>
        <v>603655</v>
      </c>
      <c r="C1286" s="24" t="s">
        <v>1507</v>
      </c>
      <c r="D1286" s="24" t="s">
        <v>204</v>
      </c>
      <c r="E1286" s="24">
        <v>136.16</v>
      </c>
      <c r="F1286" s="24">
        <v>4.56</v>
      </c>
    </row>
    <row r="1287" s="24" customFormat="1" spans="1:6">
      <c r="A1287" s="24" t="s">
        <v>142</v>
      </c>
      <c r="B1287" s="24" t="str">
        <f>"002823"</f>
        <v>002823</v>
      </c>
      <c r="C1287" s="24" t="s">
        <v>1508</v>
      </c>
      <c r="D1287" s="24" t="s">
        <v>251</v>
      </c>
      <c r="E1287" s="24">
        <v>135.76</v>
      </c>
      <c r="F1287" s="24">
        <v>3.08</v>
      </c>
    </row>
    <row r="1288" s="24" customFormat="1" spans="1:6">
      <c r="A1288" s="24" t="s">
        <v>140</v>
      </c>
      <c r="B1288" s="24" t="str">
        <f>"688080"</f>
        <v>688080</v>
      </c>
      <c r="C1288" s="24" t="s">
        <v>1509</v>
      </c>
      <c r="D1288" s="24"/>
      <c r="E1288" s="24">
        <v>135.35</v>
      </c>
      <c r="F1288" s="24">
        <v>11.14</v>
      </c>
    </row>
    <row r="1289" s="24" customFormat="1" spans="1:6">
      <c r="A1289" s="24" t="s">
        <v>142</v>
      </c>
      <c r="B1289" s="24" t="str">
        <f>"002752"</f>
        <v>002752</v>
      </c>
      <c r="C1289" s="24" t="s">
        <v>1510</v>
      </c>
      <c r="D1289" s="24" t="s">
        <v>290</v>
      </c>
      <c r="E1289" s="24">
        <v>135.24</v>
      </c>
      <c r="F1289" s="24">
        <v>2.91</v>
      </c>
    </row>
    <row r="1290" s="24" customFormat="1" spans="1:6">
      <c r="A1290" s="24" t="s">
        <v>142</v>
      </c>
      <c r="B1290" s="24" t="str">
        <f>"300562"</f>
        <v>300562</v>
      </c>
      <c r="C1290" s="24" t="s">
        <v>1511</v>
      </c>
      <c r="D1290" s="24" t="s">
        <v>618</v>
      </c>
      <c r="E1290" s="24">
        <v>134.84</v>
      </c>
      <c r="F1290" s="24">
        <v>7.21</v>
      </c>
    </row>
    <row r="1291" s="24" customFormat="1" spans="1:6">
      <c r="A1291" s="24" t="s">
        <v>140</v>
      </c>
      <c r="B1291" s="24" t="str">
        <f>"603039"</f>
        <v>603039</v>
      </c>
      <c r="C1291" s="24" t="s">
        <v>1512</v>
      </c>
      <c r="D1291" s="24" t="s">
        <v>156</v>
      </c>
      <c r="E1291" s="24">
        <v>134.74</v>
      </c>
      <c r="F1291" s="24">
        <v>16.34</v>
      </c>
    </row>
    <row r="1292" s="24" customFormat="1" spans="1:6">
      <c r="A1292" s="24" t="s">
        <v>142</v>
      </c>
      <c r="B1292" s="24" t="str">
        <f>"002252"</f>
        <v>002252</v>
      </c>
      <c r="C1292" s="24" t="s">
        <v>1513</v>
      </c>
      <c r="D1292" s="24" t="s">
        <v>326</v>
      </c>
      <c r="E1292" s="24">
        <v>133.79</v>
      </c>
      <c r="F1292" s="24">
        <v>7.89</v>
      </c>
    </row>
    <row r="1293" s="24" customFormat="1" spans="1:6">
      <c r="A1293" s="24" t="s">
        <v>142</v>
      </c>
      <c r="B1293" s="24" t="str">
        <f>"300651"</f>
        <v>300651</v>
      </c>
      <c r="C1293" s="24" t="s">
        <v>1514</v>
      </c>
      <c r="D1293" s="24" t="s">
        <v>283</v>
      </c>
      <c r="E1293" s="24">
        <v>133.78</v>
      </c>
      <c r="F1293" s="24">
        <v>4.97</v>
      </c>
    </row>
    <row r="1294" s="24" customFormat="1" spans="1:6">
      <c r="A1294" s="24" t="s">
        <v>140</v>
      </c>
      <c r="B1294" s="24" t="str">
        <f>"600884"</f>
        <v>600884</v>
      </c>
      <c r="C1294" s="24" t="s">
        <v>1515</v>
      </c>
      <c r="D1294" s="24" t="s">
        <v>152</v>
      </c>
      <c r="E1294" s="24">
        <v>133.46</v>
      </c>
      <c r="F1294" s="24">
        <v>1.55</v>
      </c>
    </row>
    <row r="1295" s="24" customFormat="1" spans="1:6">
      <c r="A1295" s="24" t="s">
        <v>140</v>
      </c>
      <c r="B1295" s="24" t="str">
        <f>"603236"</f>
        <v>603236</v>
      </c>
      <c r="C1295" s="24" t="s">
        <v>1516</v>
      </c>
      <c r="D1295" s="24" t="s">
        <v>193</v>
      </c>
      <c r="E1295" s="24">
        <v>132.86</v>
      </c>
      <c r="F1295" s="24">
        <v>12.03</v>
      </c>
    </row>
    <row r="1296" s="24" customFormat="1" spans="1:6">
      <c r="A1296" s="24" t="s">
        <v>142</v>
      </c>
      <c r="B1296" s="24" t="str">
        <f>"300188"</f>
        <v>300188</v>
      </c>
      <c r="C1296" s="24" t="s">
        <v>1517</v>
      </c>
      <c r="D1296" s="24" t="s">
        <v>159</v>
      </c>
      <c r="E1296" s="24">
        <v>132.37</v>
      </c>
      <c r="F1296" s="24">
        <v>9.22</v>
      </c>
    </row>
    <row r="1297" s="24" customFormat="1" spans="1:6">
      <c r="A1297" s="24" t="s">
        <v>142</v>
      </c>
      <c r="B1297" s="24" t="str">
        <f>"002631"</f>
        <v>002631</v>
      </c>
      <c r="C1297" s="24" t="s">
        <v>1518</v>
      </c>
      <c r="D1297" s="24" t="s">
        <v>509</v>
      </c>
      <c r="E1297" s="24">
        <v>132.24</v>
      </c>
      <c r="F1297" s="24">
        <v>3.24</v>
      </c>
    </row>
    <row r="1298" s="24" customFormat="1" spans="1:6">
      <c r="A1298" s="24" t="s">
        <v>142</v>
      </c>
      <c r="B1298" s="24" t="str">
        <f>"300044"</f>
        <v>300044</v>
      </c>
      <c r="C1298" s="24" t="s">
        <v>1519</v>
      </c>
      <c r="D1298" s="24" t="s">
        <v>159</v>
      </c>
      <c r="E1298" s="24">
        <v>131.75</v>
      </c>
      <c r="F1298" s="24">
        <v>4.17</v>
      </c>
    </row>
    <row r="1299" s="24" customFormat="1" spans="1:6">
      <c r="A1299" s="24" t="s">
        <v>140</v>
      </c>
      <c r="B1299" s="24" t="str">
        <f>"603138"</f>
        <v>603138</v>
      </c>
      <c r="C1299" s="24" t="s">
        <v>1520</v>
      </c>
      <c r="D1299" s="24" t="s">
        <v>159</v>
      </c>
      <c r="E1299" s="24">
        <v>131.57</v>
      </c>
      <c r="F1299" s="24">
        <v>11.25</v>
      </c>
    </row>
    <row r="1300" s="24" customFormat="1" spans="1:6">
      <c r="A1300" s="24" t="s">
        <v>140</v>
      </c>
      <c r="B1300" s="24" t="str">
        <f>"600366"</f>
        <v>600366</v>
      </c>
      <c r="C1300" s="24" t="s">
        <v>1521</v>
      </c>
      <c r="D1300" s="24" t="s">
        <v>197</v>
      </c>
      <c r="E1300" s="24">
        <v>131.32</v>
      </c>
      <c r="F1300" s="24">
        <v>1.34</v>
      </c>
    </row>
    <row r="1301" s="24" customFormat="1" spans="1:6">
      <c r="A1301" s="24" t="s">
        <v>140</v>
      </c>
      <c r="B1301" s="24" t="str">
        <f>"603773"</f>
        <v>603773</v>
      </c>
      <c r="C1301" s="24" t="s">
        <v>1522</v>
      </c>
      <c r="D1301" s="24" t="s">
        <v>230</v>
      </c>
      <c r="E1301" s="24">
        <v>131.3</v>
      </c>
      <c r="F1301" s="24">
        <v>2.02</v>
      </c>
    </row>
    <row r="1302" s="24" customFormat="1" spans="1:6">
      <c r="A1302" s="24" t="s">
        <v>140</v>
      </c>
      <c r="B1302" s="24" t="str">
        <f>"600560"</f>
        <v>600560</v>
      </c>
      <c r="C1302" s="24" t="s">
        <v>1523</v>
      </c>
      <c r="D1302" s="24" t="s">
        <v>293</v>
      </c>
      <c r="E1302" s="24">
        <v>130.98</v>
      </c>
      <c r="F1302" s="24">
        <v>2.27</v>
      </c>
    </row>
    <row r="1303" s="24" customFormat="1" spans="1:6">
      <c r="A1303" s="24" t="s">
        <v>140</v>
      </c>
      <c r="B1303" s="24" t="str">
        <f>"603676"</f>
        <v>603676</v>
      </c>
      <c r="C1303" s="24" t="s">
        <v>1524</v>
      </c>
      <c r="D1303" s="24" t="s">
        <v>464</v>
      </c>
      <c r="E1303" s="24">
        <v>130.64</v>
      </c>
      <c r="F1303" s="24">
        <v>4.71</v>
      </c>
    </row>
    <row r="1304" s="24" customFormat="1" spans="1:6">
      <c r="A1304" s="24" t="s">
        <v>142</v>
      </c>
      <c r="B1304" s="24" t="str">
        <f>"000958"</f>
        <v>000958</v>
      </c>
      <c r="C1304" s="24" t="s">
        <v>1525</v>
      </c>
      <c r="D1304" s="24" t="s">
        <v>450</v>
      </c>
      <c r="E1304" s="24">
        <v>130.46</v>
      </c>
      <c r="F1304" s="24">
        <v>1.41</v>
      </c>
    </row>
    <row r="1305" s="24" customFormat="1" spans="1:6">
      <c r="A1305" s="24" t="s">
        <v>140</v>
      </c>
      <c r="B1305" s="24" t="str">
        <f>"600521"</f>
        <v>600521</v>
      </c>
      <c r="C1305" s="24" t="s">
        <v>1526</v>
      </c>
      <c r="D1305" s="24" t="s">
        <v>997</v>
      </c>
      <c r="E1305" s="24">
        <v>129.91</v>
      </c>
      <c r="F1305" s="24">
        <v>5.12</v>
      </c>
    </row>
    <row r="1306" s="24" customFormat="1" spans="1:6">
      <c r="A1306" s="24" t="s">
        <v>142</v>
      </c>
      <c r="B1306" s="24" t="str">
        <f>"300468"</f>
        <v>300468</v>
      </c>
      <c r="C1306" s="24" t="s">
        <v>1527</v>
      </c>
      <c r="D1306" s="24" t="s">
        <v>156</v>
      </c>
      <c r="E1306" s="24">
        <v>129.87</v>
      </c>
      <c r="F1306" s="24">
        <v>7.76</v>
      </c>
    </row>
    <row r="1307" s="24" customFormat="1" spans="1:6">
      <c r="A1307" s="24" t="s">
        <v>142</v>
      </c>
      <c r="B1307" s="24" t="str">
        <f>"300225"</f>
        <v>300225</v>
      </c>
      <c r="C1307" s="24" t="s">
        <v>1528</v>
      </c>
      <c r="D1307" s="24" t="s">
        <v>228</v>
      </c>
      <c r="E1307" s="24">
        <v>129.62</v>
      </c>
      <c r="F1307" s="24">
        <v>2.8</v>
      </c>
    </row>
    <row r="1308" s="24" customFormat="1" spans="1:6">
      <c r="A1308" s="24" t="s">
        <v>140</v>
      </c>
      <c r="B1308" s="24" t="str">
        <f>"600136"</f>
        <v>600136</v>
      </c>
      <c r="C1308" s="24" t="s">
        <v>1529</v>
      </c>
      <c r="D1308" s="24" t="s">
        <v>170</v>
      </c>
      <c r="E1308" s="24">
        <v>129.54</v>
      </c>
      <c r="F1308" s="24">
        <v>4.65</v>
      </c>
    </row>
    <row r="1309" s="24" customFormat="1" spans="1:6">
      <c r="A1309" s="24" t="s">
        <v>142</v>
      </c>
      <c r="B1309" s="24" t="str">
        <f>"000831"</f>
        <v>000831</v>
      </c>
      <c r="C1309" s="24" t="s">
        <v>1530</v>
      </c>
      <c r="D1309" s="24" t="s">
        <v>167</v>
      </c>
      <c r="E1309" s="24">
        <v>129.1</v>
      </c>
      <c r="F1309" s="24">
        <v>4.87</v>
      </c>
    </row>
    <row r="1310" s="24" customFormat="1" spans="1:6">
      <c r="A1310" s="24" t="s">
        <v>140</v>
      </c>
      <c r="B1310" s="24" t="str">
        <f>"600696"</f>
        <v>600696</v>
      </c>
      <c r="C1310" s="24" t="s">
        <v>1531</v>
      </c>
      <c r="D1310" s="24" t="s">
        <v>244</v>
      </c>
      <c r="E1310" s="24">
        <v>129.07</v>
      </c>
      <c r="F1310" s="24">
        <v>14.16</v>
      </c>
    </row>
    <row r="1311" s="24" customFormat="1" spans="1:6">
      <c r="A1311" s="24" t="s">
        <v>142</v>
      </c>
      <c r="B1311" s="24" t="str">
        <f>"002679"</f>
        <v>002679</v>
      </c>
      <c r="C1311" s="24" t="s">
        <v>1532</v>
      </c>
      <c r="D1311" s="24" t="s">
        <v>509</v>
      </c>
      <c r="E1311" s="24">
        <v>129.07</v>
      </c>
      <c r="F1311" s="24">
        <v>5.19</v>
      </c>
    </row>
    <row r="1312" s="24" customFormat="1" spans="1:6">
      <c r="A1312" s="24" t="s">
        <v>142</v>
      </c>
      <c r="B1312" s="24" t="str">
        <f>"002370"</f>
        <v>002370</v>
      </c>
      <c r="C1312" s="24" t="s">
        <v>1533</v>
      </c>
      <c r="D1312" s="24" t="s">
        <v>464</v>
      </c>
      <c r="E1312" s="24">
        <v>128.69</v>
      </c>
      <c r="F1312" s="24">
        <v>2.19</v>
      </c>
    </row>
    <row r="1313" s="24" customFormat="1" spans="1:6">
      <c r="A1313" s="24" t="s">
        <v>140</v>
      </c>
      <c r="B1313" s="24" t="str">
        <f>"600570"</f>
        <v>600570</v>
      </c>
      <c r="C1313" s="24" t="s">
        <v>1534</v>
      </c>
      <c r="D1313" s="24" t="s">
        <v>813</v>
      </c>
      <c r="E1313" s="24">
        <v>128.57</v>
      </c>
      <c r="F1313" s="24">
        <v>22.33</v>
      </c>
    </row>
    <row r="1314" s="24" customFormat="1" spans="1:6">
      <c r="A1314" s="24" t="s">
        <v>142</v>
      </c>
      <c r="B1314" s="24" t="str">
        <f>"300386"</f>
        <v>300386</v>
      </c>
      <c r="C1314" s="24" t="s">
        <v>1535</v>
      </c>
      <c r="D1314" s="24" t="s">
        <v>156</v>
      </c>
      <c r="E1314" s="24">
        <v>128.15</v>
      </c>
      <c r="F1314" s="24">
        <v>4.19</v>
      </c>
    </row>
    <row r="1315" s="24" customFormat="1" spans="1:6">
      <c r="A1315" s="24" t="s">
        <v>142</v>
      </c>
      <c r="B1315" s="24" t="str">
        <f>"300103"</f>
        <v>300103</v>
      </c>
      <c r="C1315" s="24" t="s">
        <v>1536</v>
      </c>
      <c r="D1315" s="24" t="s">
        <v>173</v>
      </c>
      <c r="E1315" s="24">
        <v>126.46</v>
      </c>
      <c r="F1315" s="24">
        <v>4.92</v>
      </c>
    </row>
    <row r="1316" s="24" customFormat="1" spans="1:6">
      <c r="A1316" s="24" t="s">
        <v>140</v>
      </c>
      <c r="B1316" s="24" t="str">
        <f>"600753"</f>
        <v>600753</v>
      </c>
      <c r="C1316" s="24" t="s">
        <v>1537</v>
      </c>
      <c r="D1316" s="24" t="s">
        <v>267</v>
      </c>
      <c r="E1316" s="24">
        <v>126.17</v>
      </c>
      <c r="F1316" s="24">
        <v>8.81</v>
      </c>
    </row>
    <row r="1317" s="24" customFormat="1" spans="1:6">
      <c r="A1317" s="24" t="s">
        <v>142</v>
      </c>
      <c r="B1317" s="24" t="str">
        <f>"002961"</f>
        <v>002961</v>
      </c>
      <c r="C1317" s="24" t="s">
        <v>1538</v>
      </c>
      <c r="D1317" s="24" t="s">
        <v>813</v>
      </c>
      <c r="E1317" s="24">
        <v>126.08</v>
      </c>
      <c r="F1317" s="24">
        <v>8.13</v>
      </c>
    </row>
    <row r="1318" s="24" customFormat="1" spans="1:6">
      <c r="A1318" s="24" t="s">
        <v>142</v>
      </c>
      <c r="B1318" s="24" t="str">
        <f>"000416"</f>
        <v>000416</v>
      </c>
      <c r="C1318" s="24" t="s">
        <v>1539</v>
      </c>
      <c r="D1318" s="24" t="s">
        <v>280</v>
      </c>
      <c r="E1318" s="24">
        <v>125.65</v>
      </c>
      <c r="F1318" s="24">
        <v>2.79</v>
      </c>
    </row>
    <row r="1319" s="24" customFormat="1" spans="1:6">
      <c r="A1319" s="24" t="s">
        <v>142</v>
      </c>
      <c r="B1319" s="24" t="str">
        <f>"002835"</f>
        <v>002835</v>
      </c>
      <c r="C1319" s="24" t="s">
        <v>1540</v>
      </c>
      <c r="D1319" s="24" t="s">
        <v>152</v>
      </c>
      <c r="E1319" s="24">
        <v>125.5</v>
      </c>
      <c r="F1319" s="24">
        <v>3.63</v>
      </c>
    </row>
    <row r="1320" s="24" customFormat="1" spans="1:6">
      <c r="A1320" s="24" t="s">
        <v>140</v>
      </c>
      <c r="B1320" s="24" t="str">
        <f>"601208"</f>
        <v>601208</v>
      </c>
      <c r="C1320" s="24" t="s">
        <v>1541</v>
      </c>
      <c r="D1320" s="24" t="s">
        <v>256</v>
      </c>
      <c r="E1320" s="24">
        <v>124.97</v>
      </c>
      <c r="F1320" s="24">
        <v>1.37</v>
      </c>
    </row>
    <row r="1321" s="24" customFormat="1" spans="1:6">
      <c r="A1321" s="24" t="s">
        <v>142</v>
      </c>
      <c r="B1321" s="24" t="str">
        <f>"300521"</f>
        <v>300521</v>
      </c>
      <c r="C1321" s="24" t="s">
        <v>1542</v>
      </c>
      <c r="D1321" s="24" t="s">
        <v>173</v>
      </c>
      <c r="E1321" s="24">
        <v>124.19</v>
      </c>
      <c r="F1321" s="24">
        <v>2.65</v>
      </c>
    </row>
    <row r="1322" s="24" customFormat="1" spans="1:6">
      <c r="A1322" s="24" t="s">
        <v>142</v>
      </c>
      <c r="B1322" s="24" t="str">
        <f>"300474"</f>
        <v>300474</v>
      </c>
      <c r="C1322" s="24" t="s">
        <v>1543</v>
      </c>
      <c r="D1322" s="24" t="s">
        <v>152</v>
      </c>
      <c r="E1322" s="24">
        <v>123.95</v>
      </c>
      <c r="F1322" s="24">
        <v>8.4</v>
      </c>
    </row>
    <row r="1323" s="24" customFormat="1" spans="1:6">
      <c r="A1323" s="24" t="s">
        <v>142</v>
      </c>
      <c r="B1323" s="24" t="str">
        <f>"300369"</f>
        <v>300369</v>
      </c>
      <c r="C1323" s="24" t="s">
        <v>1544</v>
      </c>
      <c r="D1323" s="24" t="s">
        <v>163</v>
      </c>
      <c r="E1323" s="24">
        <v>123.52</v>
      </c>
      <c r="F1323" s="24">
        <v>7.71</v>
      </c>
    </row>
    <row r="1324" s="24" customFormat="1" spans="1:6">
      <c r="A1324" s="24" t="s">
        <v>140</v>
      </c>
      <c r="B1324" s="24" t="str">
        <f>"600190"</f>
        <v>600190</v>
      </c>
      <c r="C1324" s="24" t="s">
        <v>1545</v>
      </c>
      <c r="D1324" s="24" t="s">
        <v>1016</v>
      </c>
      <c r="E1324" s="24">
        <v>123.04</v>
      </c>
      <c r="F1324" s="24">
        <v>0.85</v>
      </c>
    </row>
    <row r="1325" s="24" customFormat="1" spans="1:6">
      <c r="A1325" s="24" t="s">
        <v>142</v>
      </c>
      <c r="B1325" s="24" t="str">
        <f>"300354"</f>
        <v>300354</v>
      </c>
      <c r="C1325" s="24" t="s">
        <v>1546</v>
      </c>
      <c r="D1325" s="24" t="s">
        <v>152</v>
      </c>
      <c r="E1325" s="24">
        <v>122.99</v>
      </c>
      <c r="F1325" s="24">
        <v>4.26</v>
      </c>
    </row>
    <row r="1326" s="24" customFormat="1" spans="1:6">
      <c r="A1326" s="24" t="s">
        <v>140</v>
      </c>
      <c r="B1326" s="24" t="str">
        <f>"688098"</f>
        <v>688098</v>
      </c>
      <c r="C1326" s="24" t="s">
        <v>1547</v>
      </c>
      <c r="D1326" s="24" t="s">
        <v>326</v>
      </c>
      <c r="E1326" s="24">
        <v>122.67</v>
      </c>
      <c r="F1326" s="24">
        <v>7.27</v>
      </c>
    </row>
    <row r="1327" s="24" customFormat="1" spans="1:6">
      <c r="A1327" s="24" t="s">
        <v>142</v>
      </c>
      <c r="B1327" s="24" t="str">
        <f>"300462"</f>
        <v>300462</v>
      </c>
      <c r="C1327" s="24" t="s">
        <v>1548</v>
      </c>
      <c r="D1327" s="24" t="s">
        <v>152</v>
      </c>
      <c r="E1327" s="24">
        <v>122.66</v>
      </c>
      <c r="F1327" s="24">
        <v>3.39</v>
      </c>
    </row>
    <row r="1328" s="24" customFormat="1" spans="1:6">
      <c r="A1328" s="24" t="s">
        <v>142</v>
      </c>
      <c r="B1328" s="24" t="str">
        <f>"002324"</f>
        <v>002324</v>
      </c>
      <c r="C1328" s="24" t="s">
        <v>1549</v>
      </c>
      <c r="D1328" s="24" t="s">
        <v>228</v>
      </c>
      <c r="E1328" s="24">
        <v>122.3</v>
      </c>
      <c r="F1328" s="24">
        <v>3.61</v>
      </c>
    </row>
    <row r="1329" s="24" customFormat="1" spans="1:6">
      <c r="A1329" s="24" t="s">
        <v>140</v>
      </c>
      <c r="B1329" s="24" t="str">
        <f>"600184"</f>
        <v>600184</v>
      </c>
      <c r="C1329" s="24" t="s">
        <v>1550</v>
      </c>
      <c r="D1329" s="24" t="s">
        <v>395</v>
      </c>
      <c r="E1329" s="24">
        <v>122.28</v>
      </c>
      <c r="F1329" s="24">
        <v>2.15</v>
      </c>
    </row>
    <row r="1330" s="24" customFormat="1" spans="1:6">
      <c r="A1330" s="24" t="s">
        <v>140</v>
      </c>
      <c r="B1330" s="24" t="str">
        <f>"688333"</f>
        <v>688333</v>
      </c>
      <c r="C1330" s="24" t="s">
        <v>1551</v>
      </c>
      <c r="D1330" s="24" t="s">
        <v>173</v>
      </c>
      <c r="E1330" s="24">
        <v>122.23</v>
      </c>
      <c r="F1330" s="24">
        <v>4.69</v>
      </c>
    </row>
    <row r="1331" s="24" customFormat="1" spans="1:6">
      <c r="A1331" s="24" t="s">
        <v>142</v>
      </c>
      <c r="B1331" s="24" t="str">
        <f>"000812"</f>
        <v>000812</v>
      </c>
      <c r="C1331" s="24" t="s">
        <v>1552</v>
      </c>
      <c r="D1331" s="24" t="s">
        <v>214</v>
      </c>
      <c r="E1331" s="24">
        <v>121.7</v>
      </c>
      <c r="F1331" s="24">
        <v>2.39</v>
      </c>
    </row>
    <row r="1332" s="24" customFormat="1" spans="1:6">
      <c r="A1332" s="24" t="s">
        <v>142</v>
      </c>
      <c r="B1332" s="24" t="str">
        <f>"002400"</f>
        <v>002400</v>
      </c>
      <c r="C1332" s="24" t="s">
        <v>1553</v>
      </c>
      <c r="D1332" s="24" t="s">
        <v>170</v>
      </c>
      <c r="E1332" s="24">
        <v>121.43</v>
      </c>
      <c r="F1332" s="24">
        <v>1.44</v>
      </c>
    </row>
    <row r="1333" s="24" customFormat="1" spans="1:6">
      <c r="A1333" s="24" t="s">
        <v>142</v>
      </c>
      <c r="B1333" s="24" t="str">
        <f>"300081"</f>
        <v>300081</v>
      </c>
      <c r="C1333" s="24" t="s">
        <v>1554</v>
      </c>
      <c r="D1333" s="24" t="s">
        <v>156</v>
      </c>
      <c r="E1333" s="24">
        <v>121.37</v>
      </c>
      <c r="F1333" s="24">
        <v>2.92</v>
      </c>
    </row>
    <row r="1334" s="24" customFormat="1" spans="1:6">
      <c r="A1334" s="24" t="s">
        <v>140</v>
      </c>
      <c r="B1334" s="24" t="str">
        <f>"688001"</f>
        <v>688001</v>
      </c>
      <c r="C1334" s="24" t="s">
        <v>1555</v>
      </c>
      <c r="D1334" s="24" t="s">
        <v>152</v>
      </c>
      <c r="E1334" s="24">
        <v>121.08</v>
      </c>
      <c r="F1334" s="24">
        <v>11.46</v>
      </c>
    </row>
    <row r="1335" s="24" customFormat="1" spans="1:6">
      <c r="A1335" s="24" t="s">
        <v>142</v>
      </c>
      <c r="B1335" s="24" t="str">
        <f>"300494"</f>
        <v>300494</v>
      </c>
      <c r="C1335" s="24" t="s">
        <v>1556</v>
      </c>
      <c r="D1335" s="24" t="s">
        <v>163</v>
      </c>
      <c r="E1335" s="24">
        <v>120.77</v>
      </c>
      <c r="F1335" s="24">
        <v>5.11</v>
      </c>
    </row>
    <row r="1336" s="24" customFormat="1" spans="1:6">
      <c r="A1336" s="24" t="s">
        <v>142</v>
      </c>
      <c r="B1336" s="24" t="str">
        <f>"300399"</f>
        <v>300399</v>
      </c>
      <c r="C1336" s="24" t="s">
        <v>1557</v>
      </c>
      <c r="D1336" s="24" t="s">
        <v>163</v>
      </c>
      <c r="E1336" s="24">
        <v>120.55</v>
      </c>
      <c r="F1336" s="24">
        <v>5.64</v>
      </c>
    </row>
    <row r="1337" s="24" customFormat="1" spans="1:6">
      <c r="A1337" s="24" t="s">
        <v>140</v>
      </c>
      <c r="B1337" s="24" t="str">
        <f>"688123"</f>
        <v>688123</v>
      </c>
      <c r="C1337" s="24" t="s">
        <v>1558</v>
      </c>
      <c r="D1337" s="24" t="s">
        <v>276</v>
      </c>
      <c r="E1337" s="24">
        <v>119.11</v>
      </c>
      <c r="F1337" s="24">
        <v>8.37</v>
      </c>
    </row>
    <row r="1338" s="24" customFormat="1" spans="1:6">
      <c r="A1338" s="24" t="s">
        <v>142</v>
      </c>
      <c r="B1338" s="24" t="str">
        <f>"002828"</f>
        <v>002828</v>
      </c>
      <c r="C1338" s="24" t="s">
        <v>1559</v>
      </c>
      <c r="D1338" s="24" t="s">
        <v>377</v>
      </c>
      <c r="E1338" s="24">
        <v>119.11</v>
      </c>
      <c r="F1338" s="24">
        <v>2.09</v>
      </c>
    </row>
    <row r="1339" s="24" customFormat="1" spans="1:6">
      <c r="A1339" s="24" t="s">
        <v>142</v>
      </c>
      <c r="B1339" s="24" t="str">
        <f>"002702"</f>
        <v>002702</v>
      </c>
      <c r="C1339" s="24" t="s">
        <v>1560</v>
      </c>
      <c r="D1339" s="24" t="s">
        <v>190</v>
      </c>
      <c r="E1339" s="24">
        <v>118.85</v>
      </c>
      <c r="F1339" s="24">
        <v>2.57</v>
      </c>
    </row>
    <row r="1340" s="24" customFormat="1" spans="1:6">
      <c r="A1340" s="24" t="s">
        <v>140</v>
      </c>
      <c r="B1340" s="24" t="str">
        <f>"600628"</f>
        <v>600628</v>
      </c>
      <c r="C1340" s="24" t="s">
        <v>1561</v>
      </c>
      <c r="D1340" s="24" t="s">
        <v>148</v>
      </c>
      <c r="E1340" s="24">
        <v>118.74</v>
      </c>
      <c r="F1340" s="24">
        <v>1.13</v>
      </c>
    </row>
    <row r="1341" s="24" customFormat="1" spans="1:6">
      <c r="A1341" s="24" t="s">
        <v>140</v>
      </c>
      <c r="B1341" s="24" t="str">
        <f>"600822"</f>
        <v>600822</v>
      </c>
      <c r="C1341" s="24" t="s">
        <v>1562</v>
      </c>
      <c r="D1341" s="24" t="s">
        <v>267</v>
      </c>
      <c r="E1341" s="24">
        <v>118.23</v>
      </c>
      <c r="F1341" s="24">
        <v>7.17</v>
      </c>
    </row>
    <row r="1342" s="24" customFormat="1" spans="1:6">
      <c r="A1342" s="24" t="s">
        <v>142</v>
      </c>
      <c r="B1342" s="24" t="str">
        <f>"300007"</f>
        <v>300007</v>
      </c>
      <c r="C1342" s="24" t="s">
        <v>1563</v>
      </c>
      <c r="D1342" s="24" t="s">
        <v>152</v>
      </c>
      <c r="E1342" s="24">
        <v>118.05</v>
      </c>
      <c r="F1342" s="24">
        <v>3.24</v>
      </c>
    </row>
    <row r="1343" s="24" customFormat="1" spans="1:6">
      <c r="A1343" s="24" t="s">
        <v>142</v>
      </c>
      <c r="B1343" s="24" t="str">
        <f>"200530"</f>
        <v>200530</v>
      </c>
      <c r="C1343" s="24" t="s">
        <v>1564</v>
      </c>
      <c r="D1343" s="24"/>
      <c r="E1343" s="24">
        <v>117.65</v>
      </c>
      <c r="F1343" s="24">
        <v>0.5</v>
      </c>
    </row>
    <row r="1344" s="24" customFormat="1" spans="1:6">
      <c r="A1344" s="24" t="s">
        <v>142</v>
      </c>
      <c r="B1344" s="24" t="str">
        <f>"300611"</f>
        <v>300611</v>
      </c>
      <c r="C1344" s="24" t="s">
        <v>1565</v>
      </c>
      <c r="D1344" s="24" t="s">
        <v>204</v>
      </c>
      <c r="E1344" s="24">
        <v>117.44</v>
      </c>
      <c r="F1344" s="24">
        <v>2.58</v>
      </c>
    </row>
    <row r="1345" s="24" customFormat="1" spans="1:6">
      <c r="A1345" s="24" t="s">
        <v>140</v>
      </c>
      <c r="B1345" s="24" t="str">
        <f>"600118"</f>
        <v>600118</v>
      </c>
      <c r="C1345" s="24" t="s">
        <v>1566</v>
      </c>
      <c r="D1345" s="24" t="s">
        <v>395</v>
      </c>
      <c r="E1345" s="24">
        <v>117.43</v>
      </c>
      <c r="F1345" s="24">
        <v>7.58</v>
      </c>
    </row>
    <row r="1346" s="24" customFormat="1" spans="1:6">
      <c r="A1346" s="24" t="s">
        <v>142</v>
      </c>
      <c r="B1346" s="24" t="str">
        <f>"002594"</f>
        <v>002594</v>
      </c>
      <c r="C1346" s="24" t="s">
        <v>1567</v>
      </c>
      <c r="D1346" s="24" t="s">
        <v>175</v>
      </c>
      <c r="E1346" s="24">
        <v>117.34</v>
      </c>
      <c r="F1346" s="24">
        <v>3</v>
      </c>
    </row>
    <row r="1347" s="24" customFormat="1" spans="1:6">
      <c r="A1347" s="24" t="s">
        <v>140</v>
      </c>
      <c r="B1347" s="24" t="str">
        <f>"600232"</f>
        <v>600232</v>
      </c>
      <c r="C1347" s="24" t="s">
        <v>1568</v>
      </c>
      <c r="D1347" s="24" t="s">
        <v>253</v>
      </c>
      <c r="E1347" s="24">
        <v>117.3</v>
      </c>
      <c r="F1347" s="24">
        <v>2.23</v>
      </c>
    </row>
    <row r="1348" s="24" customFormat="1" spans="1:6">
      <c r="A1348" s="24" t="s">
        <v>142</v>
      </c>
      <c r="B1348" s="24" t="str">
        <f>"300520"</f>
        <v>300520</v>
      </c>
      <c r="C1348" s="24" t="s">
        <v>1569</v>
      </c>
      <c r="D1348" s="24" t="s">
        <v>163</v>
      </c>
      <c r="E1348" s="24">
        <v>117.22</v>
      </c>
      <c r="F1348" s="24">
        <v>6.04</v>
      </c>
    </row>
    <row r="1349" s="24" customFormat="1" spans="1:6">
      <c r="A1349" s="24" t="s">
        <v>140</v>
      </c>
      <c r="B1349" s="24" t="str">
        <f>"600493"</f>
        <v>600493</v>
      </c>
      <c r="C1349" s="24" t="s">
        <v>1570</v>
      </c>
      <c r="D1349" s="24" t="s">
        <v>253</v>
      </c>
      <c r="E1349" s="24">
        <v>117.07</v>
      </c>
      <c r="F1349" s="24">
        <v>1.89</v>
      </c>
    </row>
    <row r="1350" s="24" customFormat="1" spans="1:6">
      <c r="A1350" s="24" t="s">
        <v>140</v>
      </c>
      <c r="B1350" s="24" t="str">
        <f>"603078"</f>
        <v>603078</v>
      </c>
      <c r="C1350" s="24" t="s">
        <v>1571</v>
      </c>
      <c r="D1350" s="24" t="s">
        <v>228</v>
      </c>
      <c r="E1350" s="24">
        <v>116.94</v>
      </c>
      <c r="F1350" s="24">
        <v>5.68</v>
      </c>
    </row>
    <row r="1351" s="24" customFormat="1" spans="1:6">
      <c r="A1351" s="24" t="s">
        <v>142</v>
      </c>
      <c r="B1351" s="24" t="str">
        <f>"002771"</f>
        <v>002771</v>
      </c>
      <c r="C1351" s="24" t="s">
        <v>1572</v>
      </c>
      <c r="D1351" s="24" t="s">
        <v>159</v>
      </c>
      <c r="E1351" s="24">
        <v>116.86</v>
      </c>
      <c r="F1351" s="24">
        <v>4</v>
      </c>
    </row>
    <row r="1352" s="24" customFormat="1" spans="1:6">
      <c r="A1352" s="24" t="s">
        <v>142</v>
      </c>
      <c r="B1352" s="24" t="str">
        <f>"002104"</f>
        <v>002104</v>
      </c>
      <c r="C1352" s="24" t="s">
        <v>1573</v>
      </c>
      <c r="D1352" s="24" t="s">
        <v>152</v>
      </c>
      <c r="E1352" s="24">
        <v>116.79</v>
      </c>
      <c r="F1352" s="24">
        <v>2.63</v>
      </c>
    </row>
    <row r="1353" s="24" customFormat="1" spans="1:6">
      <c r="A1353" s="24" t="s">
        <v>142</v>
      </c>
      <c r="B1353" s="24" t="str">
        <f>"002286"</f>
        <v>002286</v>
      </c>
      <c r="C1353" s="24" t="s">
        <v>1574</v>
      </c>
      <c r="D1353" s="24" t="s">
        <v>190</v>
      </c>
      <c r="E1353" s="24">
        <v>116.7</v>
      </c>
      <c r="F1353" s="24">
        <v>1.49</v>
      </c>
    </row>
    <row r="1354" s="24" customFormat="1" spans="1:6">
      <c r="A1354" s="24" t="s">
        <v>140</v>
      </c>
      <c r="B1354" s="24" t="str">
        <f>"600321"</f>
        <v>600321</v>
      </c>
      <c r="C1354" s="24" t="s">
        <v>1575</v>
      </c>
      <c r="D1354" s="24" t="s">
        <v>573</v>
      </c>
      <c r="E1354" s="24">
        <v>116.21</v>
      </c>
      <c r="F1354" s="24">
        <v>1.16</v>
      </c>
    </row>
    <row r="1355" s="24" customFormat="1" spans="1:6">
      <c r="A1355" s="24" t="s">
        <v>140</v>
      </c>
      <c r="B1355" s="24" t="str">
        <f>"603305"</f>
        <v>603305</v>
      </c>
      <c r="C1355" s="24" t="s">
        <v>1576</v>
      </c>
      <c r="D1355" s="24" t="s">
        <v>204</v>
      </c>
      <c r="E1355" s="24">
        <v>115.82</v>
      </c>
      <c r="F1355" s="24">
        <v>15.25</v>
      </c>
    </row>
    <row r="1356" s="24" customFormat="1" spans="1:6">
      <c r="A1356" s="24" t="s">
        <v>140</v>
      </c>
      <c r="B1356" s="24" t="str">
        <f>"600108"</f>
        <v>600108</v>
      </c>
      <c r="C1356" s="24" t="s">
        <v>1577</v>
      </c>
      <c r="D1356" s="24" t="s">
        <v>145</v>
      </c>
      <c r="E1356" s="24">
        <v>115.68</v>
      </c>
      <c r="F1356" s="24">
        <v>1.16</v>
      </c>
    </row>
    <row r="1357" s="24" customFormat="1" spans="1:6">
      <c r="A1357" s="24" t="s">
        <v>142</v>
      </c>
      <c r="B1357" s="24" t="str">
        <f>"002856"</f>
        <v>002856</v>
      </c>
      <c r="C1357" s="24" t="s">
        <v>1578</v>
      </c>
      <c r="D1357" s="24" t="s">
        <v>315</v>
      </c>
      <c r="E1357" s="24">
        <v>115.33</v>
      </c>
      <c r="F1357" s="24">
        <v>2.89</v>
      </c>
    </row>
    <row r="1358" s="24" customFormat="1" spans="1:6">
      <c r="A1358" s="24" t="s">
        <v>140</v>
      </c>
      <c r="B1358" s="24" t="str">
        <f>"601595"</f>
        <v>601595</v>
      </c>
      <c r="C1358" s="24" t="s">
        <v>1579</v>
      </c>
      <c r="D1358" s="24" t="s">
        <v>170</v>
      </c>
      <c r="E1358" s="24">
        <v>115.16</v>
      </c>
      <c r="F1358" s="24">
        <v>2.02</v>
      </c>
    </row>
    <row r="1359" s="24" customFormat="1" spans="1:6">
      <c r="A1359" s="24" t="s">
        <v>140</v>
      </c>
      <c r="B1359" s="24" t="str">
        <f>"600833"</f>
        <v>600833</v>
      </c>
      <c r="C1359" s="24" t="s">
        <v>1580</v>
      </c>
      <c r="D1359" s="24" t="s">
        <v>584</v>
      </c>
      <c r="E1359" s="24">
        <v>115.03</v>
      </c>
      <c r="F1359" s="24">
        <v>3.43</v>
      </c>
    </row>
    <row r="1360" s="24" customFormat="1" spans="1:6">
      <c r="A1360" s="24" t="s">
        <v>140</v>
      </c>
      <c r="B1360" s="24" t="str">
        <f>"688100"</f>
        <v>688100</v>
      </c>
      <c r="C1360" s="24" t="s">
        <v>1581</v>
      </c>
      <c r="D1360" s="24"/>
      <c r="E1360" s="24">
        <v>114.69</v>
      </c>
      <c r="F1360" s="24">
        <v>8.52</v>
      </c>
    </row>
    <row r="1361" s="24" customFormat="1" spans="1:6">
      <c r="A1361" s="24" t="s">
        <v>142</v>
      </c>
      <c r="B1361" s="24" t="str">
        <f>"002285"</f>
        <v>002285</v>
      </c>
      <c r="C1361" s="24" t="s">
        <v>1582</v>
      </c>
      <c r="D1361" s="24" t="s">
        <v>1058</v>
      </c>
      <c r="E1361" s="24">
        <v>114.6</v>
      </c>
      <c r="F1361" s="24">
        <v>1.17</v>
      </c>
    </row>
    <row r="1362" s="24" customFormat="1" spans="1:6">
      <c r="A1362" s="24" t="s">
        <v>140</v>
      </c>
      <c r="B1362" s="24" t="str">
        <f>"603131"</f>
        <v>603131</v>
      </c>
      <c r="C1362" s="24" t="s">
        <v>1583</v>
      </c>
      <c r="D1362" s="24" t="s">
        <v>165</v>
      </c>
      <c r="E1362" s="24">
        <v>114</v>
      </c>
      <c r="F1362" s="24">
        <v>7.91</v>
      </c>
    </row>
    <row r="1363" s="24" customFormat="1" spans="1:6">
      <c r="A1363" s="24" t="s">
        <v>142</v>
      </c>
      <c r="B1363" s="24" t="str">
        <f>"300676"</f>
        <v>300676</v>
      </c>
      <c r="C1363" s="24" t="s">
        <v>1584</v>
      </c>
      <c r="D1363" s="24" t="s">
        <v>326</v>
      </c>
      <c r="E1363" s="24">
        <v>113.95</v>
      </c>
      <c r="F1363" s="24">
        <v>6.97</v>
      </c>
    </row>
    <row r="1364" s="24" customFormat="1" spans="1:6">
      <c r="A1364" s="24" t="s">
        <v>142</v>
      </c>
      <c r="B1364" s="24" t="str">
        <f>"002967"</f>
        <v>002967</v>
      </c>
      <c r="C1364" s="24" t="s">
        <v>1585</v>
      </c>
      <c r="D1364" s="24" t="s">
        <v>214</v>
      </c>
      <c r="E1364" s="24">
        <v>113.87</v>
      </c>
      <c r="F1364" s="24">
        <v>8.81</v>
      </c>
    </row>
    <row r="1365" s="24" customFormat="1" spans="1:6">
      <c r="A1365" s="24" t="s">
        <v>140</v>
      </c>
      <c r="B1365" s="24" t="str">
        <f>"688268"</f>
        <v>688268</v>
      </c>
      <c r="C1365" s="24" t="s">
        <v>1586</v>
      </c>
      <c r="D1365" s="24" t="s">
        <v>228</v>
      </c>
      <c r="E1365" s="24">
        <v>113.77</v>
      </c>
      <c r="F1365" s="24">
        <v>7.17</v>
      </c>
    </row>
    <row r="1366" s="24" customFormat="1" spans="1:6">
      <c r="A1366" s="24" t="s">
        <v>140</v>
      </c>
      <c r="B1366" s="24" t="str">
        <f>"688116"</f>
        <v>688116</v>
      </c>
      <c r="C1366" s="24" t="s">
        <v>1587</v>
      </c>
      <c r="D1366" s="24" t="s">
        <v>256</v>
      </c>
      <c r="E1366" s="24">
        <v>113.68</v>
      </c>
      <c r="F1366" s="24">
        <v>7.54</v>
      </c>
    </row>
    <row r="1367" s="24" customFormat="1" spans="1:6">
      <c r="A1367" s="24" t="s">
        <v>142</v>
      </c>
      <c r="B1367" s="24" t="str">
        <f>"002596"</f>
        <v>002596</v>
      </c>
      <c r="C1367" s="24" t="s">
        <v>1588</v>
      </c>
      <c r="D1367" s="24" t="s">
        <v>667</v>
      </c>
      <c r="E1367" s="24">
        <v>113.68</v>
      </c>
      <c r="F1367" s="24">
        <v>3.26</v>
      </c>
    </row>
    <row r="1368" s="24" customFormat="1" spans="1:6">
      <c r="A1368" s="24" t="s">
        <v>140</v>
      </c>
      <c r="B1368" s="24" t="str">
        <f>"900943"</f>
        <v>900943</v>
      </c>
      <c r="C1368" s="24" t="s">
        <v>1589</v>
      </c>
      <c r="D1368" s="24"/>
      <c r="E1368" s="24">
        <v>113.63</v>
      </c>
      <c r="F1368" s="24">
        <v>1.53</v>
      </c>
    </row>
    <row r="1369" s="24" customFormat="1" spans="1:6">
      <c r="A1369" s="24" t="s">
        <v>140</v>
      </c>
      <c r="B1369" s="24" t="str">
        <f>"600703"</f>
        <v>600703</v>
      </c>
      <c r="C1369" s="24" t="s">
        <v>1590</v>
      </c>
      <c r="D1369" s="24" t="s">
        <v>230</v>
      </c>
      <c r="E1369" s="24">
        <v>113.5</v>
      </c>
      <c r="F1369" s="24">
        <v>4.41</v>
      </c>
    </row>
    <row r="1370" s="24" customFormat="1" spans="1:6">
      <c r="A1370" s="24" t="s">
        <v>142</v>
      </c>
      <c r="B1370" s="24" t="str">
        <f>"300748"</f>
        <v>300748</v>
      </c>
      <c r="C1370" s="24" t="s">
        <v>1591</v>
      </c>
      <c r="D1370" s="24" t="s">
        <v>167</v>
      </c>
      <c r="E1370" s="24">
        <v>113.44</v>
      </c>
      <c r="F1370" s="24">
        <v>12.09</v>
      </c>
    </row>
    <row r="1371" s="24" customFormat="1" spans="1:6">
      <c r="A1371" s="24" t="s">
        <v>142</v>
      </c>
      <c r="B1371" s="24" t="str">
        <f>"300245"</f>
        <v>300245</v>
      </c>
      <c r="C1371" s="24" t="s">
        <v>1592</v>
      </c>
      <c r="D1371" s="24" t="s">
        <v>159</v>
      </c>
      <c r="E1371" s="24">
        <v>112.93</v>
      </c>
      <c r="F1371" s="24">
        <v>1.98</v>
      </c>
    </row>
    <row r="1372" s="24" customFormat="1" spans="1:6">
      <c r="A1372" s="24" t="s">
        <v>142</v>
      </c>
      <c r="B1372" s="24" t="str">
        <f>"300229"</f>
        <v>300229</v>
      </c>
      <c r="C1372" s="24" t="s">
        <v>1593</v>
      </c>
      <c r="D1372" s="24" t="s">
        <v>156</v>
      </c>
      <c r="E1372" s="24">
        <v>112.84</v>
      </c>
      <c r="F1372" s="24">
        <v>5.07</v>
      </c>
    </row>
    <row r="1373" s="24" customFormat="1" spans="1:6">
      <c r="A1373" s="24" t="s">
        <v>140</v>
      </c>
      <c r="B1373" s="24" t="str">
        <f>"688005"</f>
        <v>688005</v>
      </c>
      <c r="C1373" s="24" t="s">
        <v>1594</v>
      </c>
      <c r="D1373" s="24" t="s">
        <v>251</v>
      </c>
      <c r="E1373" s="24">
        <v>112.39</v>
      </c>
      <c r="F1373" s="24">
        <v>5.21</v>
      </c>
    </row>
    <row r="1374" s="24" customFormat="1" spans="1:6">
      <c r="A1374" s="24" t="s">
        <v>142</v>
      </c>
      <c r="B1374" s="24" t="str">
        <f>"300390"</f>
        <v>300390</v>
      </c>
      <c r="C1374" s="24" t="s">
        <v>1595</v>
      </c>
      <c r="D1374" s="24" t="s">
        <v>152</v>
      </c>
      <c r="E1374" s="24">
        <v>112.35</v>
      </c>
      <c r="F1374" s="24">
        <v>9.7</v>
      </c>
    </row>
    <row r="1375" s="24" customFormat="1" spans="1:6">
      <c r="A1375" s="24" t="s">
        <v>142</v>
      </c>
      <c r="B1375" s="24" t="str">
        <f>"300803"</f>
        <v>300803</v>
      </c>
      <c r="C1375" s="24" t="s">
        <v>1596</v>
      </c>
      <c r="D1375" s="24" t="s">
        <v>813</v>
      </c>
      <c r="E1375" s="24">
        <v>112.06</v>
      </c>
      <c r="F1375" s="24">
        <v>13.73</v>
      </c>
    </row>
    <row r="1376" s="24" customFormat="1" spans="1:6">
      <c r="A1376" s="24" t="s">
        <v>142</v>
      </c>
      <c r="B1376" s="24" t="str">
        <f>"300379"</f>
        <v>300379</v>
      </c>
      <c r="C1376" s="24" t="s">
        <v>1597</v>
      </c>
      <c r="D1376" s="24" t="s">
        <v>156</v>
      </c>
      <c r="E1376" s="24">
        <v>111.79</v>
      </c>
      <c r="F1376" s="24">
        <v>29.49</v>
      </c>
    </row>
    <row r="1377" s="24" customFormat="1" spans="1:6">
      <c r="A1377" s="24" t="s">
        <v>140</v>
      </c>
      <c r="B1377" s="24" t="str">
        <f>"600868"</f>
        <v>600868</v>
      </c>
      <c r="C1377" s="24" t="s">
        <v>1598</v>
      </c>
      <c r="D1377" s="24" t="s">
        <v>188</v>
      </c>
      <c r="E1377" s="24">
        <v>111.75</v>
      </c>
      <c r="F1377" s="24">
        <v>2.59</v>
      </c>
    </row>
    <row r="1378" s="24" customFormat="1" spans="1:6">
      <c r="A1378" s="24" t="s">
        <v>142</v>
      </c>
      <c r="B1378" s="24" t="str">
        <f>"002634"</f>
        <v>002634</v>
      </c>
      <c r="C1378" s="24" t="s">
        <v>1599</v>
      </c>
      <c r="D1378" s="24" t="s">
        <v>161</v>
      </c>
      <c r="E1378" s="24">
        <v>111.6</v>
      </c>
      <c r="F1378" s="24">
        <v>3.52</v>
      </c>
    </row>
    <row r="1379" s="24" customFormat="1" spans="1:6">
      <c r="A1379" s="24" t="s">
        <v>140</v>
      </c>
      <c r="B1379" s="24" t="str">
        <f>"600728"</f>
        <v>600728</v>
      </c>
      <c r="C1379" s="24" t="s">
        <v>1600</v>
      </c>
      <c r="D1379" s="24" t="s">
        <v>159</v>
      </c>
      <c r="E1379" s="24">
        <v>111.11</v>
      </c>
      <c r="F1379" s="24">
        <v>3.41</v>
      </c>
    </row>
    <row r="1380" s="24" customFormat="1" spans="1:6">
      <c r="A1380" s="24" t="s">
        <v>142</v>
      </c>
      <c r="B1380" s="24" t="str">
        <f>"300347"</f>
        <v>300347</v>
      </c>
      <c r="C1380" s="24" t="s">
        <v>1601</v>
      </c>
      <c r="D1380" s="24" t="s">
        <v>348</v>
      </c>
      <c r="E1380" s="24">
        <v>111.04</v>
      </c>
      <c r="F1380" s="24">
        <v>21.33</v>
      </c>
    </row>
    <row r="1381" s="24" customFormat="1" spans="1:6">
      <c r="A1381" s="24" t="s">
        <v>142</v>
      </c>
      <c r="B1381" s="24" t="str">
        <f>"300777"</f>
        <v>300777</v>
      </c>
      <c r="C1381" s="24" t="s">
        <v>1602</v>
      </c>
      <c r="D1381" s="24" t="s">
        <v>302</v>
      </c>
      <c r="E1381" s="24">
        <v>110.78</v>
      </c>
      <c r="F1381" s="24">
        <v>14.32</v>
      </c>
    </row>
    <row r="1382" s="24" customFormat="1" spans="1:6">
      <c r="A1382" s="24" t="s">
        <v>140</v>
      </c>
      <c r="B1382" s="24" t="str">
        <f>"688058"</f>
        <v>688058</v>
      </c>
      <c r="C1382" s="24" t="s">
        <v>1603</v>
      </c>
      <c r="D1382" s="24" t="s">
        <v>156</v>
      </c>
      <c r="E1382" s="24">
        <v>110.24</v>
      </c>
      <c r="F1382" s="24">
        <v>6.2</v>
      </c>
    </row>
    <row r="1383" s="24" customFormat="1" spans="1:6">
      <c r="A1383" s="24" t="s">
        <v>142</v>
      </c>
      <c r="B1383" s="24" t="str">
        <f>"300551"</f>
        <v>300551</v>
      </c>
      <c r="C1383" s="24" t="s">
        <v>1604</v>
      </c>
      <c r="D1383" s="24" t="s">
        <v>152</v>
      </c>
      <c r="E1383" s="24">
        <v>110.24</v>
      </c>
      <c r="F1383" s="24">
        <v>5.31</v>
      </c>
    </row>
    <row r="1384" s="24" customFormat="1" spans="1:6">
      <c r="A1384" s="24" t="s">
        <v>140</v>
      </c>
      <c r="B1384" s="24" t="str">
        <f>"600403"</f>
        <v>600403</v>
      </c>
      <c r="C1384" s="24" t="s">
        <v>1605</v>
      </c>
      <c r="D1384" s="24" t="s">
        <v>401</v>
      </c>
      <c r="E1384" s="24">
        <v>109.98</v>
      </c>
      <c r="F1384" s="24">
        <v>1.03</v>
      </c>
    </row>
    <row r="1385" s="24" customFormat="1" spans="1:6">
      <c r="A1385" s="24" t="s">
        <v>142</v>
      </c>
      <c r="B1385" s="24" t="str">
        <f>"300441"</f>
        <v>300441</v>
      </c>
      <c r="C1385" s="24" t="s">
        <v>1606</v>
      </c>
      <c r="D1385" s="24" t="s">
        <v>165</v>
      </c>
      <c r="E1385" s="24">
        <v>109.61</v>
      </c>
      <c r="F1385" s="24">
        <v>5.62</v>
      </c>
    </row>
    <row r="1386" s="24" customFormat="1" spans="1:6">
      <c r="A1386" s="24" t="s">
        <v>140</v>
      </c>
      <c r="B1386" s="24" t="str">
        <f>"603069"</f>
        <v>603069</v>
      </c>
      <c r="C1386" s="24" t="s">
        <v>1607</v>
      </c>
      <c r="D1386" s="24" t="s">
        <v>540</v>
      </c>
      <c r="E1386" s="24">
        <v>109.41</v>
      </c>
      <c r="F1386" s="24">
        <v>3.33</v>
      </c>
    </row>
    <row r="1387" s="24" customFormat="1" spans="1:6">
      <c r="A1387" s="24" t="s">
        <v>142</v>
      </c>
      <c r="B1387" s="24" t="str">
        <f>"300759"</f>
        <v>300759</v>
      </c>
      <c r="C1387" s="24" t="s">
        <v>1608</v>
      </c>
      <c r="D1387" s="24" t="s">
        <v>326</v>
      </c>
      <c r="E1387" s="24">
        <v>109.33</v>
      </c>
      <c r="F1387" s="24">
        <v>16.66</v>
      </c>
    </row>
    <row r="1388" s="24" customFormat="1" spans="1:6">
      <c r="A1388" s="24" t="s">
        <v>142</v>
      </c>
      <c r="B1388" s="24" t="str">
        <f>"002522"</f>
        <v>002522</v>
      </c>
      <c r="C1388" s="24" t="s">
        <v>1609</v>
      </c>
      <c r="D1388" s="24" t="s">
        <v>228</v>
      </c>
      <c r="E1388" s="24">
        <v>109.18</v>
      </c>
      <c r="F1388" s="24">
        <v>2.64</v>
      </c>
    </row>
    <row r="1389" s="24" customFormat="1" spans="1:6">
      <c r="A1389" s="24" t="s">
        <v>140</v>
      </c>
      <c r="B1389" s="24" t="str">
        <f>"603722"</f>
        <v>603722</v>
      </c>
      <c r="C1389" s="24" t="s">
        <v>1610</v>
      </c>
      <c r="D1389" s="24" t="s">
        <v>228</v>
      </c>
      <c r="E1389" s="24">
        <v>109.05</v>
      </c>
      <c r="F1389" s="24">
        <v>5.73</v>
      </c>
    </row>
    <row r="1390" s="24" customFormat="1" spans="1:6">
      <c r="A1390" s="24" t="s">
        <v>140</v>
      </c>
      <c r="B1390" s="24" t="str">
        <f>"600558"</f>
        <v>600558</v>
      </c>
      <c r="C1390" s="24" t="s">
        <v>1611</v>
      </c>
      <c r="D1390" s="24" t="s">
        <v>258</v>
      </c>
      <c r="E1390" s="24">
        <v>108.31</v>
      </c>
      <c r="F1390" s="24">
        <v>1.33</v>
      </c>
    </row>
    <row r="1391" s="24" customFormat="1" spans="1:6">
      <c r="A1391" s="24" t="s">
        <v>142</v>
      </c>
      <c r="B1391" s="24" t="str">
        <f>"000597"</f>
        <v>000597</v>
      </c>
      <c r="C1391" s="24" t="s">
        <v>1612</v>
      </c>
      <c r="D1391" s="24" t="s">
        <v>464</v>
      </c>
      <c r="E1391" s="24">
        <v>108.27</v>
      </c>
      <c r="F1391" s="24">
        <v>1.99</v>
      </c>
    </row>
    <row r="1392" s="24" customFormat="1" spans="1:6">
      <c r="A1392" s="24" t="s">
        <v>142</v>
      </c>
      <c r="B1392" s="24" t="str">
        <f>"300654"</f>
        <v>300654</v>
      </c>
      <c r="C1392" s="24" t="s">
        <v>1613</v>
      </c>
      <c r="D1392" s="24" t="s">
        <v>170</v>
      </c>
      <c r="E1392" s="24">
        <v>108.24</v>
      </c>
      <c r="F1392" s="24">
        <v>6.17</v>
      </c>
    </row>
    <row r="1393" s="24" customFormat="1" spans="1:6">
      <c r="A1393" s="24" t="s">
        <v>142</v>
      </c>
      <c r="B1393" s="24" t="str">
        <f>"300352"</f>
        <v>300352</v>
      </c>
      <c r="C1393" s="24" t="s">
        <v>1614</v>
      </c>
      <c r="D1393" s="24" t="s">
        <v>156</v>
      </c>
      <c r="E1393" s="24">
        <v>108.21</v>
      </c>
      <c r="F1393" s="24">
        <v>5.31</v>
      </c>
    </row>
    <row r="1394" s="24" customFormat="1" spans="1:6">
      <c r="A1394" s="24" t="s">
        <v>142</v>
      </c>
      <c r="B1394" s="24" t="str">
        <f>"300407"</f>
        <v>300407</v>
      </c>
      <c r="C1394" s="24" t="s">
        <v>1615</v>
      </c>
      <c r="D1394" s="24" t="s">
        <v>251</v>
      </c>
      <c r="E1394" s="24">
        <v>108.13</v>
      </c>
      <c r="F1394" s="24">
        <v>1.88</v>
      </c>
    </row>
    <row r="1395" s="24" customFormat="1" spans="1:6">
      <c r="A1395" s="24" t="s">
        <v>142</v>
      </c>
      <c r="B1395" s="24" t="str">
        <f>"002827"</f>
        <v>002827</v>
      </c>
      <c r="C1395" s="24" t="s">
        <v>1616</v>
      </c>
      <c r="D1395" s="24" t="s">
        <v>228</v>
      </c>
      <c r="E1395" s="24">
        <v>108.04</v>
      </c>
      <c r="F1395" s="24">
        <v>3.3</v>
      </c>
    </row>
    <row r="1396" s="24" customFormat="1" spans="1:6">
      <c r="A1396" s="24" t="s">
        <v>142</v>
      </c>
      <c r="B1396" s="24" t="str">
        <f>"002555"</f>
        <v>002555</v>
      </c>
      <c r="C1396" s="24" t="s">
        <v>1617</v>
      </c>
      <c r="D1396" s="24" t="s">
        <v>156</v>
      </c>
      <c r="E1396" s="24">
        <v>107.95</v>
      </c>
      <c r="F1396" s="24">
        <v>15.81</v>
      </c>
    </row>
    <row r="1397" s="24" customFormat="1" spans="1:6">
      <c r="A1397" s="24" t="s">
        <v>140</v>
      </c>
      <c r="B1397" s="24" t="str">
        <f>"688208"</f>
        <v>688208</v>
      </c>
      <c r="C1397" s="24" t="s">
        <v>1618</v>
      </c>
      <c r="D1397" s="24"/>
      <c r="E1397" s="24">
        <v>107.56</v>
      </c>
      <c r="F1397" s="24">
        <v>14.54</v>
      </c>
    </row>
    <row r="1398" s="24" customFormat="1" spans="1:6">
      <c r="A1398" s="24" t="s">
        <v>140</v>
      </c>
      <c r="B1398" s="24" t="str">
        <f>"601375"</f>
        <v>601375</v>
      </c>
      <c r="C1398" s="24" t="s">
        <v>1619</v>
      </c>
      <c r="D1398" s="24" t="s">
        <v>714</v>
      </c>
      <c r="E1398" s="24">
        <v>107.45</v>
      </c>
      <c r="F1398" s="24">
        <v>2.03</v>
      </c>
    </row>
    <row r="1399" s="24" customFormat="1" spans="1:6">
      <c r="A1399" s="24" t="s">
        <v>142</v>
      </c>
      <c r="B1399" s="24" t="str">
        <f>"300516"</f>
        <v>300516</v>
      </c>
      <c r="C1399" s="24" t="s">
        <v>1620</v>
      </c>
      <c r="D1399" s="24" t="s">
        <v>152</v>
      </c>
      <c r="E1399" s="24">
        <v>107.42</v>
      </c>
      <c r="F1399" s="24">
        <v>5.2</v>
      </c>
    </row>
    <row r="1400" s="24" customFormat="1" spans="1:6">
      <c r="A1400" s="24" t="s">
        <v>140</v>
      </c>
      <c r="B1400" s="24" t="str">
        <f>"600719"</f>
        <v>600719</v>
      </c>
      <c r="C1400" s="24" t="s">
        <v>1621</v>
      </c>
      <c r="D1400" s="24" t="s">
        <v>450</v>
      </c>
      <c r="E1400" s="24">
        <v>107.31</v>
      </c>
      <c r="F1400" s="24">
        <v>2.32</v>
      </c>
    </row>
    <row r="1401" s="24" customFormat="1" spans="1:6">
      <c r="A1401" s="24" t="s">
        <v>142</v>
      </c>
      <c r="B1401" s="24" t="str">
        <f>"300785"</f>
        <v>300785</v>
      </c>
      <c r="C1401" s="24" t="s">
        <v>1622</v>
      </c>
      <c r="D1401" s="24" t="s">
        <v>163</v>
      </c>
      <c r="E1401" s="24">
        <v>106.77</v>
      </c>
      <c r="F1401" s="24">
        <v>14.37</v>
      </c>
    </row>
    <row r="1402" s="24" customFormat="1" spans="1:6">
      <c r="A1402" s="24" t="s">
        <v>140</v>
      </c>
      <c r="B1402" s="24" t="str">
        <f>"603127"</f>
        <v>603127</v>
      </c>
      <c r="C1402" s="24" t="s">
        <v>1623</v>
      </c>
      <c r="D1402" s="24" t="s">
        <v>326</v>
      </c>
      <c r="E1402" s="24">
        <v>106.41</v>
      </c>
      <c r="F1402" s="24">
        <v>15.97</v>
      </c>
    </row>
    <row r="1403" s="24" customFormat="1" spans="1:6">
      <c r="A1403" s="24" t="s">
        <v>142</v>
      </c>
      <c r="B1403" s="24" t="str">
        <f>"300707"</f>
        <v>300707</v>
      </c>
      <c r="C1403" s="24" t="s">
        <v>1624</v>
      </c>
      <c r="D1403" s="24" t="s">
        <v>173</v>
      </c>
      <c r="E1403" s="24">
        <v>106.3</v>
      </c>
      <c r="F1403" s="24">
        <v>4.52</v>
      </c>
    </row>
    <row r="1404" s="24" customFormat="1" spans="1:6">
      <c r="A1404" s="24" t="s">
        <v>142</v>
      </c>
      <c r="B1404" s="24" t="str">
        <f>"300155"</f>
        <v>300155</v>
      </c>
      <c r="C1404" s="24" t="s">
        <v>1625</v>
      </c>
      <c r="D1404" s="24" t="s">
        <v>152</v>
      </c>
      <c r="E1404" s="24">
        <v>106.16</v>
      </c>
      <c r="F1404" s="24">
        <v>3.8</v>
      </c>
    </row>
    <row r="1405" s="24" customFormat="1" spans="1:6">
      <c r="A1405" s="24" t="s">
        <v>142</v>
      </c>
      <c r="B1405" s="24" t="str">
        <f>"300792"</f>
        <v>300792</v>
      </c>
      <c r="C1405" s="24" t="s">
        <v>1626</v>
      </c>
      <c r="D1405" s="24" t="s">
        <v>163</v>
      </c>
      <c r="E1405" s="24">
        <v>106.09</v>
      </c>
      <c r="F1405" s="24">
        <v>15.53</v>
      </c>
    </row>
    <row r="1406" s="24" customFormat="1" spans="1:6">
      <c r="A1406" s="24" t="s">
        <v>142</v>
      </c>
      <c r="B1406" s="24" t="str">
        <f>"300253"</f>
        <v>300253</v>
      </c>
      <c r="C1406" s="24" t="s">
        <v>1627</v>
      </c>
      <c r="D1406" s="24" t="s">
        <v>156</v>
      </c>
      <c r="E1406" s="24">
        <v>106.05</v>
      </c>
      <c r="F1406" s="24">
        <v>11.9</v>
      </c>
    </row>
    <row r="1407" s="24" customFormat="1" spans="1:6">
      <c r="A1407" s="24" t="s">
        <v>142</v>
      </c>
      <c r="B1407" s="24" t="str">
        <f>"002157"</f>
        <v>002157</v>
      </c>
      <c r="C1407" s="24" t="s">
        <v>1628</v>
      </c>
      <c r="D1407" s="24" t="s">
        <v>145</v>
      </c>
      <c r="E1407" s="24">
        <v>105.64</v>
      </c>
      <c r="F1407" s="24">
        <v>4.67</v>
      </c>
    </row>
    <row r="1408" s="24" customFormat="1" spans="1:6">
      <c r="A1408" s="24" t="s">
        <v>140</v>
      </c>
      <c r="B1408" s="24" t="str">
        <f>"603879"</f>
        <v>603879</v>
      </c>
      <c r="C1408" s="24" t="s">
        <v>1629</v>
      </c>
      <c r="D1408" s="24" t="s">
        <v>228</v>
      </c>
      <c r="E1408" s="24">
        <v>105.37</v>
      </c>
      <c r="F1408" s="24">
        <v>3.35</v>
      </c>
    </row>
    <row r="1409" s="24" customFormat="1" spans="1:6">
      <c r="A1409" s="24" t="s">
        <v>142</v>
      </c>
      <c r="B1409" s="24" t="str">
        <f>"300308"</f>
        <v>300308</v>
      </c>
      <c r="C1409" s="24" t="s">
        <v>1630</v>
      </c>
      <c r="D1409" s="24" t="s">
        <v>193</v>
      </c>
      <c r="E1409" s="24">
        <v>105.27</v>
      </c>
      <c r="F1409" s="24">
        <v>8.95</v>
      </c>
    </row>
    <row r="1410" s="24" customFormat="1" spans="1:6">
      <c r="A1410" s="24" t="s">
        <v>142</v>
      </c>
      <c r="B1410" s="24" t="str">
        <f>"300641"</f>
        <v>300641</v>
      </c>
      <c r="C1410" s="24" t="s">
        <v>1631</v>
      </c>
      <c r="D1410" s="24" t="s">
        <v>256</v>
      </c>
      <c r="E1410" s="24">
        <v>105.22</v>
      </c>
      <c r="F1410" s="24">
        <v>1.66</v>
      </c>
    </row>
    <row r="1411" s="24" customFormat="1" spans="1:6">
      <c r="A1411" s="24" t="s">
        <v>140</v>
      </c>
      <c r="B1411" s="24" t="str">
        <f>"601218"</f>
        <v>601218</v>
      </c>
      <c r="C1411" s="24" t="s">
        <v>1632</v>
      </c>
      <c r="D1411" s="24" t="s">
        <v>251</v>
      </c>
      <c r="E1411" s="24">
        <v>104.98</v>
      </c>
      <c r="F1411" s="24">
        <v>1.07</v>
      </c>
    </row>
    <row r="1412" s="24" customFormat="1" spans="1:6">
      <c r="A1412" s="24" t="s">
        <v>140</v>
      </c>
      <c r="B1412" s="24" t="str">
        <f>"600692"</f>
        <v>600692</v>
      </c>
      <c r="C1412" s="24" t="s">
        <v>1633</v>
      </c>
      <c r="D1412" s="24" t="s">
        <v>244</v>
      </c>
      <c r="E1412" s="24">
        <v>104.96</v>
      </c>
      <c r="F1412" s="24">
        <v>2.49</v>
      </c>
    </row>
    <row r="1413" s="24" customFormat="1" spans="1:6">
      <c r="A1413" s="24" t="s">
        <v>140</v>
      </c>
      <c r="B1413" s="24" t="str">
        <f>"688016"</f>
        <v>688016</v>
      </c>
      <c r="C1413" s="24" t="s">
        <v>1634</v>
      </c>
      <c r="D1413" s="24" t="s">
        <v>618</v>
      </c>
      <c r="E1413" s="24">
        <v>104.61</v>
      </c>
      <c r="F1413" s="24">
        <v>11.57</v>
      </c>
    </row>
    <row r="1414" s="24" customFormat="1" spans="1:6">
      <c r="A1414" s="24" t="s">
        <v>140</v>
      </c>
      <c r="B1414" s="24" t="str">
        <f>"603712"</f>
        <v>603712</v>
      </c>
      <c r="C1414" s="24" t="s">
        <v>1635</v>
      </c>
      <c r="D1414" s="24" t="s">
        <v>193</v>
      </c>
      <c r="E1414" s="24">
        <v>104.48</v>
      </c>
      <c r="F1414" s="24">
        <v>8.11</v>
      </c>
    </row>
    <row r="1415" s="24" customFormat="1" spans="1:6">
      <c r="A1415" s="24" t="s">
        <v>142</v>
      </c>
      <c r="B1415" s="24" t="str">
        <f>"300775"</f>
        <v>300775</v>
      </c>
      <c r="C1415" s="24" t="s">
        <v>1636</v>
      </c>
      <c r="D1415" s="24" t="s">
        <v>395</v>
      </c>
      <c r="E1415" s="24">
        <v>104.44</v>
      </c>
      <c r="F1415" s="24">
        <v>9.2</v>
      </c>
    </row>
    <row r="1416" s="24" customFormat="1" spans="1:6">
      <c r="A1416" s="24" t="s">
        <v>140</v>
      </c>
      <c r="B1416" s="24" t="str">
        <f>"603000"</f>
        <v>603000</v>
      </c>
      <c r="C1416" s="24" t="s">
        <v>1637</v>
      </c>
      <c r="D1416" s="24" t="s">
        <v>163</v>
      </c>
      <c r="E1416" s="24">
        <v>104.35</v>
      </c>
      <c r="F1416" s="24">
        <v>7.76</v>
      </c>
    </row>
    <row r="1417" s="24" customFormat="1" spans="1:6">
      <c r="A1417" s="24" t="s">
        <v>140</v>
      </c>
      <c r="B1417" s="24" t="str">
        <f>"600543"</f>
        <v>600543</v>
      </c>
      <c r="C1417" s="24" t="s">
        <v>1638</v>
      </c>
      <c r="D1417" s="24" t="s">
        <v>309</v>
      </c>
      <c r="E1417" s="24">
        <v>104.21</v>
      </c>
      <c r="F1417" s="24">
        <v>1.4</v>
      </c>
    </row>
    <row r="1418" s="24" customFormat="1" spans="1:6">
      <c r="A1418" s="24" t="s">
        <v>142</v>
      </c>
      <c r="B1418" s="24" t="str">
        <f>"002338"</f>
        <v>002338</v>
      </c>
      <c r="C1418" s="24" t="s">
        <v>1639</v>
      </c>
      <c r="D1418" s="24" t="s">
        <v>152</v>
      </c>
      <c r="E1418" s="24">
        <v>104.15</v>
      </c>
      <c r="F1418" s="24">
        <v>3.94</v>
      </c>
    </row>
    <row r="1419" s="24" customFormat="1" spans="1:6">
      <c r="A1419" s="24" t="s">
        <v>142</v>
      </c>
      <c r="B1419" s="24" t="str">
        <f>"002467"</f>
        <v>002467</v>
      </c>
      <c r="C1419" s="24" t="s">
        <v>1640</v>
      </c>
      <c r="D1419" s="24" t="s">
        <v>336</v>
      </c>
      <c r="E1419" s="24">
        <v>103.48</v>
      </c>
      <c r="F1419" s="24">
        <v>11.98</v>
      </c>
    </row>
    <row r="1420" s="24" customFormat="1" spans="1:6">
      <c r="A1420" s="24" t="s">
        <v>140</v>
      </c>
      <c r="B1420" s="24" t="str">
        <f>"600775"</f>
        <v>600775</v>
      </c>
      <c r="C1420" s="24" t="s">
        <v>1641</v>
      </c>
      <c r="D1420" s="24" t="s">
        <v>193</v>
      </c>
      <c r="E1420" s="24">
        <v>103.3</v>
      </c>
      <c r="F1420" s="24">
        <v>2.32</v>
      </c>
    </row>
    <row r="1421" s="24" customFormat="1" spans="1:6">
      <c r="A1421" s="24" t="s">
        <v>142</v>
      </c>
      <c r="B1421" s="24" t="str">
        <f>"300665"</f>
        <v>300665</v>
      </c>
      <c r="C1421" s="24" t="s">
        <v>1642</v>
      </c>
      <c r="D1421" s="24" t="s">
        <v>228</v>
      </c>
      <c r="E1421" s="24">
        <v>103.28</v>
      </c>
      <c r="F1421" s="24">
        <v>2.77</v>
      </c>
    </row>
    <row r="1422" s="24" customFormat="1" spans="1:6">
      <c r="A1422" s="24" t="s">
        <v>142</v>
      </c>
      <c r="B1422" s="24" t="str">
        <f>"300579"</f>
        <v>300579</v>
      </c>
      <c r="C1422" s="24" t="s">
        <v>1643</v>
      </c>
      <c r="D1422" s="24" t="s">
        <v>163</v>
      </c>
      <c r="E1422" s="24">
        <v>103.08</v>
      </c>
      <c r="F1422" s="24">
        <v>12.55</v>
      </c>
    </row>
    <row r="1423" s="24" customFormat="1" spans="1:6">
      <c r="A1423" s="24" t="s">
        <v>142</v>
      </c>
      <c r="B1423" s="24" t="str">
        <f>"002808"</f>
        <v>002808</v>
      </c>
      <c r="C1423" s="24" t="s">
        <v>1644</v>
      </c>
      <c r="D1423" s="24" t="s">
        <v>152</v>
      </c>
      <c r="E1423" s="24">
        <v>103.04</v>
      </c>
      <c r="F1423" s="24">
        <v>4.16</v>
      </c>
    </row>
    <row r="1424" s="24" customFormat="1" spans="1:6">
      <c r="A1424" s="24" t="s">
        <v>140</v>
      </c>
      <c r="B1424" s="24" t="str">
        <f>"601069"</f>
        <v>601069</v>
      </c>
      <c r="C1424" s="24" t="s">
        <v>1645</v>
      </c>
      <c r="D1424" s="24" t="s">
        <v>167</v>
      </c>
      <c r="E1424" s="24">
        <v>102.88</v>
      </c>
      <c r="F1424" s="24">
        <v>5.5</v>
      </c>
    </row>
    <row r="1425" s="24" customFormat="1" spans="1:6">
      <c r="A1425" s="24" t="s">
        <v>142</v>
      </c>
      <c r="B1425" s="24" t="str">
        <f>"002166"</f>
        <v>002166</v>
      </c>
      <c r="C1425" s="24" t="s">
        <v>1646</v>
      </c>
      <c r="D1425" s="24" t="s">
        <v>326</v>
      </c>
      <c r="E1425" s="24">
        <v>102.58</v>
      </c>
      <c r="F1425" s="24">
        <v>3.29</v>
      </c>
    </row>
    <row r="1426" s="24" customFormat="1" spans="1:6">
      <c r="A1426" s="24" t="s">
        <v>142</v>
      </c>
      <c r="B1426" s="24" t="str">
        <f>"300400"</f>
        <v>300400</v>
      </c>
      <c r="C1426" s="24" t="s">
        <v>1647</v>
      </c>
      <c r="D1426" s="24" t="s">
        <v>173</v>
      </c>
      <c r="E1426" s="24">
        <v>102.58</v>
      </c>
      <c r="F1426" s="24">
        <v>5.56</v>
      </c>
    </row>
    <row r="1427" s="24" customFormat="1" spans="1:6">
      <c r="A1427" s="24" t="s">
        <v>142</v>
      </c>
      <c r="B1427" s="24" t="str">
        <f>"002315"</f>
        <v>002315</v>
      </c>
      <c r="C1427" s="24" t="s">
        <v>1648</v>
      </c>
      <c r="D1427" s="24" t="s">
        <v>163</v>
      </c>
      <c r="E1427" s="24">
        <v>102.45</v>
      </c>
      <c r="F1427" s="24">
        <v>3.25</v>
      </c>
    </row>
    <row r="1428" s="24" customFormat="1" spans="1:6">
      <c r="A1428" s="24" t="s">
        <v>140</v>
      </c>
      <c r="B1428" s="24" t="str">
        <f>"688010"</f>
        <v>688010</v>
      </c>
      <c r="C1428" s="24" t="s">
        <v>1649</v>
      </c>
      <c r="D1428" s="24" t="s">
        <v>230</v>
      </c>
      <c r="E1428" s="24">
        <v>101.87</v>
      </c>
      <c r="F1428" s="24">
        <v>4.26</v>
      </c>
    </row>
    <row r="1429" s="24" customFormat="1" spans="1:6">
      <c r="A1429" s="24" t="s">
        <v>142</v>
      </c>
      <c r="B1429" s="24" t="str">
        <f>"002653"</f>
        <v>002653</v>
      </c>
      <c r="C1429" s="24" t="s">
        <v>1650</v>
      </c>
      <c r="D1429" s="24" t="s">
        <v>464</v>
      </c>
      <c r="E1429" s="24">
        <v>101.87</v>
      </c>
      <c r="F1429" s="24">
        <v>11.31</v>
      </c>
    </row>
    <row r="1430" s="24" customFormat="1" spans="1:6">
      <c r="A1430" s="24" t="s">
        <v>142</v>
      </c>
      <c r="B1430" s="24" t="str">
        <f>"000665"</f>
        <v>000665</v>
      </c>
      <c r="C1430" s="24" t="s">
        <v>1651</v>
      </c>
      <c r="D1430" s="24" t="s">
        <v>170</v>
      </c>
      <c r="E1430" s="24">
        <v>101.69</v>
      </c>
      <c r="F1430" s="24">
        <v>0.95</v>
      </c>
    </row>
    <row r="1431" s="24" customFormat="1" spans="1:6">
      <c r="A1431" s="24" t="s">
        <v>142</v>
      </c>
      <c r="B1431" s="24" t="str">
        <f>"002345"</f>
        <v>002345</v>
      </c>
      <c r="C1431" s="24" t="s">
        <v>1652</v>
      </c>
      <c r="D1431" s="24" t="s">
        <v>161</v>
      </c>
      <c r="E1431" s="24">
        <v>101.55</v>
      </c>
      <c r="F1431" s="24">
        <v>1.3</v>
      </c>
    </row>
    <row r="1432" s="24" customFormat="1" spans="1:6">
      <c r="A1432" s="24" t="s">
        <v>142</v>
      </c>
      <c r="B1432" s="24" t="str">
        <f>"300373"</f>
        <v>300373</v>
      </c>
      <c r="C1432" s="24" t="s">
        <v>1653</v>
      </c>
      <c r="D1432" s="24" t="s">
        <v>276</v>
      </c>
      <c r="E1432" s="24">
        <v>101.54</v>
      </c>
      <c r="F1432" s="24">
        <v>6.06</v>
      </c>
    </row>
    <row r="1433" s="24" customFormat="1" spans="1:6">
      <c r="A1433" s="24" t="s">
        <v>142</v>
      </c>
      <c r="B1433" s="24" t="str">
        <f>"000948"</f>
        <v>000948</v>
      </c>
      <c r="C1433" s="24" t="s">
        <v>1654</v>
      </c>
      <c r="D1433" s="24" t="s">
        <v>159</v>
      </c>
      <c r="E1433" s="24">
        <v>101.3</v>
      </c>
      <c r="F1433" s="24">
        <v>2.22</v>
      </c>
    </row>
    <row r="1434" s="24" customFormat="1" spans="1:6">
      <c r="A1434" s="24" t="s">
        <v>142</v>
      </c>
      <c r="B1434" s="24" t="str">
        <f>"300531"</f>
        <v>300531</v>
      </c>
      <c r="C1434" s="24" t="s">
        <v>1655</v>
      </c>
      <c r="D1434" s="24" t="s">
        <v>152</v>
      </c>
      <c r="E1434" s="24">
        <v>101.01</v>
      </c>
      <c r="F1434" s="24">
        <v>3.85</v>
      </c>
    </row>
    <row r="1435" s="24" customFormat="1" spans="1:6">
      <c r="A1435" s="24" t="s">
        <v>140</v>
      </c>
      <c r="B1435" s="24" t="str">
        <f>"603602"</f>
        <v>603602</v>
      </c>
      <c r="C1435" s="24" t="s">
        <v>1656</v>
      </c>
      <c r="D1435" s="24" t="s">
        <v>179</v>
      </c>
      <c r="E1435" s="24">
        <v>100.86</v>
      </c>
      <c r="F1435" s="24">
        <v>5.06</v>
      </c>
    </row>
    <row r="1436" s="24" customFormat="1" spans="1:6">
      <c r="A1436" s="24" t="s">
        <v>142</v>
      </c>
      <c r="B1436" s="24" t="str">
        <f>"002945"</f>
        <v>002945</v>
      </c>
      <c r="C1436" s="24" t="s">
        <v>1657</v>
      </c>
      <c r="D1436" s="24" t="s">
        <v>714</v>
      </c>
      <c r="E1436" s="24">
        <v>100.77</v>
      </c>
      <c r="F1436" s="24">
        <v>6.8</v>
      </c>
    </row>
    <row r="1437" s="24" customFormat="1" spans="1:6">
      <c r="A1437" s="24" t="s">
        <v>142</v>
      </c>
      <c r="B1437" s="24" t="str">
        <f>"300113"</f>
        <v>300113</v>
      </c>
      <c r="C1437" s="24" t="s">
        <v>1658</v>
      </c>
      <c r="D1437" s="24" t="s">
        <v>163</v>
      </c>
      <c r="E1437" s="24">
        <v>100.49</v>
      </c>
      <c r="F1437" s="24">
        <v>11.85</v>
      </c>
    </row>
    <row r="1438" s="24" customFormat="1" spans="1:6">
      <c r="A1438" s="24" t="s">
        <v>142</v>
      </c>
      <c r="B1438" s="24" t="str">
        <f>"300603"</f>
        <v>300603</v>
      </c>
      <c r="C1438" s="24" t="s">
        <v>1659</v>
      </c>
      <c r="D1438" s="24" t="s">
        <v>159</v>
      </c>
      <c r="E1438" s="24">
        <v>100.19</v>
      </c>
      <c r="F1438" s="24">
        <v>9.64</v>
      </c>
    </row>
    <row r="1439" s="24" customFormat="1" spans="1:6">
      <c r="A1439" s="24" t="s">
        <v>140</v>
      </c>
      <c r="B1439" s="24" t="str">
        <f>"688118"</f>
        <v>688118</v>
      </c>
      <c r="C1439" s="24" t="s">
        <v>1660</v>
      </c>
      <c r="D1439" s="24" t="s">
        <v>156</v>
      </c>
      <c r="E1439" s="24">
        <v>99.54</v>
      </c>
      <c r="F1439" s="24">
        <v>5.53</v>
      </c>
    </row>
    <row r="1440" s="24" customFormat="1" spans="1:6">
      <c r="A1440" s="24" t="s">
        <v>140</v>
      </c>
      <c r="B1440" s="24" t="str">
        <f>"600547"</f>
        <v>600547</v>
      </c>
      <c r="C1440" s="24" t="s">
        <v>1661</v>
      </c>
      <c r="D1440" s="24" t="s">
        <v>167</v>
      </c>
      <c r="E1440" s="24">
        <v>99.54</v>
      </c>
      <c r="F1440" s="24">
        <v>5.42</v>
      </c>
    </row>
    <row r="1441" s="24" customFormat="1" spans="1:6">
      <c r="A1441" s="24" t="s">
        <v>140</v>
      </c>
      <c r="B1441" s="24" t="str">
        <f>"600360"</f>
        <v>600360</v>
      </c>
      <c r="C1441" s="24" t="s">
        <v>1662</v>
      </c>
      <c r="D1441" s="24" t="s">
        <v>276</v>
      </c>
      <c r="E1441" s="24">
        <v>99.37</v>
      </c>
      <c r="F1441" s="24">
        <v>2.41</v>
      </c>
    </row>
    <row r="1442" s="24" customFormat="1" spans="1:6">
      <c r="A1442" s="24" t="s">
        <v>140</v>
      </c>
      <c r="B1442" s="24" t="str">
        <f>"600078"</f>
        <v>600078</v>
      </c>
      <c r="C1442" s="24" t="s">
        <v>1663</v>
      </c>
      <c r="D1442" s="24" t="s">
        <v>256</v>
      </c>
      <c r="E1442" s="24">
        <v>99.34</v>
      </c>
      <c r="F1442" s="24">
        <v>1.83</v>
      </c>
    </row>
    <row r="1443" s="24" customFormat="1" spans="1:6">
      <c r="A1443" s="24" t="s">
        <v>140</v>
      </c>
      <c r="B1443" s="24" t="str">
        <f>"603256"</f>
        <v>603256</v>
      </c>
      <c r="C1443" s="24" t="s">
        <v>1664</v>
      </c>
      <c r="D1443" s="24" t="s">
        <v>644</v>
      </c>
      <c r="E1443" s="24">
        <v>99.17</v>
      </c>
      <c r="F1443" s="24">
        <v>8.56</v>
      </c>
    </row>
    <row r="1444" s="24" customFormat="1" spans="1:6">
      <c r="A1444" s="24" t="s">
        <v>142</v>
      </c>
      <c r="B1444" s="24" t="str">
        <f>"000605"</f>
        <v>000605</v>
      </c>
      <c r="C1444" s="24" t="s">
        <v>1665</v>
      </c>
      <c r="D1444" s="24" t="s">
        <v>908</v>
      </c>
      <c r="E1444" s="24">
        <v>98.94</v>
      </c>
      <c r="F1444" s="24">
        <v>1.38</v>
      </c>
    </row>
    <row r="1445" s="24" customFormat="1" spans="1:6">
      <c r="A1445" s="24" t="s">
        <v>142</v>
      </c>
      <c r="B1445" s="24" t="str">
        <f>"002214"</f>
        <v>002214</v>
      </c>
      <c r="C1445" s="24" t="s">
        <v>1666</v>
      </c>
      <c r="D1445" s="24" t="s">
        <v>152</v>
      </c>
      <c r="E1445" s="24">
        <v>98.68</v>
      </c>
      <c r="F1445" s="24">
        <v>8.72</v>
      </c>
    </row>
    <row r="1446" s="24" customFormat="1" spans="1:6">
      <c r="A1446" s="24" t="s">
        <v>142</v>
      </c>
      <c r="B1446" s="24" t="str">
        <f>"300680"</f>
        <v>300680</v>
      </c>
      <c r="C1446" s="24" t="s">
        <v>1667</v>
      </c>
      <c r="D1446" s="24" t="s">
        <v>204</v>
      </c>
      <c r="E1446" s="24">
        <v>98.67</v>
      </c>
      <c r="F1446" s="24">
        <v>3.91</v>
      </c>
    </row>
    <row r="1447" s="24" customFormat="1" spans="1:6">
      <c r="A1447" s="24" t="s">
        <v>140</v>
      </c>
      <c r="B1447" s="24" t="str">
        <f>"603888"</f>
        <v>603888</v>
      </c>
      <c r="C1447" s="24" t="s">
        <v>1668</v>
      </c>
      <c r="D1447" s="24" t="s">
        <v>163</v>
      </c>
      <c r="E1447" s="24">
        <v>98.62</v>
      </c>
      <c r="F1447" s="24">
        <v>4.98</v>
      </c>
    </row>
    <row r="1448" s="24" customFormat="1" spans="1:6">
      <c r="A1448" s="24" t="s">
        <v>142</v>
      </c>
      <c r="B1448" s="24" t="str">
        <f>"300473"</f>
        <v>300473</v>
      </c>
      <c r="C1448" s="24" t="s">
        <v>1669</v>
      </c>
      <c r="D1448" s="24" t="s">
        <v>204</v>
      </c>
      <c r="E1448" s="24">
        <v>98.52</v>
      </c>
      <c r="F1448" s="24">
        <v>4.06</v>
      </c>
    </row>
    <row r="1449" s="24" customFormat="1" spans="1:6">
      <c r="A1449" s="24" t="s">
        <v>142</v>
      </c>
      <c r="B1449" s="24" t="str">
        <f>"300087"</f>
        <v>300087</v>
      </c>
      <c r="C1449" s="24" t="s">
        <v>1670</v>
      </c>
      <c r="D1449" s="24" t="s">
        <v>145</v>
      </c>
      <c r="E1449" s="24">
        <v>98.5</v>
      </c>
      <c r="F1449" s="24">
        <v>8.15</v>
      </c>
    </row>
    <row r="1450" s="24" customFormat="1" spans="1:6">
      <c r="A1450" s="24" t="s">
        <v>142</v>
      </c>
      <c r="B1450" s="24" t="str">
        <f>"300174"</f>
        <v>300174</v>
      </c>
      <c r="C1450" s="24" t="s">
        <v>1671</v>
      </c>
      <c r="D1450" s="24" t="s">
        <v>156</v>
      </c>
      <c r="E1450" s="24">
        <v>98.45</v>
      </c>
      <c r="F1450" s="24">
        <v>6.33</v>
      </c>
    </row>
    <row r="1451" s="24" customFormat="1" spans="1:6">
      <c r="A1451" s="24" t="s">
        <v>142</v>
      </c>
      <c r="B1451" s="24" t="str">
        <f>"300237"</f>
        <v>300237</v>
      </c>
      <c r="C1451" s="24" t="s">
        <v>1672</v>
      </c>
      <c r="D1451" s="24" t="s">
        <v>315</v>
      </c>
      <c r="E1451" s="24">
        <v>98.32</v>
      </c>
      <c r="F1451" s="24">
        <v>1.08</v>
      </c>
    </row>
    <row r="1452" s="24" customFormat="1" spans="1:6">
      <c r="A1452" s="24" t="s">
        <v>140</v>
      </c>
      <c r="B1452" s="24" t="str">
        <f>"603093"</f>
        <v>603093</v>
      </c>
      <c r="C1452" s="24" t="s">
        <v>1673</v>
      </c>
      <c r="D1452" s="24" t="s">
        <v>813</v>
      </c>
      <c r="E1452" s="24">
        <v>98.28</v>
      </c>
      <c r="F1452" s="24">
        <v>5.19</v>
      </c>
    </row>
    <row r="1453" s="24" customFormat="1" spans="1:6">
      <c r="A1453" s="24" t="s">
        <v>140</v>
      </c>
      <c r="B1453" s="24" t="str">
        <f>"603927"</f>
        <v>603927</v>
      </c>
      <c r="C1453" s="24" t="s">
        <v>1674</v>
      </c>
      <c r="D1453" s="24" t="s">
        <v>156</v>
      </c>
      <c r="E1453" s="24">
        <v>98.04</v>
      </c>
      <c r="F1453" s="24">
        <v>18.19</v>
      </c>
    </row>
    <row r="1454" s="24" customFormat="1" spans="1:6">
      <c r="A1454" s="24" t="s">
        <v>142</v>
      </c>
      <c r="B1454" s="24" t="str">
        <f>"002079"</f>
        <v>002079</v>
      </c>
      <c r="C1454" s="24" t="s">
        <v>1675</v>
      </c>
      <c r="D1454" s="24" t="s">
        <v>276</v>
      </c>
      <c r="E1454" s="24">
        <v>97.74</v>
      </c>
      <c r="F1454" s="24">
        <v>6.05</v>
      </c>
    </row>
    <row r="1455" s="24" customFormat="1" spans="1:6">
      <c r="A1455" s="24" t="s">
        <v>140</v>
      </c>
      <c r="B1455" s="24" t="str">
        <f>"600551"</f>
        <v>600551</v>
      </c>
      <c r="C1455" s="24" t="s">
        <v>1676</v>
      </c>
      <c r="D1455" s="24" t="s">
        <v>170</v>
      </c>
      <c r="E1455" s="24">
        <v>97.73</v>
      </c>
      <c r="F1455" s="24">
        <v>0.87</v>
      </c>
    </row>
    <row r="1456" s="24" customFormat="1" spans="1:6">
      <c r="A1456" s="24" t="s">
        <v>142</v>
      </c>
      <c r="B1456" s="24" t="str">
        <f>"300475"</f>
        <v>300475</v>
      </c>
      <c r="C1456" s="24" t="s">
        <v>1677</v>
      </c>
      <c r="D1456" s="24" t="s">
        <v>251</v>
      </c>
      <c r="E1456" s="24">
        <v>97.65</v>
      </c>
      <c r="F1456" s="24">
        <v>2.5</v>
      </c>
    </row>
    <row r="1457" s="24" customFormat="1" spans="1:6">
      <c r="A1457" s="24" t="s">
        <v>142</v>
      </c>
      <c r="B1457" s="24" t="str">
        <f>"300319"</f>
        <v>300319</v>
      </c>
      <c r="C1457" s="24" t="s">
        <v>1678</v>
      </c>
      <c r="D1457" s="24" t="s">
        <v>197</v>
      </c>
      <c r="E1457" s="24">
        <v>97.44</v>
      </c>
      <c r="F1457" s="24">
        <v>4.59</v>
      </c>
    </row>
    <row r="1458" s="24" customFormat="1" spans="1:6">
      <c r="A1458" s="24" t="s">
        <v>142</v>
      </c>
      <c r="B1458" s="24" t="str">
        <f>"002153"</f>
        <v>002153</v>
      </c>
      <c r="C1458" s="24" t="s">
        <v>1679</v>
      </c>
      <c r="D1458" s="24" t="s">
        <v>156</v>
      </c>
      <c r="E1458" s="24">
        <v>97.36</v>
      </c>
      <c r="F1458" s="24">
        <v>6.64</v>
      </c>
    </row>
    <row r="1459" s="24" customFormat="1" spans="1:6">
      <c r="A1459" s="24" t="s">
        <v>142</v>
      </c>
      <c r="B1459" s="24" t="str">
        <f>"300799"</f>
        <v>300799</v>
      </c>
      <c r="C1459" s="24" t="s">
        <v>1680</v>
      </c>
      <c r="D1459" s="24" t="s">
        <v>159</v>
      </c>
      <c r="E1459" s="24">
        <v>97.31</v>
      </c>
      <c r="F1459" s="24">
        <v>11.66</v>
      </c>
    </row>
    <row r="1460" s="24" customFormat="1" spans="1:6">
      <c r="A1460" s="24" t="s">
        <v>140</v>
      </c>
      <c r="B1460" s="24" t="str">
        <f>"603933"</f>
        <v>603933</v>
      </c>
      <c r="C1460" s="24" t="s">
        <v>1681</v>
      </c>
      <c r="D1460" s="24" t="s">
        <v>276</v>
      </c>
      <c r="E1460" s="24">
        <v>97.29</v>
      </c>
      <c r="F1460" s="24">
        <v>2.58</v>
      </c>
    </row>
    <row r="1461" s="24" customFormat="1" spans="1:6">
      <c r="A1461" s="24" t="s">
        <v>140</v>
      </c>
      <c r="B1461" s="24" t="str">
        <f>"688028"</f>
        <v>688028</v>
      </c>
      <c r="C1461" s="24" t="s">
        <v>1682</v>
      </c>
      <c r="D1461" s="24" t="s">
        <v>173</v>
      </c>
      <c r="E1461" s="24">
        <v>97.28</v>
      </c>
      <c r="F1461" s="24">
        <v>6.52</v>
      </c>
    </row>
    <row r="1462" s="24" customFormat="1" spans="1:6">
      <c r="A1462" s="24" t="s">
        <v>142</v>
      </c>
      <c r="B1462" s="24" t="str">
        <f>"000962"</f>
        <v>000962</v>
      </c>
      <c r="C1462" s="24" t="s">
        <v>1683</v>
      </c>
      <c r="D1462" s="24" t="s">
        <v>167</v>
      </c>
      <c r="E1462" s="24">
        <v>97.23</v>
      </c>
      <c r="F1462" s="24">
        <v>2.42</v>
      </c>
    </row>
    <row r="1463" s="24" customFormat="1" spans="1:6">
      <c r="A1463" s="24" t="s">
        <v>140</v>
      </c>
      <c r="B1463" s="24" t="str">
        <f>"688218"</f>
        <v>688218</v>
      </c>
      <c r="C1463" s="24" t="s">
        <v>1684</v>
      </c>
      <c r="D1463" s="24" t="s">
        <v>165</v>
      </c>
      <c r="E1463" s="24">
        <v>97.21</v>
      </c>
      <c r="F1463" s="24">
        <v>4.86</v>
      </c>
    </row>
    <row r="1464" s="24" customFormat="1" spans="1:6">
      <c r="A1464" s="24" t="s">
        <v>142</v>
      </c>
      <c r="B1464" s="24" t="str">
        <f>"300813"</f>
        <v>300813</v>
      </c>
      <c r="C1464" s="24" t="s">
        <v>1685</v>
      </c>
      <c r="D1464" s="24"/>
      <c r="E1464" s="24">
        <v>96.98</v>
      </c>
      <c r="F1464" s="24">
        <v>7.73</v>
      </c>
    </row>
    <row r="1465" s="24" customFormat="1" spans="1:6">
      <c r="A1465" s="24" t="s">
        <v>140</v>
      </c>
      <c r="B1465" s="24" t="str">
        <f>"603499"</f>
        <v>603499</v>
      </c>
      <c r="C1465" s="24" t="s">
        <v>1686</v>
      </c>
      <c r="D1465" s="24" t="s">
        <v>290</v>
      </c>
      <c r="E1465" s="24">
        <v>96.56</v>
      </c>
      <c r="F1465" s="24">
        <v>3.7</v>
      </c>
    </row>
    <row r="1466" s="24" customFormat="1" spans="1:6">
      <c r="A1466" s="24" t="s">
        <v>142</v>
      </c>
      <c r="B1466" s="24" t="str">
        <f>"000878"</f>
        <v>000878</v>
      </c>
      <c r="C1466" s="24" t="s">
        <v>1687</v>
      </c>
      <c r="D1466" s="24" t="s">
        <v>167</v>
      </c>
      <c r="E1466" s="24">
        <v>96.51</v>
      </c>
      <c r="F1466" s="24">
        <v>2.29</v>
      </c>
    </row>
    <row r="1467" s="24" customFormat="1" spans="1:6">
      <c r="A1467" s="24" t="s">
        <v>140</v>
      </c>
      <c r="B1467" s="24" t="str">
        <f>"688011"</f>
        <v>688011</v>
      </c>
      <c r="C1467" s="24" t="s">
        <v>1688</v>
      </c>
      <c r="D1467" s="24" t="s">
        <v>395</v>
      </c>
      <c r="E1467" s="24">
        <v>96.4</v>
      </c>
      <c r="F1467" s="24">
        <v>4.14</v>
      </c>
    </row>
    <row r="1468" s="24" customFormat="1" spans="1:6">
      <c r="A1468" s="24" t="s">
        <v>140</v>
      </c>
      <c r="B1468" s="24" t="str">
        <f>"600320"</f>
        <v>600320</v>
      </c>
      <c r="C1468" s="24" t="s">
        <v>1689</v>
      </c>
      <c r="D1468" s="24" t="s">
        <v>173</v>
      </c>
      <c r="E1468" s="24">
        <v>96.39</v>
      </c>
      <c r="F1468" s="24">
        <v>1.18</v>
      </c>
    </row>
    <row r="1469" s="24" customFormat="1" spans="1:6">
      <c r="A1469" s="24" t="s">
        <v>142</v>
      </c>
      <c r="B1469" s="24" t="str">
        <f>"002886"</f>
        <v>002886</v>
      </c>
      <c r="C1469" s="24" t="s">
        <v>1690</v>
      </c>
      <c r="D1469" s="24" t="s">
        <v>228</v>
      </c>
      <c r="E1469" s="24">
        <v>96.35</v>
      </c>
      <c r="F1469" s="24">
        <v>4.11</v>
      </c>
    </row>
    <row r="1470" s="24" customFormat="1" spans="1:6">
      <c r="A1470" s="24" t="s">
        <v>142</v>
      </c>
      <c r="B1470" s="24" t="str">
        <f>"002495"</f>
        <v>002495</v>
      </c>
      <c r="C1470" s="24" t="s">
        <v>1691</v>
      </c>
      <c r="D1470" s="24" t="s">
        <v>190</v>
      </c>
      <c r="E1470" s="24">
        <v>96.29</v>
      </c>
      <c r="F1470" s="24">
        <v>2.02</v>
      </c>
    </row>
    <row r="1471" s="24" customFormat="1" spans="1:6">
      <c r="A1471" s="24" t="s">
        <v>142</v>
      </c>
      <c r="B1471" s="24" t="str">
        <f>"002762"</f>
        <v>002762</v>
      </c>
      <c r="C1471" s="24" t="s">
        <v>1692</v>
      </c>
      <c r="D1471" s="24" t="s">
        <v>161</v>
      </c>
      <c r="E1471" s="24">
        <v>96.1</v>
      </c>
      <c r="F1471" s="24">
        <v>1.82</v>
      </c>
    </row>
    <row r="1472" s="24" customFormat="1" spans="1:6">
      <c r="A1472" s="24" t="s">
        <v>140</v>
      </c>
      <c r="B1472" s="24" t="str">
        <f>"688007"</f>
        <v>688007</v>
      </c>
      <c r="C1472" s="24" t="s">
        <v>1693</v>
      </c>
      <c r="D1472" s="24" t="s">
        <v>152</v>
      </c>
      <c r="E1472" s="24">
        <v>96.05</v>
      </c>
      <c r="F1472" s="24">
        <v>7.56</v>
      </c>
    </row>
    <row r="1473" s="24" customFormat="1" spans="1:6">
      <c r="A1473" s="24" t="s">
        <v>142</v>
      </c>
      <c r="B1473" s="24" t="str">
        <f>"300006"</f>
        <v>300006</v>
      </c>
      <c r="C1473" s="24" t="s">
        <v>1694</v>
      </c>
      <c r="D1473" s="24" t="s">
        <v>464</v>
      </c>
      <c r="E1473" s="24">
        <v>95.78</v>
      </c>
      <c r="F1473" s="24">
        <v>2.86</v>
      </c>
    </row>
    <row r="1474" s="24" customFormat="1" spans="1:6">
      <c r="A1474" s="24" t="s">
        <v>142</v>
      </c>
      <c r="B1474" s="24" t="str">
        <f>"002606"</f>
        <v>002606</v>
      </c>
      <c r="C1474" s="24" t="s">
        <v>1695</v>
      </c>
      <c r="D1474" s="24" t="s">
        <v>251</v>
      </c>
      <c r="E1474" s="24">
        <v>95.23</v>
      </c>
      <c r="F1474" s="24">
        <v>2.34</v>
      </c>
    </row>
    <row r="1475" s="24" customFormat="1" spans="1:6">
      <c r="A1475" s="24" t="s">
        <v>142</v>
      </c>
      <c r="B1475" s="24" t="str">
        <f>"300633"</f>
        <v>300633</v>
      </c>
      <c r="C1475" s="24" t="s">
        <v>1696</v>
      </c>
      <c r="D1475" s="24" t="s">
        <v>618</v>
      </c>
      <c r="E1475" s="24">
        <v>95.11</v>
      </c>
      <c r="F1475" s="24">
        <v>11.43</v>
      </c>
    </row>
    <row r="1476" s="24" customFormat="1" spans="1:6">
      <c r="A1476" s="24" t="s">
        <v>140</v>
      </c>
      <c r="B1476" s="24" t="str">
        <f>"600372"</f>
        <v>600372</v>
      </c>
      <c r="C1476" s="24" t="s">
        <v>1697</v>
      </c>
      <c r="D1476" s="24" t="s">
        <v>395</v>
      </c>
      <c r="E1476" s="24">
        <v>95.1</v>
      </c>
      <c r="F1476" s="24">
        <v>3.22</v>
      </c>
    </row>
    <row r="1477" s="24" customFormat="1" spans="1:6">
      <c r="A1477" s="24" t="s">
        <v>140</v>
      </c>
      <c r="B1477" s="24" t="str">
        <f>"688029"</f>
        <v>688029</v>
      </c>
      <c r="C1477" s="24" t="s">
        <v>1698</v>
      </c>
      <c r="D1477" s="24" t="s">
        <v>618</v>
      </c>
      <c r="E1477" s="24">
        <v>95.05</v>
      </c>
      <c r="F1477" s="24">
        <v>10.35</v>
      </c>
    </row>
    <row r="1478" s="24" customFormat="1" spans="1:6">
      <c r="A1478" s="24" t="s">
        <v>140</v>
      </c>
      <c r="B1478" s="24" t="str">
        <f>"600103"</f>
        <v>600103</v>
      </c>
      <c r="C1478" s="24" t="s">
        <v>1699</v>
      </c>
      <c r="D1478" s="24" t="s">
        <v>509</v>
      </c>
      <c r="E1478" s="24">
        <v>95.02</v>
      </c>
      <c r="F1478" s="24">
        <v>1.23</v>
      </c>
    </row>
    <row r="1479" s="24" customFormat="1" spans="1:6">
      <c r="A1479" s="24" t="s">
        <v>142</v>
      </c>
      <c r="B1479" s="24" t="str">
        <f>"300017"</f>
        <v>300017</v>
      </c>
      <c r="C1479" s="24" t="s">
        <v>1700</v>
      </c>
      <c r="D1479" s="24" t="s">
        <v>163</v>
      </c>
      <c r="E1479" s="24">
        <v>94.91</v>
      </c>
      <c r="F1479" s="24">
        <v>2.68</v>
      </c>
    </row>
    <row r="1480" s="24" customFormat="1" spans="1:6">
      <c r="A1480" s="24" t="s">
        <v>142</v>
      </c>
      <c r="B1480" s="24" t="str">
        <f>"000788"</f>
        <v>000788</v>
      </c>
      <c r="C1480" s="24" t="s">
        <v>1701</v>
      </c>
      <c r="D1480" s="24" t="s">
        <v>997</v>
      </c>
      <c r="E1480" s="24">
        <v>94.87</v>
      </c>
      <c r="F1480" s="24">
        <v>3.42</v>
      </c>
    </row>
    <row r="1481" s="24" customFormat="1" spans="1:6">
      <c r="A1481" s="24" t="s">
        <v>140</v>
      </c>
      <c r="B1481" s="24" t="str">
        <f>"603613"</f>
        <v>603613</v>
      </c>
      <c r="C1481" s="24" t="s">
        <v>1702</v>
      </c>
      <c r="D1481" s="24" t="s">
        <v>163</v>
      </c>
      <c r="E1481" s="24">
        <v>94.71</v>
      </c>
      <c r="F1481" s="24">
        <v>11.83</v>
      </c>
    </row>
    <row r="1482" s="24" customFormat="1" spans="1:6">
      <c r="A1482" s="24" t="s">
        <v>140</v>
      </c>
      <c r="B1482" s="24" t="str">
        <f>"600678"</f>
        <v>600678</v>
      </c>
      <c r="C1482" s="24" t="s">
        <v>1703</v>
      </c>
      <c r="D1482" s="24" t="s">
        <v>667</v>
      </c>
      <c r="E1482" s="24">
        <v>94.49</v>
      </c>
      <c r="F1482" s="24">
        <v>23.62</v>
      </c>
    </row>
    <row r="1483" s="24" customFormat="1" spans="1:6">
      <c r="A1483" s="24" t="s">
        <v>142</v>
      </c>
      <c r="B1483" s="24" t="str">
        <f>"300502"</f>
        <v>300502</v>
      </c>
      <c r="C1483" s="24" t="s">
        <v>1704</v>
      </c>
      <c r="D1483" s="24" t="s">
        <v>193</v>
      </c>
      <c r="E1483" s="24">
        <v>94.4</v>
      </c>
      <c r="F1483" s="24">
        <v>11.18</v>
      </c>
    </row>
    <row r="1484" s="24" customFormat="1" spans="1:6">
      <c r="A1484" s="24" t="s">
        <v>142</v>
      </c>
      <c r="B1484" s="24" t="str">
        <f>"300239"</f>
        <v>300239</v>
      </c>
      <c r="C1484" s="24" t="s">
        <v>1705</v>
      </c>
      <c r="D1484" s="24" t="s">
        <v>326</v>
      </c>
      <c r="E1484" s="24">
        <v>94.38</v>
      </c>
      <c r="F1484" s="24">
        <v>2.88</v>
      </c>
    </row>
    <row r="1485" s="24" customFormat="1" spans="1:6">
      <c r="A1485" s="24" t="s">
        <v>142</v>
      </c>
      <c r="B1485" s="24" t="str">
        <f>"002919"</f>
        <v>002919</v>
      </c>
      <c r="C1485" s="24" t="s">
        <v>1706</v>
      </c>
      <c r="D1485" s="24" t="s">
        <v>333</v>
      </c>
      <c r="E1485" s="24">
        <v>94.35</v>
      </c>
      <c r="F1485" s="24">
        <v>2.98</v>
      </c>
    </row>
    <row r="1486" s="24" customFormat="1" spans="1:6">
      <c r="A1486" s="24" t="s">
        <v>142</v>
      </c>
      <c r="B1486" s="24" t="str">
        <f>"300585"</f>
        <v>300585</v>
      </c>
      <c r="C1486" s="24" t="s">
        <v>1707</v>
      </c>
      <c r="D1486" s="24" t="s">
        <v>204</v>
      </c>
      <c r="E1486" s="24">
        <v>94.34</v>
      </c>
      <c r="F1486" s="24">
        <v>6.08</v>
      </c>
    </row>
    <row r="1487" s="24" customFormat="1" spans="1:6">
      <c r="A1487" s="24" t="s">
        <v>140</v>
      </c>
      <c r="B1487" s="24" t="str">
        <f>"601226"</f>
        <v>601226</v>
      </c>
      <c r="C1487" s="24" t="s">
        <v>1708</v>
      </c>
      <c r="D1487" s="24" t="s">
        <v>315</v>
      </c>
      <c r="E1487" s="24">
        <v>94.31</v>
      </c>
      <c r="F1487" s="24">
        <v>1.21</v>
      </c>
    </row>
    <row r="1488" s="24" customFormat="1" spans="1:6">
      <c r="A1488" s="24" t="s">
        <v>142</v>
      </c>
      <c r="B1488" s="24" t="str">
        <f>"300550"</f>
        <v>300550</v>
      </c>
      <c r="C1488" s="24" t="s">
        <v>1709</v>
      </c>
      <c r="D1488" s="24" t="s">
        <v>156</v>
      </c>
      <c r="E1488" s="24">
        <v>94.21</v>
      </c>
      <c r="F1488" s="24">
        <v>6.43</v>
      </c>
    </row>
    <row r="1489" s="24" customFormat="1" spans="1:6">
      <c r="A1489" s="24" t="s">
        <v>140</v>
      </c>
      <c r="B1489" s="24" t="str">
        <f>"600399"</f>
        <v>600399</v>
      </c>
      <c r="C1489" s="24" t="s">
        <v>1710</v>
      </c>
      <c r="D1489" s="24" t="s">
        <v>258</v>
      </c>
      <c r="E1489" s="24">
        <v>94.03</v>
      </c>
      <c r="F1489" s="24">
        <v>1.49</v>
      </c>
    </row>
    <row r="1490" s="24" customFormat="1" spans="1:6">
      <c r="A1490" s="24" t="s">
        <v>142</v>
      </c>
      <c r="B1490" s="24" t="str">
        <f>"300488"</f>
        <v>300488</v>
      </c>
      <c r="C1490" s="24" t="s">
        <v>1711</v>
      </c>
      <c r="D1490" s="24" t="s">
        <v>165</v>
      </c>
      <c r="E1490" s="24">
        <v>94.01</v>
      </c>
      <c r="F1490" s="24">
        <v>2.77</v>
      </c>
    </row>
    <row r="1491" s="24" customFormat="1" spans="1:6">
      <c r="A1491" s="24" t="s">
        <v>140</v>
      </c>
      <c r="B1491" s="24" t="str">
        <f>"688138"</f>
        <v>688138</v>
      </c>
      <c r="C1491" s="24" t="s">
        <v>1712</v>
      </c>
      <c r="D1491" s="24" t="s">
        <v>197</v>
      </c>
      <c r="E1491" s="24">
        <v>93.95</v>
      </c>
      <c r="F1491" s="24">
        <v>5.07</v>
      </c>
    </row>
    <row r="1492" s="24" customFormat="1" spans="1:6">
      <c r="A1492" s="24" t="s">
        <v>142</v>
      </c>
      <c r="B1492" s="24" t="str">
        <f>"002335"</f>
        <v>002335</v>
      </c>
      <c r="C1492" s="24" t="s">
        <v>1713</v>
      </c>
      <c r="D1492" s="24" t="s">
        <v>251</v>
      </c>
      <c r="E1492" s="24">
        <v>93.82</v>
      </c>
      <c r="F1492" s="24">
        <v>2.45</v>
      </c>
    </row>
    <row r="1493" s="24" customFormat="1" spans="1:6">
      <c r="A1493" s="24" t="s">
        <v>142</v>
      </c>
      <c r="B1493" s="24" t="str">
        <f>"300556"</f>
        <v>300556</v>
      </c>
      <c r="C1493" s="24" t="s">
        <v>1714</v>
      </c>
      <c r="D1493" s="24" t="s">
        <v>214</v>
      </c>
      <c r="E1493" s="24">
        <v>93.74</v>
      </c>
      <c r="F1493" s="24">
        <v>3.66</v>
      </c>
    </row>
    <row r="1494" s="24" customFormat="1" spans="1:6">
      <c r="A1494" s="24" t="s">
        <v>140</v>
      </c>
      <c r="B1494" s="24" t="str">
        <f>"688022"</f>
        <v>688022</v>
      </c>
      <c r="C1494" s="24" t="s">
        <v>1715</v>
      </c>
      <c r="D1494" s="24" t="s">
        <v>173</v>
      </c>
      <c r="E1494" s="24">
        <v>93.67</v>
      </c>
      <c r="F1494" s="24">
        <v>8.11</v>
      </c>
    </row>
    <row r="1495" s="24" customFormat="1" spans="1:6">
      <c r="A1495" s="24" t="s">
        <v>142</v>
      </c>
      <c r="B1495" s="24" t="str">
        <f>"002194"</f>
        <v>002194</v>
      </c>
      <c r="C1495" s="24" t="s">
        <v>1716</v>
      </c>
      <c r="D1495" s="24" t="s">
        <v>193</v>
      </c>
      <c r="E1495" s="24">
        <v>93.56</v>
      </c>
      <c r="F1495" s="24">
        <v>5.74</v>
      </c>
    </row>
    <row r="1496" s="24" customFormat="1" spans="1:6">
      <c r="A1496" s="24" t="s">
        <v>140</v>
      </c>
      <c r="B1496" s="24" t="str">
        <f>"603348"</f>
        <v>603348</v>
      </c>
      <c r="C1496" s="24" t="s">
        <v>1717</v>
      </c>
      <c r="D1496" s="24" t="s">
        <v>204</v>
      </c>
      <c r="E1496" s="24">
        <v>93.51</v>
      </c>
      <c r="F1496" s="24">
        <v>2.69</v>
      </c>
    </row>
    <row r="1497" s="24" customFormat="1" spans="1:6">
      <c r="A1497" s="24" t="s">
        <v>140</v>
      </c>
      <c r="B1497" s="24" t="str">
        <f>"688108"</f>
        <v>688108</v>
      </c>
      <c r="C1497" s="24" t="s">
        <v>1718</v>
      </c>
      <c r="D1497" s="24" t="s">
        <v>618</v>
      </c>
      <c r="E1497" s="24">
        <v>93.24</v>
      </c>
      <c r="F1497" s="24">
        <v>7.67</v>
      </c>
    </row>
    <row r="1498" s="24" customFormat="1" spans="1:6">
      <c r="A1498" s="24" t="s">
        <v>142</v>
      </c>
      <c r="B1498" s="24" t="str">
        <f>"300046"</f>
        <v>300046</v>
      </c>
      <c r="C1498" s="24" t="s">
        <v>1719</v>
      </c>
      <c r="D1498" s="24" t="s">
        <v>276</v>
      </c>
      <c r="E1498" s="24">
        <v>93.23</v>
      </c>
      <c r="F1498" s="24">
        <v>8.07</v>
      </c>
    </row>
    <row r="1499" s="24" customFormat="1" spans="1:6">
      <c r="A1499" s="24" t="s">
        <v>142</v>
      </c>
      <c r="B1499" s="24" t="str">
        <f>"002119"</f>
        <v>002119</v>
      </c>
      <c r="C1499" s="24" t="s">
        <v>1720</v>
      </c>
      <c r="D1499" s="24" t="s">
        <v>197</v>
      </c>
      <c r="E1499" s="24">
        <v>92.94</v>
      </c>
      <c r="F1499" s="24">
        <v>6.48</v>
      </c>
    </row>
    <row r="1500" s="24" customFormat="1" spans="1:6">
      <c r="A1500" s="24" t="s">
        <v>140</v>
      </c>
      <c r="B1500" s="24" t="str">
        <f>"601236"</f>
        <v>601236</v>
      </c>
      <c r="C1500" s="24" t="s">
        <v>1721</v>
      </c>
      <c r="D1500" s="24" t="s">
        <v>714</v>
      </c>
      <c r="E1500" s="24">
        <v>92.77</v>
      </c>
      <c r="F1500" s="24">
        <v>4.8</v>
      </c>
    </row>
    <row r="1501" s="24" customFormat="1" spans="1:6">
      <c r="A1501" s="24" t="s">
        <v>142</v>
      </c>
      <c r="B1501" s="24" t="str">
        <f>"002465"</f>
        <v>002465</v>
      </c>
      <c r="C1501" s="24" t="s">
        <v>1722</v>
      </c>
      <c r="D1501" s="24" t="s">
        <v>193</v>
      </c>
      <c r="E1501" s="24">
        <v>92.46</v>
      </c>
      <c r="F1501" s="24">
        <v>3.72</v>
      </c>
    </row>
    <row r="1502" s="24" customFormat="1" spans="1:6">
      <c r="A1502" s="24" t="s">
        <v>142</v>
      </c>
      <c r="B1502" s="24" t="str">
        <f>"300363"</f>
        <v>300363</v>
      </c>
      <c r="C1502" s="24" t="s">
        <v>1723</v>
      </c>
      <c r="D1502" s="24" t="s">
        <v>464</v>
      </c>
      <c r="E1502" s="24">
        <v>92.19</v>
      </c>
      <c r="F1502" s="24">
        <v>4.78</v>
      </c>
    </row>
    <row r="1503" s="24" customFormat="1" spans="1:6">
      <c r="A1503" s="24" t="s">
        <v>142</v>
      </c>
      <c r="B1503" s="24" t="str">
        <f>"300015"</f>
        <v>300015</v>
      </c>
      <c r="C1503" s="24" t="s">
        <v>1724</v>
      </c>
      <c r="D1503" s="24" t="s">
        <v>348</v>
      </c>
      <c r="E1503" s="24">
        <v>91.82</v>
      </c>
      <c r="F1503" s="24">
        <v>31.97</v>
      </c>
    </row>
    <row r="1504" s="24" customFormat="1" spans="1:6">
      <c r="A1504" s="24" t="s">
        <v>142</v>
      </c>
      <c r="B1504" s="24" t="str">
        <f>"002855"</f>
        <v>002855</v>
      </c>
      <c r="C1504" s="24" t="s">
        <v>1725</v>
      </c>
      <c r="D1504" s="24" t="s">
        <v>197</v>
      </c>
      <c r="E1504" s="24">
        <v>91.76</v>
      </c>
      <c r="F1504" s="24">
        <v>2.45</v>
      </c>
    </row>
    <row r="1505" s="24" customFormat="1" spans="1:6">
      <c r="A1505" s="24" t="s">
        <v>142</v>
      </c>
      <c r="B1505" s="24" t="str">
        <f>"300402"</f>
        <v>300402</v>
      </c>
      <c r="C1505" s="24" t="s">
        <v>1726</v>
      </c>
      <c r="D1505" s="24" t="s">
        <v>173</v>
      </c>
      <c r="E1505" s="24">
        <v>91.71</v>
      </c>
      <c r="F1505" s="24">
        <v>2.57</v>
      </c>
    </row>
    <row r="1506" s="24" customFormat="1" spans="1:6">
      <c r="A1506" s="24" t="s">
        <v>142</v>
      </c>
      <c r="B1506" s="24" t="str">
        <f>"300123"</f>
        <v>300123</v>
      </c>
      <c r="C1506" s="24" t="s">
        <v>1727</v>
      </c>
      <c r="D1506" s="24" t="s">
        <v>283</v>
      </c>
      <c r="E1506" s="24">
        <v>91.65</v>
      </c>
      <c r="F1506" s="24">
        <v>6.9</v>
      </c>
    </row>
    <row r="1507" s="24" customFormat="1" spans="1:6">
      <c r="A1507" s="24" t="s">
        <v>142</v>
      </c>
      <c r="B1507" s="24" t="str">
        <f>"300766"</f>
        <v>300766</v>
      </c>
      <c r="C1507" s="24" t="s">
        <v>1728</v>
      </c>
      <c r="D1507" s="24" t="s">
        <v>163</v>
      </c>
      <c r="E1507" s="24">
        <v>91.59</v>
      </c>
      <c r="F1507" s="24">
        <v>10.33</v>
      </c>
    </row>
    <row r="1508" s="24" customFormat="1" spans="1:6">
      <c r="A1508" s="24" t="s">
        <v>140</v>
      </c>
      <c r="B1508" s="24" t="str">
        <f>"688368"</f>
        <v>688368</v>
      </c>
      <c r="C1508" s="24" t="s">
        <v>1729</v>
      </c>
      <c r="D1508" s="24" t="s">
        <v>276</v>
      </c>
      <c r="E1508" s="24">
        <v>91.56</v>
      </c>
      <c r="F1508" s="24">
        <v>5.93</v>
      </c>
    </row>
    <row r="1509" s="24" customFormat="1" spans="1:6">
      <c r="A1509" s="24" t="s">
        <v>142</v>
      </c>
      <c r="B1509" s="24" t="str">
        <f>"300050"</f>
        <v>300050</v>
      </c>
      <c r="C1509" s="24" t="s">
        <v>1730</v>
      </c>
      <c r="D1509" s="24" t="s">
        <v>179</v>
      </c>
      <c r="E1509" s="24">
        <v>91.49</v>
      </c>
      <c r="F1509" s="24">
        <v>1.67</v>
      </c>
    </row>
    <row r="1510" s="24" customFormat="1" spans="1:6">
      <c r="A1510" s="24" t="s">
        <v>140</v>
      </c>
      <c r="B1510" s="24" t="str">
        <f>"603999"</f>
        <v>603999</v>
      </c>
      <c r="C1510" s="24" t="s">
        <v>1731</v>
      </c>
      <c r="D1510" s="24" t="s">
        <v>170</v>
      </c>
      <c r="E1510" s="24">
        <v>91.39</v>
      </c>
      <c r="F1510" s="24">
        <v>2.27</v>
      </c>
    </row>
    <row r="1511" s="24" customFormat="1" spans="1:6">
      <c r="A1511" s="24" t="s">
        <v>142</v>
      </c>
      <c r="B1511" s="24" t="str">
        <f>"002296"</f>
        <v>002296</v>
      </c>
      <c r="C1511" s="24" t="s">
        <v>1732</v>
      </c>
      <c r="D1511" s="24" t="s">
        <v>193</v>
      </c>
      <c r="E1511" s="24">
        <v>91.34</v>
      </c>
      <c r="F1511" s="24">
        <v>1.94</v>
      </c>
    </row>
    <row r="1512" s="24" customFormat="1" spans="1:6">
      <c r="A1512" s="24" t="s">
        <v>142</v>
      </c>
      <c r="B1512" s="24" t="str">
        <f>"002346"</f>
        <v>002346</v>
      </c>
      <c r="C1512" s="24" t="s">
        <v>1733</v>
      </c>
      <c r="D1512" s="24" t="s">
        <v>251</v>
      </c>
      <c r="E1512" s="24">
        <v>91.21</v>
      </c>
      <c r="F1512" s="24">
        <v>2.29</v>
      </c>
    </row>
    <row r="1513" s="24" customFormat="1" spans="1:6">
      <c r="A1513" s="24" t="s">
        <v>140</v>
      </c>
      <c r="B1513" s="24" t="str">
        <f>"600216"</f>
        <v>600216</v>
      </c>
      <c r="C1513" s="24" t="s">
        <v>1734</v>
      </c>
      <c r="D1513" s="24" t="s">
        <v>997</v>
      </c>
      <c r="E1513" s="24">
        <v>91.2</v>
      </c>
      <c r="F1513" s="24">
        <v>1.84</v>
      </c>
    </row>
    <row r="1514" s="24" customFormat="1" spans="1:6">
      <c r="A1514" s="24" t="s">
        <v>142</v>
      </c>
      <c r="B1514" s="24" t="str">
        <f>"300170"</f>
        <v>300170</v>
      </c>
      <c r="C1514" s="24" t="s">
        <v>1735</v>
      </c>
      <c r="D1514" s="24" t="s">
        <v>159</v>
      </c>
      <c r="E1514" s="24">
        <v>91</v>
      </c>
      <c r="F1514" s="24">
        <v>3.17</v>
      </c>
    </row>
    <row r="1515" s="24" customFormat="1" spans="1:6">
      <c r="A1515" s="24" t="s">
        <v>142</v>
      </c>
      <c r="B1515" s="24" t="str">
        <f>"002212"</f>
        <v>002212</v>
      </c>
      <c r="C1515" s="24" t="s">
        <v>1736</v>
      </c>
      <c r="D1515" s="24" t="s">
        <v>251</v>
      </c>
      <c r="E1515" s="24">
        <v>90.99</v>
      </c>
      <c r="F1515" s="24">
        <v>7.57</v>
      </c>
    </row>
    <row r="1516" s="24" customFormat="1" spans="1:6">
      <c r="A1516" s="24" t="s">
        <v>140</v>
      </c>
      <c r="B1516" s="24" t="str">
        <f>"600893"</f>
        <v>600893</v>
      </c>
      <c r="C1516" s="24" t="s">
        <v>1737</v>
      </c>
      <c r="D1516" s="24" t="s">
        <v>395</v>
      </c>
      <c r="E1516" s="24">
        <v>90.99</v>
      </c>
      <c r="F1516" s="24">
        <v>1.59</v>
      </c>
    </row>
    <row r="1517" s="24" customFormat="1" spans="1:6">
      <c r="A1517" s="24" t="s">
        <v>140</v>
      </c>
      <c r="B1517" s="24" t="str">
        <f>"600992"</f>
        <v>600992</v>
      </c>
      <c r="C1517" s="24" t="s">
        <v>1738</v>
      </c>
      <c r="D1517" s="24" t="s">
        <v>258</v>
      </c>
      <c r="E1517" s="24">
        <v>90.75</v>
      </c>
      <c r="F1517" s="24">
        <v>1.07</v>
      </c>
    </row>
    <row r="1518" s="24" customFormat="1" spans="1:6">
      <c r="A1518" s="24" t="s">
        <v>142</v>
      </c>
      <c r="B1518" s="24" t="str">
        <f>"000729"</f>
        <v>000729</v>
      </c>
      <c r="C1518" s="24" t="s">
        <v>1739</v>
      </c>
      <c r="D1518" s="24" t="s">
        <v>309</v>
      </c>
      <c r="E1518" s="24">
        <v>90.68</v>
      </c>
      <c r="F1518" s="24">
        <v>1.25</v>
      </c>
    </row>
    <row r="1519" s="24" customFormat="1" spans="1:6">
      <c r="A1519" s="24" t="s">
        <v>140</v>
      </c>
      <c r="B1519" s="24" t="str">
        <f>"900952"</f>
        <v>900952</v>
      </c>
      <c r="C1519" s="24" t="s">
        <v>1740</v>
      </c>
      <c r="D1519" s="24"/>
      <c r="E1519" s="24">
        <v>90.45</v>
      </c>
      <c r="F1519" s="24">
        <v>0.59</v>
      </c>
    </row>
    <row r="1520" s="24" customFormat="1" spans="1:6">
      <c r="A1520" s="24" t="s">
        <v>140</v>
      </c>
      <c r="B1520" s="24" t="str">
        <f>"600980"</f>
        <v>600980</v>
      </c>
      <c r="C1520" s="24" t="s">
        <v>1741</v>
      </c>
      <c r="D1520" s="24" t="s">
        <v>197</v>
      </c>
      <c r="E1520" s="24">
        <v>90.39</v>
      </c>
      <c r="F1520" s="24">
        <v>3.1</v>
      </c>
    </row>
    <row r="1521" s="24" customFormat="1" spans="1:6">
      <c r="A1521" s="24" t="s">
        <v>140</v>
      </c>
      <c r="B1521" s="24" t="str">
        <f>"688168"</f>
        <v>688168</v>
      </c>
      <c r="C1521" s="24" t="s">
        <v>1742</v>
      </c>
      <c r="D1521" s="24" t="s">
        <v>163</v>
      </c>
      <c r="E1521" s="24">
        <v>90.13</v>
      </c>
      <c r="F1521" s="24">
        <v>6.95</v>
      </c>
    </row>
    <row r="1522" s="24" customFormat="1" spans="1:6">
      <c r="A1522" s="24" t="s">
        <v>142</v>
      </c>
      <c r="B1522" s="24" t="str">
        <f>"300685"</f>
        <v>300685</v>
      </c>
      <c r="C1522" s="24" t="s">
        <v>1743</v>
      </c>
      <c r="D1522" s="24" t="s">
        <v>464</v>
      </c>
      <c r="E1522" s="24">
        <v>90.06</v>
      </c>
      <c r="F1522" s="24">
        <v>12.27</v>
      </c>
    </row>
    <row r="1523" s="24" customFormat="1" spans="1:6">
      <c r="A1523" s="24" t="s">
        <v>142</v>
      </c>
      <c r="B1523" s="24" t="str">
        <f>"300413"</f>
        <v>300413</v>
      </c>
      <c r="C1523" s="24" t="s">
        <v>1744</v>
      </c>
      <c r="D1523" s="24" t="s">
        <v>170</v>
      </c>
      <c r="E1523" s="24">
        <v>89.99</v>
      </c>
      <c r="F1523" s="24">
        <v>10.58</v>
      </c>
    </row>
    <row r="1524" s="24" customFormat="1" spans="1:6">
      <c r="A1524" s="24" t="s">
        <v>142</v>
      </c>
      <c r="B1524" s="24" t="str">
        <f>"300627"</f>
        <v>300627</v>
      </c>
      <c r="C1524" s="24" t="s">
        <v>1745</v>
      </c>
      <c r="D1524" s="24" t="s">
        <v>395</v>
      </c>
      <c r="E1524" s="24">
        <v>89.93</v>
      </c>
      <c r="F1524" s="24">
        <v>7.33</v>
      </c>
    </row>
    <row r="1525" s="24" customFormat="1" spans="1:6">
      <c r="A1525" s="24" t="s">
        <v>142</v>
      </c>
      <c r="B1525" s="24" t="str">
        <f>"002553"</f>
        <v>002553</v>
      </c>
      <c r="C1525" s="24" t="s">
        <v>1746</v>
      </c>
      <c r="D1525" s="24" t="s">
        <v>165</v>
      </c>
      <c r="E1525" s="24">
        <v>89.75</v>
      </c>
      <c r="F1525" s="24">
        <v>2.65</v>
      </c>
    </row>
    <row r="1526" s="24" customFormat="1" spans="1:6">
      <c r="A1526" s="24" t="s">
        <v>142</v>
      </c>
      <c r="B1526" s="24" t="str">
        <f>"002628"</f>
        <v>002628</v>
      </c>
      <c r="C1526" s="24" t="s">
        <v>1747</v>
      </c>
      <c r="D1526" s="24" t="s">
        <v>315</v>
      </c>
      <c r="E1526" s="24">
        <v>89.71</v>
      </c>
      <c r="F1526" s="24">
        <v>1.15</v>
      </c>
    </row>
    <row r="1527" s="24" customFormat="1" spans="1:6">
      <c r="A1527" s="24" t="s">
        <v>142</v>
      </c>
      <c r="B1527" s="24" t="str">
        <f>"002560"</f>
        <v>002560</v>
      </c>
      <c r="C1527" s="24" t="s">
        <v>1748</v>
      </c>
      <c r="D1527" s="24" t="s">
        <v>251</v>
      </c>
      <c r="E1527" s="24">
        <v>89.62</v>
      </c>
      <c r="F1527" s="24">
        <v>1.65</v>
      </c>
    </row>
    <row r="1528" s="24" customFormat="1" spans="1:6">
      <c r="A1528" s="24" t="s">
        <v>142</v>
      </c>
      <c r="B1528" s="24" t="str">
        <f>"300576"</f>
        <v>300576</v>
      </c>
      <c r="C1528" s="24" t="s">
        <v>1749</v>
      </c>
      <c r="D1528" s="24" t="s">
        <v>228</v>
      </c>
      <c r="E1528" s="24">
        <v>89.58</v>
      </c>
      <c r="F1528" s="24">
        <v>7.1</v>
      </c>
    </row>
    <row r="1529" s="24" customFormat="1" spans="1:6">
      <c r="A1529" s="24" t="s">
        <v>140</v>
      </c>
      <c r="B1529" s="24" t="str">
        <f>"603429"</f>
        <v>603429</v>
      </c>
      <c r="C1529" s="24" t="s">
        <v>1750</v>
      </c>
      <c r="D1529" s="24" t="s">
        <v>214</v>
      </c>
      <c r="E1529" s="24">
        <v>89.56</v>
      </c>
      <c r="F1529" s="24">
        <v>11.79</v>
      </c>
    </row>
    <row r="1530" s="24" customFormat="1" spans="1:6">
      <c r="A1530" s="24" t="s">
        <v>142</v>
      </c>
      <c r="B1530" s="24" t="str">
        <f>"300770"</f>
        <v>300770</v>
      </c>
      <c r="C1530" s="24" t="s">
        <v>1751</v>
      </c>
      <c r="D1530" s="24" t="s">
        <v>170</v>
      </c>
      <c r="E1530" s="24">
        <v>89.42</v>
      </c>
      <c r="F1530" s="24">
        <v>11.7</v>
      </c>
    </row>
    <row r="1531" s="24" customFormat="1" spans="1:6">
      <c r="A1531" s="24" t="s">
        <v>142</v>
      </c>
      <c r="B1531" s="24" t="str">
        <f>"300595"</f>
        <v>300595</v>
      </c>
      <c r="C1531" s="24" t="s">
        <v>1752</v>
      </c>
      <c r="D1531" s="24" t="s">
        <v>618</v>
      </c>
      <c r="E1531" s="24">
        <v>89.36</v>
      </c>
      <c r="F1531" s="24">
        <v>18.72</v>
      </c>
    </row>
    <row r="1532" s="24" customFormat="1" spans="1:6">
      <c r="A1532" s="24" t="s">
        <v>140</v>
      </c>
      <c r="B1532" s="24" t="str">
        <f>"600279"</f>
        <v>600279</v>
      </c>
      <c r="C1532" s="24" t="s">
        <v>1753</v>
      </c>
      <c r="D1532" s="24" t="s">
        <v>1016</v>
      </c>
      <c r="E1532" s="24">
        <v>89.34</v>
      </c>
      <c r="F1532" s="24">
        <v>0.81</v>
      </c>
    </row>
    <row r="1533" s="24" customFormat="1" spans="1:6">
      <c r="A1533" s="24" t="s">
        <v>142</v>
      </c>
      <c r="B1533" s="24" t="str">
        <f>"300682"</f>
        <v>300682</v>
      </c>
      <c r="C1533" s="24" t="s">
        <v>1754</v>
      </c>
      <c r="D1533" s="24" t="s">
        <v>163</v>
      </c>
      <c r="E1533" s="24">
        <v>89.27</v>
      </c>
      <c r="F1533" s="24">
        <v>6.42</v>
      </c>
    </row>
    <row r="1534" s="24" customFormat="1" spans="1:6">
      <c r="A1534" s="24" t="s">
        <v>142</v>
      </c>
      <c r="B1534" s="24" t="str">
        <f>"000403"</f>
        <v>000403</v>
      </c>
      <c r="C1534" s="24" t="s">
        <v>1755</v>
      </c>
      <c r="D1534" s="24" t="s">
        <v>326</v>
      </c>
      <c r="E1534" s="24">
        <v>88.93</v>
      </c>
      <c r="F1534" s="24">
        <v>12.3</v>
      </c>
    </row>
    <row r="1535" s="24" customFormat="1" spans="1:6">
      <c r="A1535" s="24" t="s">
        <v>142</v>
      </c>
      <c r="B1535" s="24" t="str">
        <f>"002278"</f>
        <v>002278</v>
      </c>
      <c r="C1535" s="24" t="s">
        <v>1756</v>
      </c>
      <c r="D1535" s="24" t="s">
        <v>377</v>
      </c>
      <c r="E1535" s="24">
        <v>88.92</v>
      </c>
      <c r="F1535" s="24">
        <v>2.08</v>
      </c>
    </row>
    <row r="1536" s="24" customFormat="1" spans="1:6">
      <c r="A1536" s="24" t="s">
        <v>142</v>
      </c>
      <c r="B1536" s="24" t="str">
        <f>"300012"</f>
        <v>300012</v>
      </c>
      <c r="C1536" s="24" t="s">
        <v>1757</v>
      </c>
      <c r="D1536" s="24" t="s">
        <v>214</v>
      </c>
      <c r="E1536" s="24">
        <v>88.82</v>
      </c>
      <c r="F1536" s="24">
        <v>9.47</v>
      </c>
    </row>
    <row r="1537" s="24" customFormat="1" spans="1:6">
      <c r="A1537" s="24" t="s">
        <v>140</v>
      </c>
      <c r="B1537" s="24" t="str">
        <f>"600393"</f>
        <v>600393</v>
      </c>
      <c r="C1537" s="24" t="s">
        <v>1758</v>
      </c>
      <c r="D1537" s="24" t="s">
        <v>244</v>
      </c>
      <c r="E1537" s="24">
        <v>88.77</v>
      </c>
      <c r="F1537" s="24">
        <v>1.08</v>
      </c>
    </row>
    <row r="1538" s="24" customFormat="1" spans="1:6">
      <c r="A1538" s="24" t="s">
        <v>142</v>
      </c>
      <c r="B1538" s="24" t="str">
        <f>"002044"</f>
        <v>002044</v>
      </c>
      <c r="C1538" s="24" t="s">
        <v>1759</v>
      </c>
      <c r="D1538" s="24" t="s">
        <v>348</v>
      </c>
      <c r="E1538" s="24">
        <v>88.76</v>
      </c>
      <c r="F1538" s="24">
        <v>16.23</v>
      </c>
    </row>
    <row r="1539" s="24" customFormat="1" spans="1:6">
      <c r="A1539" s="24" t="s">
        <v>140</v>
      </c>
      <c r="B1539" s="24" t="str">
        <f>"600276"</f>
        <v>600276</v>
      </c>
      <c r="C1539" s="24" t="s">
        <v>99</v>
      </c>
      <c r="D1539" s="24" t="s">
        <v>464</v>
      </c>
      <c r="E1539" s="24">
        <v>88.7</v>
      </c>
      <c r="F1539" s="24">
        <v>17.47</v>
      </c>
    </row>
    <row r="1540" s="24" customFormat="1" spans="1:6">
      <c r="A1540" s="24" t="s">
        <v>142</v>
      </c>
      <c r="B1540" s="24" t="str">
        <f>"200521"</f>
        <v>200521</v>
      </c>
      <c r="C1540" s="24" t="s">
        <v>1760</v>
      </c>
      <c r="D1540" s="24"/>
      <c r="E1540" s="24">
        <v>88.69</v>
      </c>
      <c r="F1540" s="24">
        <v>0.39</v>
      </c>
    </row>
    <row r="1541" s="24" customFormat="1" spans="1:6">
      <c r="A1541" s="24" t="s">
        <v>142</v>
      </c>
      <c r="B1541" s="24" t="str">
        <f>"300656"</f>
        <v>300656</v>
      </c>
      <c r="C1541" s="24" t="s">
        <v>1761</v>
      </c>
      <c r="D1541" s="24" t="s">
        <v>152</v>
      </c>
      <c r="E1541" s="24">
        <v>88.61</v>
      </c>
      <c r="F1541" s="24">
        <v>6.96</v>
      </c>
    </row>
    <row r="1542" s="24" customFormat="1" spans="1:6">
      <c r="A1542" s="24" t="s">
        <v>140</v>
      </c>
      <c r="B1542" s="24" t="str">
        <f>"603229"</f>
        <v>603229</v>
      </c>
      <c r="C1542" s="24" t="s">
        <v>1762</v>
      </c>
      <c r="D1542" s="24" t="s">
        <v>997</v>
      </c>
      <c r="E1542" s="24">
        <v>88.41</v>
      </c>
      <c r="F1542" s="24">
        <v>7.25</v>
      </c>
    </row>
    <row r="1543" s="24" customFormat="1" spans="1:6">
      <c r="A1543" s="24" t="s">
        <v>142</v>
      </c>
      <c r="B1543" s="24" t="str">
        <f>"002460"</f>
        <v>002460</v>
      </c>
      <c r="C1543" s="24" t="s">
        <v>1763</v>
      </c>
      <c r="D1543" s="24" t="s">
        <v>167</v>
      </c>
      <c r="E1543" s="24">
        <v>88.39</v>
      </c>
      <c r="F1543" s="24">
        <v>9.74</v>
      </c>
    </row>
    <row r="1544" s="24" customFormat="1" spans="1:6">
      <c r="A1544" s="24" t="s">
        <v>140</v>
      </c>
      <c r="B1544" s="24" t="str">
        <f>"600982"</f>
        <v>600982</v>
      </c>
      <c r="C1544" s="24" t="s">
        <v>1764</v>
      </c>
      <c r="D1544" s="24" t="s">
        <v>450</v>
      </c>
      <c r="E1544" s="24">
        <v>88.36</v>
      </c>
      <c r="F1544" s="24">
        <v>0.89</v>
      </c>
    </row>
    <row r="1545" s="24" customFormat="1" spans="1:6">
      <c r="A1545" s="24" t="s">
        <v>142</v>
      </c>
      <c r="B1545" s="24" t="str">
        <f>"002751"</f>
        <v>002751</v>
      </c>
      <c r="C1545" s="24" t="s">
        <v>1765</v>
      </c>
      <c r="D1545" s="24" t="s">
        <v>214</v>
      </c>
      <c r="E1545" s="24">
        <v>88.17</v>
      </c>
      <c r="F1545" s="24">
        <v>3.48</v>
      </c>
    </row>
    <row r="1546" s="24" customFormat="1" spans="1:6">
      <c r="A1546" s="24" t="s">
        <v>142</v>
      </c>
      <c r="B1546" s="24" t="str">
        <f>"002826"</f>
        <v>002826</v>
      </c>
      <c r="C1546" s="24" t="s">
        <v>1766</v>
      </c>
      <c r="D1546" s="24" t="s">
        <v>388</v>
      </c>
      <c r="E1546" s="24">
        <v>88.11</v>
      </c>
      <c r="F1546" s="24">
        <v>3.3</v>
      </c>
    </row>
    <row r="1547" s="24" customFormat="1" spans="1:6">
      <c r="A1547" s="24" t="s">
        <v>142</v>
      </c>
      <c r="B1547" s="24" t="str">
        <f>"000988"</f>
        <v>000988</v>
      </c>
      <c r="C1547" s="24" t="s">
        <v>1767</v>
      </c>
      <c r="D1547" s="24" t="s">
        <v>152</v>
      </c>
      <c r="E1547" s="24">
        <v>88.09</v>
      </c>
      <c r="F1547" s="24">
        <v>3.69</v>
      </c>
    </row>
    <row r="1548" s="24" customFormat="1" spans="1:6">
      <c r="A1548" s="24" t="s">
        <v>140</v>
      </c>
      <c r="B1548" s="24" t="str">
        <f>"603259"</f>
        <v>603259</v>
      </c>
      <c r="C1548" s="24" t="s">
        <v>1768</v>
      </c>
      <c r="D1548" s="24" t="s">
        <v>326</v>
      </c>
      <c r="E1548" s="24">
        <v>88.07</v>
      </c>
      <c r="F1548" s="24">
        <v>11.15</v>
      </c>
    </row>
    <row r="1549" s="24" customFormat="1" spans="1:6">
      <c r="A1549" s="24" t="s">
        <v>142</v>
      </c>
      <c r="B1549" s="24" t="str">
        <f>"300024"</f>
        <v>300024</v>
      </c>
      <c r="C1549" s="24" t="s">
        <v>1769</v>
      </c>
      <c r="D1549" s="24" t="s">
        <v>165</v>
      </c>
      <c r="E1549" s="24">
        <v>87.95</v>
      </c>
      <c r="F1549" s="24">
        <v>3.8</v>
      </c>
    </row>
    <row r="1550" s="24" customFormat="1" spans="1:6">
      <c r="A1550" s="24" t="s">
        <v>142</v>
      </c>
      <c r="B1550" s="24" t="str">
        <f>"300013"</f>
        <v>300013</v>
      </c>
      <c r="C1550" s="24" t="s">
        <v>1770</v>
      </c>
      <c r="D1550" s="24" t="s">
        <v>177</v>
      </c>
      <c r="E1550" s="24">
        <v>87.92</v>
      </c>
      <c r="F1550" s="24">
        <v>2.41</v>
      </c>
    </row>
    <row r="1551" s="24" customFormat="1" spans="1:6">
      <c r="A1551" s="24" t="s">
        <v>142</v>
      </c>
      <c r="B1551" s="24" t="str">
        <f>"300212"</f>
        <v>300212</v>
      </c>
      <c r="C1551" s="24" t="s">
        <v>1771</v>
      </c>
      <c r="D1551" s="24" t="s">
        <v>159</v>
      </c>
      <c r="E1551" s="24">
        <v>87.87</v>
      </c>
      <c r="F1551" s="24">
        <v>8.32</v>
      </c>
    </row>
    <row r="1552" s="24" customFormat="1" spans="1:6">
      <c r="A1552" s="24" t="s">
        <v>140</v>
      </c>
      <c r="B1552" s="24" t="str">
        <f>"600778"</f>
        <v>600778</v>
      </c>
      <c r="C1552" s="24" t="s">
        <v>1772</v>
      </c>
      <c r="D1552" s="24" t="s">
        <v>148</v>
      </c>
      <c r="E1552" s="24">
        <v>87.65</v>
      </c>
      <c r="F1552" s="24">
        <v>1.63</v>
      </c>
    </row>
    <row r="1553" s="24" customFormat="1" spans="1:6">
      <c r="A1553" s="24" t="s">
        <v>142</v>
      </c>
      <c r="B1553" s="24" t="str">
        <f>"002774"</f>
        <v>002774</v>
      </c>
      <c r="C1553" s="24" t="s">
        <v>1773</v>
      </c>
      <c r="D1553" s="24" t="s">
        <v>293</v>
      </c>
      <c r="E1553" s="24">
        <v>87.56</v>
      </c>
      <c r="F1553" s="24">
        <v>2.09</v>
      </c>
    </row>
    <row r="1554" s="24" customFormat="1" spans="1:6">
      <c r="A1554" s="24" t="s">
        <v>142</v>
      </c>
      <c r="B1554" s="24" t="str">
        <f>"002897"</f>
        <v>002897</v>
      </c>
      <c r="C1554" s="24" t="s">
        <v>1774</v>
      </c>
      <c r="D1554" s="24" t="s">
        <v>197</v>
      </c>
      <c r="E1554" s="24">
        <v>87.48</v>
      </c>
      <c r="F1554" s="24">
        <v>3.99</v>
      </c>
    </row>
    <row r="1555" s="24" customFormat="1" spans="1:6">
      <c r="A1555" s="24" t="s">
        <v>140</v>
      </c>
      <c r="B1555" s="24" t="str">
        <f>"600226"</f>
        <v>600226</v>
      </c>
      <c r="C1555" s="24" t="s">
        <v>1775</v>
      </c>
      <c r="D1555" s="24" t="s">
        <v>278</v>
      </c>
      <c r="E1555" s="24">
        <v>87.46</v>
      </c>
      <c r="F1555" s="24">
        <v>2.77</v>
      </c>
    </row>
    <row r="1556" s="24" customFormat="1" spans="1:6">
      <c r="A1556" s="24" t="s">
        <v>140</v>
      </c>
      <c r="B1556" s="24" t="str">
        <f>"688030"</f>
        <v>688030</v>
      </c>
      <c r="C1556" s="24" t="s">
        <v>1776</v>
      </c>
      <c r="D1556" s="24" t="s">
        <v>156</v>
      </c>
      <c r="E1556" s="24">
        <v>87.2</v>
      </c>
      <c r="F1556" s="24">
        <v>8.75</v>
      </c>
    </row>
    <row r="1557" s="24" customFormat="1" spans="1:6">
      <c r="A1557" s="24" t="s">
        <v>142</v>
      </c>
      <c r="B1557" s="24" t="str">
        <f>"002782"</f>
        <v>002782</v>
      </c>
      <c r="C1557" s="24" t="s">
        <v>1777</v>
      </c>
      <c r="D1557" s="24" t="s">
        <v>197</v>
      </c>
      <c r="E1557" s="24">
        <v>87.08</v>
      </c>
      <c r="F1557" s="24">
        <v>4.8</v>
      </c>
    </row>
    <row r="1558" s="24" customFormat="1" spans="1:6">
      <c r="A1558" s="24" t="s">
        <v>142</v>
      </c>
      <c r="B1558" s="24" t="str">
        <f>"000833"</f>
        <v>000833</v>
      </c>
      <c r="C1558" s="24" t="s">
        <v>1778</v>
      </c>
      <c r="D1558" s="24" t="s">
        <v>509</v>
      </c>
      <c r="E1558" s="24">
        <v>87.06</v>
      </c>
      <c r="F1558" s="24">
        <v>1.15</v>
      </c>
    </row>
    <row r="1559" s="24" customFormat="1" spans="1:6">
      <c r="A1559" s="24" t="s">
        <v>142</v>
      </c>
      <c r="B1559" s="24" t="str">
        <f>"002253"</f>
        <v>002253</v>
      </c>
      <c r="C1559" s="24" t="s">
        <v>1779</v>
      </c>
      <c r="D1559" s="24" t="s">
        <v>156</v>
      </c>
      <c r="E1559" s="24">
        <v>86.95</v>
      </c>
      <c r="F1559" s="24">
        <v>2.26</v>
      </c>
    </row>
    <row r="1560" s="24" customFormat="1" spans="1:6">
      <c r="A1560" s="24" t="s">
        <v>140</v>
      </c>
      <c r="B1560" s="24" t="str">
        <f>"688198"</f>
        <v>688198</v>
      </c>
      <c r="C1560" s="24" t="s">
        <v>1780</v>
      </c>
      <c r="D1560" s="24" t="s">
        <v>326</v>
      </c>
      <c r="E1560" s="24">
        <v>86.48</v>
      </c>
      <c r="F1560" s="24">
        <v>6.24</v>
      </c>
    </row>
    <row r="1561" s="24" customFormat="1" spans="1:6">
      <c r="A1561" s="24" t="s">
        <v>142</v>
      </c>
      <c r="B1561" s="24" t="str">
        <f>"002107"</f>
        <v>002107</v>
      </c>
      <c r="C1561" s="24" t="s">
        <v>1781</v>
      </c>
      <c r="D1561" s="24" t="s">
        <v>388</v>
      </c>
      <c r="E1561" s="24">
        <v>86.34</v>
      </c>
      <c r="F1561" s="24">
        <v>6.74</v>
      </c>
    </row>
    <row r="1562" s="24" customFormat="1" spans="1:6">
      <c r="A1562" s="24" t="s">
        <v>142</v>
      </c>
      <c r="B1562" s="24" t="str">
        <f>"300679"</f>
        <v>300679</v>
      </c>
      <c r="C1562" s="24" t="s">
        <v>1782</v>
      </c>
      <c r="D1562" s="24" t="s">
        <v>197</v>
      </c>
      <c r="E1562" s="24">
        <v>86.28</v>
      </c>
      <c r="F1562" s="24">
        <v>3.11</v>
      </c>
    </row>
    <row r="1563" s="24" customFormat="1" spans="1:6">
      <c r="A1563" s="24" t="s">
        <v>142</v>
      </c>
      <c r="B1563" s="24" t="str">
        <f>"300691"</f>
        <v>300691</v>
      </c>
      <c r="C1563" s="24" t="s">
        <v>1783</v>
      </c>
      <c r="D1563" s="24" t="s">
        <v>197</v>
      </c>
      <c r="E1563" s="24">
        <v>86.21</v>
      </c>
      <c r="F1563" s="24">
        <v>4.49</v>
      </c>
    </row>
    <row r="1564" s="24" customFormat="1" spans="1:6">
      <c r="A1564" s="24" t="s">
        <v>142</v>
      </c>
      <c r="B1564" s="24" t="str">
        <f>"002701"</f>
        <v>002701</v>
      </c>
      <c r="C1564" s="24" t="s">
        <v>1784</v>
      </c>
      <c r="D1564" s="24" t="s">
        <v>290</v>
      </c>
      <c r="E1564" s="24">
        <v>86.17</v>
      </c>
      <c r="F1564" s="24">
        <v>1.92</v>
      </c>
    </row>
    <row r="1565" s="24" customFormat="1" spans="1:6">
      <c r="A1565" s="24" t="s">
        <v>140</v>
      </c>
      <c r="B1565" s="24" t="str">
        <f>"688398"</f>
        <v>688398</v>
      </c>
      <c r="C1565" s="24" t="s">
        <v>1785</v>
      </c>
      <c r="D1565" s="24"/>
      <c r="E1565" s="24">
        <v>86.12</v>
      </c>
      <c r="F1565" s="24">
        <v>7.65</v>
      </c>
    </row>
    <row r="1566" s="24" customFormat="1" spans="1:6">
      <c r="A1566" s="24" t="s">
        <v>142</v>
      </c>
      <c r="B1566" s="24" t="str">
        <f>"002898"</f>
        <v>002898</v>
      </c>
      <c r="C1566" s="24" t="s">
        <v>1786</v>
      </c>
      <c r="D1566" s="24" t="s">
        <v>464</v>
      </c>
      <c r="E1566" s="24">
        <v>86.07</v>
      </c>
      <c r="F1566" s="24">
        <v>3.36</v>
      </c>
    </row>
    <row r="1567" s="24" customFormat="1" spans="1:6">
      <c r="A1567" s="24" t="s">
        <v>142</v>
      </c>
      <c r="B1567" s="24" t="str">
        <f>"300674"</f>
        <v>300674</v>
      </c>
      <c r="C1567" s="24" t="s">
        <v>1787</v>
      </c>
      <c r="D1567" s="24" t="s">
        <v>159</v>
      </c>
      <c r="E1567" s="24">
        <v>85.51</v>
      </c>
      <c r="F1567" s="24">
        <v>10.01</v>
      </c>
    </row>
    <row r="1568" s="24" customFormat="1" spans="1:6">
      <c r="A1568" s="24" t="s">
        <v>142</v>
      </c>
      <c r="B1568" s="24" t="str">
        <f>"300525"</f>
        <v>300525</v>
      </c>
      <c r="C1568" s="24" t="s">
        <v>1788</v>
      </c>
      <c r="D1568" s="24" t="s">
        <v>156</v>
      </c>
      <c r="E1568" s="24">
        <v>85.42</v>
      </c>
      <c r="F1568" s="24">
        <v>5.49</v>
      </c>
    </row>
    <row r="1569" s="24" customFormat="1" spans="1:6">
      <c r="A1569" s="24" t="s">
        <v>142</v>
      </c>
      <c r="B1569" s="24" t="str">
        <f>"300357"</f>
        <v>300357</v>
      </c>
      <c r="C1569" s="24" t="s">
        <v>65</v>
      </c>
      <c r="D1569" s="24" t="s">
        <v>464</v>
      </c>
      <c r="E1569" s="24">
        <v>85.3</v>
      </c>
      <c r="F1569" s="24">
        <v>19.94</v>
      </c>
    </row>
    <row r="1570" s="24" customFormat="1" spans="1:6">
      <c r="A1570" s="24" t="s">
        <v>142</v>
      </c>
      <c r="B1570" s="24" t="str">
        <f>"000153"</f>
        <v>000153</v>
      </c>
      <c r="C1570" s="24" t="s">
        <v>1789</v>
      </c>
      <c r="D1570" s="24" t="s">
        <v>464</v>
      </c>
      <c r="E1570" s="24">
        <v>85</v>
      </c>
      <c r="F1570" s="24">
        <v>1.82</v>
      </c>
    </row>
    <row r="1571" s="24" customFormat="1" spans="1:6">
      <c r="A1571" s="24" t="s">
        <v>142</v>
      </c>
      <c r="B1571" s="24" t="str">
        <f>"002065"</f>
        <v>002065</v>
      </c>
      <c r="C1571" s="24" t="s">
        <v>1790</v>
      </c>
      <c r="D1571" s="24" t="s">
        <v>156</v>
      </c>
      <c r="E1571" s="24">
        <v>85</v>
      </c>
      <c r="F1571" s="24">
        <v>5.6</v>
      </c>
    </row>
    <row r="1572" s="24" customFormat="1" spans="1:6">
      <c r="A1572" s="24" t="s">
        <v>142</v>
      </c>
      <c r="B1572" s="24" t="str">
        <f>"300380"</f>
        <v>300380</v>
      </c>
      <c r="C1572" s="24" t="s">
        <v>1791</v>
      </c>
      <c r="D1572" s="24" t="s">
        <v>156</v>
      </c>
      <c r="E1572" s="24">
        <v>84.96</v>
      </c>
      <c r="F1572" s="24">
        <v>6.37</v>
      </c>
    </row>
    <row r="1573" s="24" customFormat="1" spans="1:6">
      <c r="A1573" s="24" t="s">
        <v>140</v>
      </c>
      <c r="B1573" s="24" t="str">
        <f>"600795"</f>
        <v>600795</v>
      </c>
      <c r="C1573" s="24" t="s">
        <v>1792</v>
      </c>
      <c r="D1573" s="24" t="s">
        <v>188</v>
      </c>
      <c r="E1573" s="24">
        <v>84.5</v>
      </c>
      <c r="F1573" s="24">
        <v>0.8</v>
      </c>
    </row>
    <row r="1574" s="24" customFormat="1" spans="1:6">
      <c r="A1574" s="24" t="s">
        <v>142</v>
      </c>
      <c r="B1574" s="24" t="str">
        <f>"300750"</f>
        <v>300750</v>
      </c>
      <c r="C1574" s="24" t="s">
        <v>1793</v>
      </c>
      <c r="D1574" s="24" t="s">
        <v>251</v>
      </c>
      <c r="E1574" s="24">
        <v>84.05</v>
      </c>
      <c r="F1574" s="24">
        <v>9.37</v>
      </c>
    </row>
    <row r="1575" s="24" customFormat="1" spans="1:6">
      <c r="A1575" s="24" t="s">
        <v>142</v>
      </c>
      <c r="B1575" s="24" t="str">
        <f>"002609"</f>
        <v>002609</v>
      </c>
      <c r="C1575" s="24" t="s">
        <v>1794</v>
      </c>
      <c r="D1575" s="24" t="s">
        <v>159</v>
      </c>
      <c r="E1575" s="24">
        <v>84.03</v>
      </c>
      <c r="F1575" s="24">
        <v>4.24</v>
      </c>
    </row>
    <row r="1576" s="24" customFormat="1" spans="1:6">
      <c r="A1576" s="24" t="s">
        <v>142</v>
      </c>
      <c r="B1576" s="24" t="str">
        <f>"300078"</f>
        <v>300078</v>
      </c>
      <c r="C1576" s="24" t="s">
        <v>1795</v>
      </c>
      <c r="D1576" s="24" t="s">
        <v>152</v>
      </c>
      <c r="E1576" s="24">
        <v>83.85</v>
      </c>
      <c r="F1576" s="24">
        <v>5.47</v>
      </c>
    </row>
    <row r="1577" s="24" customFormat="1" spans="1:6">
      <c r="A1577" s="24" t="s">
        <v>142</v>
      </c>
      <c r="B1577" s="24" t="str">
        <f>"300529"</f>
        <v>300529</v>
      </c>
      <c r="C1577" s="24" t="s">
        <v>1796</v>
      </c>
      <c r="D1577" s="24" t="s">
        <v>618</v>
      </c>
      <c r="E1577" s="24">
        <v>83.81</v>
      </c>
      <c r="F1577" s="24">
        <v>20.37</v>
      </c>
    </row>
    <row r="1578" s="24" customFormat="1" spans="1:6">
      <c r="A1578" s="24" t="s">
        <v>140</v>
      </c>
      <c r="B1578" s="24" t="str">
        <f>"603378"</f>
        <v>603378</v>
      </c>
      <c r="C1578" s="24" t="s">
        <v>1797</v>
      </c>
      <c r="D1578" s="24" t="s">
        <v>667</v>
      </c>
      <c r="E1578" s="24">
        <v>83.78</v>
      </c>
      <c r="F1578" s="24">
        <v>3.68</v>
      </c>
    </row>
    <row r="1579" s="24" customFormat="1" spans="1:6">
      <c r="A1579" s="24" t="s">
        <v>140</v>
      </c>
      <c r="B1579" s="24" t="str">
        <f>"688139"</f>
        <v>688139</v>
      </c>
      <c r="C1579" s="24" t="s">
        <v>1798</v>
      </c>
      <c r="D1579" s="24" t="s">
        <v>618</v>
      </c>
      <c r="E1579" s="24">
        <v>83.77</v>
      </c>
      <c r="F1579" s="24">
        <v>4.76</v>
      </c>
    </row>
    <row r="1580" s="24" customFormat="1" spans="1:6">
      <c r="A1580" s="24" t="s">
        <v>142</v>
      </c>
      <c r="B1580" s="24" t="str">
        <f>"002556"</f>
        <v>002556</v>
      </c>
      <c r="C1580" s="24" t="s">
        <v>1799</v>
      </c>
      <c r="D1580" s="24" t="s">
        <v>207</v>
      </c>
      <c r="E1580" s="24">
        <v>83.66</v>
      </c>
      <c r="F1580" s="24">
        <v>2.01</v>
      </c>
    </row>
    <row r="1581" s="24" customFormat="1" spans="1:6">
      <c r="A1581" s="24" t="s">
        <v>140</v>
      </c>
      <c r="B1581" s="24" t="str">
        <f>"603993"</f>
        <v>603993</v>
      </c>
      <c r="C1581" s="24" t="s">
        <v>1800</v>
      </c>
      <c r="D1581" s="24" t="s">
        <v>167</v>
      </c>
      <c r="E1581" s="24">
        <v>83.6</v>
      </c>
      <c r="F1581" s="24">
        <v>2.74</v>
      </c>
    </row>
    <row r="1582" s="24" customFormat="1" spans="1:6">
      <c r="A1582" s="24" t="s">
        <v>142</v>
      </c>
      <c r="B1582" s="24" t="str">
        <f>"000977"</f>
        <v>000977</v>
      </c>
      <c r="C1582" s="24" t="s">
        <v>1801</v>
      </c>
      <c r="D1582" s="24" t="s">
        <v>352</v>
      </c>
      <c r="E1582" s="24">
        <v>83.36</v>
      </c>
      <c r="F1582" s="24">
        <v>7.21</v>
      </c>
    </row>
    <row r="1583" s="24" customFormat="1" spans="1:6">
      <c r="A1583" s="24" t="s">
        <v>142</v>
      </c>
      <c r="B1583" s="24" t="str">
        <f>"300226"</f>
        <v>300226</v>
      </c>
      <c r="C1583" s="24" t="s">
        <v>1802</v>
      </c>
      <c r="D1583" s="24" t="s">
        <v>163</v>
      </c>
      <c r="E1583" s="24">
        <v>83.08</v>
      </c>
      <c r="F1583" s="24">
        <v>12.05</v>
      </c>
    </row>
    <row r="1584" s="24" customFormat="1" spans="1:6">
      <c r="A1584" s="24" t="s">
        <v>142</v>
      </c>
      <c r="B1584" s="24" t="str">
        <f>"002049"</f>
        <v>002049</v>
      </c>
      <c r="C1584" s="24" t="s">
        <v>1803</v>
      </c>
      <c r="D1584" s="24" t="s">
        <v>276</v>
      </c>
      <c r="E1584" s="24">
        <v>83.04</v>
      </c>
      <c r="F1584" s="24">
        <v>10.38</v>
      </c>
    </row>
    <row r="1585" s="24" customFormat="1" spans="1:6">
      <c r="A1585" s="24" t="s">
        <v>142</v>
      </c>
      <c r="B1585" s="24" t="str">
        <f>"000066"</f>
        <v>000066</v>
      </c>
      <c r="C1585" s="24" t="s">
        <v>1804</v>
      </c>
      <c r="D1585" s="24" t="s">
        <v>352</v>
      </c>
      <c r="E1585" s="24">
        <v>82.8</v>
      </c>
      <c r="F1585" s="24">
        <v>6.59</v>
      </c>
    </row>
    <row r="1586" s="24" customFormat="1" spans="1:6">
      <c r="A1586" s="24" t="s">
        <v>142</v>
      </c>
      <c r="B1586" s="24" t="str">
        <f>"002129"</f>
        <v>002129</v>
      </c>
      <c r="C1586" s="24" t="s">
        <v>1805</v>
      </c>
      <c r="D1586" s="24" t="s">
        <v>276</v>
      </c>
      <c r="E1586" s="24">
        <v>82.78</v>
      </c>
      <c r="F1586" s="24">
        <v>3.68</v>
      </c>
    </row>
    <row r="1587" s="24" customFormat="1" spans="1:6">
      <c r="A1587" s="24" t="s">
        <v>140</v>
      </c>
      <c r="B1587" s="24" t="str">
        <f>"603063"</f>
        <v>603063</v>
      </c>
      <c r="C1587" s="24" t="s">
        <v>1806</v>
      </c>
      <c r="D1587" s="24" t="s">
        <v>251</v>
      </c>
      <c r="E1587" s="24">
        <v>82.71</v>
      </c>
      <c r="F1587" s="24">
        <v>1.78</v>
      </c>
    </row>
    <row r="1588" s="24" customFormat="1" spans="1:6">
      <c r="A1588" s="24" t="s">
        <v>142</v>
      </c>
      <c r="B1588" s="24" t="str">
        <f>"300623"</f>
        <v>300623</v>
      </c>
      <c r="C1588" s="24" t="s">
        <v>1807</v>
      </c>
      <c r="D1588" s="24" t="s">
        <v>276</v>
      </c>
      <c r="E1588" s="24">
        <v>82.44</v>
      </c>
      <c r="F1588" s="24">
        <v>6.14</v>
      </c>
    </row>
    <row r="1589" s="24" customFormat="1" spans="1:6">
      <c r="A1589" s="24" t="s">
        <v>142</v>
      </c>
      <c r="B1589" s="24" t="str">
        <f>"300251"</f>
        <v>300251</v>
      </c>
      <c r="C1589" s="24" t="s">
        <v>1808</v>
      </c>
      <c r="D1589" s="24" t="s">
        <v>170</v>
      </c>
      <c r="E1589" s="24">
        <v>82.41</v>
      </c>
      <c r="F1589" s="24">
        <v>3.46</v>
      </c>
    </row>
    <row r="1590" s="24" customFormat="1" spans="1:6">
      <c r="A1590" s="24" t="s">
        <v>142</v>
      </c>
      <c r="B1590" s="24" t="str">
        <f>"002673"</f>
        <v>002673</v>
      </c>
      <c r="C1590" s="24" t="s">
        <v>1809</v>
      </c>
      <c r="D1590" s="24" t="s">
        <v>714</v>
      </c>
      <c r="E1590" s="24">
        <v>82.39</v>
      </c>
      <c r="F1590" s="24">
        <v>1.68</v>
      </c>
    </row>
    <row r="1591" s="24" customFormat="1" spans="1:6">
      <c r="A1591" s="24" t="s">
        <v>142</v>
      </c>
      <c r="B1591" s="24" t="str">
        <f>"000688"</f>
        <v>000688</v>
      </c>
      <c r="C1591" s="24" t="s">
        <v>1810</v>
      </c>
      <c r="D1591" s="24" t="s">
        <v>167</v>
      </c>
      <c r="E1591" s="24">
        <v>82.29</v>
      </c>
      <c r="F1591" s="24">
        <v>7.99</v>
      </c>
    </row>
    <row r="1592" s="24" customFormat="1" spans="1:6">
      <c r="A1592" s="24" t="s">
        <v>140</v>
      </c>
      <c r="B1592" s="24" t="str">
        <f>"600135"</f>
        <v>600135</v>
      </c>
      <c r="C1592" s="24" t="s">
        <v>1811</v>
      </c>
      <c r="D1592" s="24" t="s">
        <v>283</v>
      </c>
      <c r="E1592" s="24">
        <v>81.8</v>
      </c>
      <c r="F1592" s="24">
        <v>1.67</v>
      </c>
    </row>
    <row r="1593" s="24" customFormat="1" spans="1:6">
      <c r="A1593" s="24" t="s">
        <v>140</v>
      </c>
      <c r="B1593" s="24" t="str">
        <f>"688399"</f>
        <v>688399</v>
      </c>
      <c r="C1593" s="24" t="s">
        <v>1812</v>
      </c>
      <c r="D1593" s="24" t="s">
        <v>326</v>
      </c>
      <c r="E1593" s="24">
        <v>81.57</v>
      </c>
      <c r="F1593" s="24">
        <v>5.5</v>
      </c>
    </row>
    <row r="1594" s="24" customFormat="1" spans="1:6">
      <c r="A1594" s="24" t="s">
        <v>140</v>
      </c>
      <c r="B1594" s="24" t="str">
        <f>"603882"</f>
        <v>603882</v>
      </c>
      <c r="C1594" s="24" t="s">
        <v>1813</v>
      </c>
      <c r="D1594" s="24" t="s">
        <v>348</v>
      </c>
      <c r="E1594" s="24">
        <v>81.55</v>
      </c>
      <c r="F1594" s="24">
        <v>11.74</v>
      </c>
    </row>
    <row r="1595" s="24" customFormat="1" spans="1:6">
      <c r="A1595" s="24" t="s">
        <v>142</v>
      </c>
      <c r="B1595" s="24" t="str">
        <f>"300689"</f>
        <v>300689</v>
      </c>
      <c r="C1595" s="24" t="s">
        <v>1814</v>
      </c>
      <c r="D1595" s="24" t="s">
        <v>197</v>
      </c>
      <c r="E1595" s="24">
        <v>81.34</v>
      </c>
      <c r="F1595" s="24">
        <v>4.61</v>
      </c>
    </row>
    <row r="1596" s="24" customFormat="1" spans="1:6">
      <c r="A1596" s="24" t="s">
        <v>140</v>
      </c>
      <c r="B1596" s="24" t="str">
        <f>"603286"</f>
        <v>603286</v>
      </c>
      <c r="C1596" s="24" t="s">
        <v>1815</v>
      </c>
      <c r="D1596" s="24" t="s">
        <v>204</v>
      </c>
      <c r="E1596" s="24">
        <v>81.18</v>
      </c>
      <c r="F1596" s="24">
        <v>3.44</v>
      </c>
    </row>
    <row r="1597" s="24" customFormat="1" spans="1:6">
      <c r="A1597" s="24" t="s">
        <v>142</v>
      </c>
      <c r="B1597" s="24" t="str">
        <f>"300273"</f>
        <v>300273</v>
      </c>
      <c r="C1597" s="24" t="s">
        <v>1816</v>
      </c>
      <c r="D1597" s="24" t="s">
        <v>618</v>
      </c>
      <c r="E1597" s="24">
        <v>81.12</v>
      </c>
      <c r="F1597" s="24">
        <v>1.61</v>
      </c>
    </row>
    <row r="1598" s="24" customFormat="1" spans="1:6">
      <c r="A1598" s="24" t="s">
        <v>140</v>
      </c>
      <c r="B1598" s="24" t="str">
        <f>"600105"</f>
        <v>600105</v>
      </c>
      <c r="C1598" s="24" t="s">
        <v>1817</v>
      </c>
      <c r="D1598" s="24" t="s">
        <v>193</v>
      </c>
      <c r="E1598" s="24">
        <v>81.06</v>
      </c>
      <c r="F1598" s="24">
        <v>1.97</v>
      </c>
    </row>
    <row r="1599" s="24" customFormat="1" spans="1:6">
      <c r="A1599" s="24" t="s">
        <v>140</v>
      </c>
      <c r="B1599" s="24" t="str">
        <f>"688202"</f>
        <v>688202</v>
      </c>
      <c r="C1599" s="24" t="s">
        <v>1818</v>
      </c>
      <c r="D1599" s="24" t="s">
        <v>326</v>
      </c>
      <c r="E1599" s="24">
        <v>81.05</v>
      </c>
      <c r="F1599" s="24">
        <v>4.57</v>
      </c>
    </row>
    <row r="1600" s="24" customFormat="1" spans="1:6">
      <c r="A1600" s="24" t="s">
        <v>142</v>
      </c>
      <c r="B1600" s="24" t="str">
        <f>"002386"</f>
        <v>002386</v>
      </c>
      <c r="C1600" s="24" t="s">
        <v>1819</v>
      </c>
      <c r="D1600" s="24" t="s">
        <v>256</v>
      </c>
      <c r="E1600" s="24">
        <v>80.96</v>
      </c>
      <c r="F1600" s="24">
        <v>0.96</v>
      </c>
    </row>
    <row r="1601" s="24" customFormat="1" spans="1:6">
      <c r="A1601" s="24" t="s">
        <v>142</v>
      </c>
      <c r="B1601" s="24" t="str">
        <f>"002409"</f>
        <v>002409</v>
      </c>
      <c r="C1601" s="24" t="s">
        <v>1820</v>
      </c>
      <c r="D1601" s="24" t="s">
        <v>256</v>
      </c>
      <c r="E1601" s="24">
        <v>80.55</v>
      </c>
      <c r="F1601" s="24">
        <v>6.18</v>
      </c>
    </row>
    <row r="1602" s="24" customFormat="1" spans="1:6">
      <c r="A1602" s="24" t="s">
        <v>142</v>
      </c>
      <c r="B1602" s="24" t="str">
        <f>"300033"</f>
        <v>300033</v>
      </c>
      <c r="C1602" s="24" t="s">
        <v>1821</v>
      </c>
      <c r="D1602" s="24" t="s">
        <v>163</v>
      </c>
      <c r="E1602" s="24">
        <v>80.46</v>
      </c>
      <c r="F1602" s="24">
        <v>16.66</v>
      </c>
    </row>
    <row r="1603" s="24" customFormat="1" spans="1:6">
      <c r="A1603" s="24" t="s">
        <v>142</v>
      </c>
      <c r="B1603" s="24" t="str">
        <f>"002523"</f>
        <v>002523</v>
      </c>
      <c r="C1603" s="24" t="s">
        <v>1822</v>
      </c>
      <c r="D1603" s="24" t="s">
        <v>173</v>
      </c>
      <c r="E1603" s="24">
        <v>80.46</v>
      </c>
      <c r="F1603" s="24">
        <v>1.9</v>
      </c>
    </row>
    <row r="1604" s="24" customFormat="1" spans="1:6">
      <c r="A1604" s="24" t="s">
        <v>142</v>
      </c>
      <c r="B1604" s="24" t="str">
        <f>"002821"</f>
        <v>002821</v>
      </c>
      <c r="C1604" s="24" t="s">
        <v>1823</v>
      </c>
      <c r="D1604" s="24" t="s">
        <v>464</v>
      </c>
      <c r="E1604" s="24">
        <v>80.22</v>
      </c>
      <c r="F1604" s="24">
        <v>13.04</v>
      </c>
    </row>
    <row r="1605" s="24" customFormat="1" spans="1:6">
      <c r="A1605" s="24" t="s">
        <v>140</v>
      </c>
      <c r="B1605" s="24" t="str">
        <f>"603566"</f>
        <v>603566</v>
      </c>
      <c r="C1605" s="24" t="s">
        <v>1824</v>
      </c>
      <c r="D1605" s="24" t="s">
        <v>464</v>
      </c>
      <c r="E1605" s="24">
        <v>80.2</v>
      </c>
      <c r="F1605" s="24">
        <v>3.46</v>
      </c>
    </row>
    <row r="1606" s="24" customFormat="1" spans="1:6">
      <c r="A1606" s="24" t="s">
        <v>140</v>
      </c>
      <c r="B1606" s="24" t="str">
        <f>"600819"</f>
        <v>600819</v>
      </c>
      <c r="C1606" s="24" t="s">
        <v>1825</v>
      </c>
      <c r="D1606" s="24" t="s">
        <v>644</v>
      </c>
      <c r="E1606" s="24">
        <v>80.15</v>
      </c>
      <c r="F1606" s="24">
        <v>1.45</v>
      </c>
    </row>
    <row r="1607" s="24" customFormat="1" spans="1:6">
      <c r="A1607" s="24" t="s">
        <v>142</v>
      </c>
      <c r="B1607" s="24" t="str">
        <f>"300709"</f>
        <v>300709</v>
      </c>
      <c r="C1607" s="24" t="s">
        <v>1826</v>
      </c>
      <c r="D1607" s="24" t="s">
        <v>197</v>
      </c>
      <c r="E1607" s="24">
        <v>80.07</v>
      </c>
      <c r="F1607" s="24">
        <v>7.54</v>
      </c>
    </row>
    <row r="1608" s="24" customFormat="1" spans="1:6">
      <c r="A1608" s="24" t="s">
        <v>140</v>
      </c>
      <c r="B1608" s="24" t="str">
        <f>"600387"</f>
        <v>600387</v>
      </c>
      <c r="C1608" s="24" t="s">
        <v>1827</v>
      </c>
      <c r="D1608" s="24" t="s">
        <v>246</v>
      </c>
      <c r="E1608" s="24">
        <v>80.04</v>
      </c>
      <c r="F1608" s="24">
        <v>1.15</v>
      </c>
    </row>
    <row r="1609" s="24" customFormat="1" spans="1:6">
      <c r="A1609" s="24" t="s">
        <v>142</v>
      </c>
      <c r="B1609" s="24" t="str">
        <f>"002912"</f>
        <v>002912</v>
      </c>
      <c r="C1609" s="24" t="s">
        <v>1828</v>
      </c>
      <c r="D1609" s="24" t="s">
        <v>163</v>
      </c>
      <c r="E1609" s="24">
        <v>79.93</v>
      </c>
      <c r="F1609" s="24">
        <v>12.55</v>
      </c>
    </row>
    <row r="1610" s="24" customFormat="1" spans="1:6">
      <c r="A1610" s="24" t="s">
        <v>140</v>
      </c>
      <c r="B1610" s="24" t="str">
        <f>"600201"</f>
        <v>600201</v>
      </c>
      <c r="C1610" s="24" t="s">
        <v>1829</v>
      </c>
      <c r="D1610" s="24" t="s">
        <v>326</v>
      </c>
      <c r="E1610" s="24">
        <v>79.92</v>
      </c>
      <c r="F1610" s="24">
        <v>5.37</v>
      </c>
    </row>
    <row r="1611" s="24" customFormat="1" spans="1:6">
      <c r="A1611" s="24" t="s">
        <v>142</v>
      </c>
      <c r="B1611" s="24" t="str">
        <f>"002770"</f>
        <v>002770</v>
      </c>
      <c r="C1611" s="24" t="s">
        <v>1830</v>
      </c>
      <c r="D1611" s="24" t="s">
        <v>190</v>
      </c>
      <c r="E1611" s="24">
        <v>79.62</v>
      </c>
      <c r="F1611" s="24">
        <v>1.31</v>
      </c>
    </row>
    <row r="1612" s="24" customFormat="1" spans="1:6">
      <c r="A1612" s="24" t="s">
        <v>142</v>
      </c>
      <c r="B1612" s="24" t="str">
        <f>"300342"</f>
        <v>300342</v>
      </c>
      <c r="C1612" s="24" t="s">
        <v>1831</v>
      </c>
      <c r="D1612" s="24" t="s">
        <v>184</v>
      </c>
      <c r="E1612" s="24">
        <v>79.5</v>
      </c>
      <c r="F1612" s="24">
        <v>6.08</v>
      </c>
    </row>
    <row r="1613" s="24" customFormat="1" spans="1:6">
      <c r="A1613" s="24" t="s">
        <v>142</v>
      </c>
      <c r="B1613" s="24" t="str">
        <f>"300416"</f>
        <v>300416</v>
      </c>
      <c r="C1613" s="24" t="s">
        <v>1832</v>
      </c>
      <c r="D1613" s="24" t="s">
        <v>152</v>
      </c>
      <c r="E1613" s="24">
        <v>79.34</v>
      </c>
      <c r="F1613" s="24">
        <v>7.22</v>
      </c>
    </row>
    <row r="1614" s="24" customFormat="1" spans="1:6">
      <c r="A1614" s="24" t="s">
        <v>142</v>
      </c>
      <c r="B1614" s="24" t="str">
        <f>"002436"</f>
        <v>002436</v>
      </c>
      <c r="C1614" s="24" t="s">
        <v>1833</v>
      </c>
      <c r="D1614" s="24" t="s">
        <v>276</v>
      </c>
      <c r="E1614" s="24">
        <v>79.33</v>
      </c>
      <c r="F1614" s="24">
        <v>7.31</v>
      </c>
    </row>
    <row r="1615" s="24" customFormat="1" spans="1:6">
      <c r="A1615" s="24" t="s">
        <v>142</v>
      </c>
      <c r="B1615" s="24" t="str">
        <f>"002388"</f>
        <v>002388</v>
      </c>
      <c r="C1615" s="24" t="s">
        <v>1834</v>
      </c>
      <c r="D1615" s="24" t="s">
        <v>152</v>
      </c>
      <c r="E1615" s="24">
        <v>79.24</v>
      </c>
      <c r="F1615" s="24">
        <v>2.84</v>
      </c>
    </row>
    <row r="1616" s="24" customFormat="1" spans="1:6">
      <c r="A1616" s="24" t="s">
        <v>140</v>
      </c>
      <c r="B1616" s="24" t="str">
        <f>"688078"</f>
        <v>688078</v>
      </c>
      <c r="C1616" s="24" t="s">
        <v>1835</v>
      </c>
      <c r="D1616" s="24" t="s">
        <v>156</v>
      </c>
      <c r="E1616" s="24">
        <v>79.2</v>
      </c>
      <c r="F1616" s="24">
        <v>7.16</v>
      </c>
    </row>
    <row r="1617" s="24" customFormat="1" spans="1:6">
      <c r="A1617" s="24" t="s">
        <v>142</v>
      </c>
      <c r="B1617" s="24" t="str">
        <f>"300769"</f>
        <v>300769</v>
      </c>
      <c r="C1617" s="24" t="s">
        <v>1836</v>
      </c>
      <c r="D1617" s="24" t="s">
        <v>251</v>
      </c>
      <c r="E1617" s="24">
        <v>78.99</v>
      </c>
      <c r="F1617" s="24">
        <v>8.04</v>
      </c>
    </row>
    <row r="1618" s="24" customFormat="1" spans="1:6">
      <c r="A1618" s="24" t="s">
        <v>142</v>
      </c>
      <c r="B1618" s="24" t="str">
        <f>"300538"</f>
        <v>300538</v>
      </c>
      <c r="C1618" s="24" t="s">
        <v>1837</v>
      </c>
      <c r="D1618" s="24" t="s">
        <v>267</v>
      </c>
      <c r="E1618" s="24">
        <v>78.92</v>
      </c>
      <c r="F1618" s="24">
        <v>5.46</v>
      </c>
    </row>
    <row r="1619" s="24" customFormat="1" spans="1:6">
      <c r="A1619" s="24" t="s">
        <v>140</v>
      </c>
      <c r="B1619" s="24" t="str">
        <f>"603186"</f>
        <v>603186</v>
      </c>
      <c r="C1619" s="24" t="s">
        <v>1838</v>
      </c>
      <c r="D1619" s="24" t="s">
        <v>197</v>
      </c>
      <c r="E1619" s="24">
        <v>78.85</v>
      </c>
      <c r="F1619" s="24">
        <v>8.15</v>
      </c>
    </row>
    <row r="1620" s="24" customFormat="1" spans="1:6">
      <c r="A1620" s="24" t="s">
        <v>142</v>
      </c>
      <c r="B1620" s="24" t="str">
        <f>"002600"</f>
        <v>002600</v>
      </c>
      <c r="C1620" s="24" t="s">
        <v>1839</v>
      </c>
      <c r="D1620" s="24" t="s">
        <v>197</v>
      </c>
      <c r="E1620" s="24">
        <v>78.83</v>
      </c>
      <c r="F1620" s="24">
        <v>8.41</v>
      </c>
    </row>
    <row r="1621" s="24" customFormat="1" spans="1:6">
      <c r="A1621" s="24" t="s">
        <v>142</v>
      </c>
      <c r="B1621" s="24" t="str">
        <f>"002439"</f>
        <v>002439</v>
      </c>
      <c r="C1621" s="24" t="s">
        <v>1840</v>
      </c>
      <c r="D1621" s="24" t="s">
        <v>159</v>
      </c>
      <c r="E1621" s="24">
        <v>78.77</v>
      </c>
      <c r="F1621" s="24">
        <v>13.56</v>
      </c>
    </row>
    <row r="1622" s="24" customFormat="1" spans="1:6">
      <c r="A1622" s="24" t="s">
        <v>142</v>
      </c>
      <c r="B1622" s="24" t="str">
        <f>"000875"</f>
        <v>000875</v>
      </c>
      <c r="C1622" s="24" t="s">
        <v>1841</v>
      </c>
      <c r="D1622" s="24" t="s">
        <v>188</v>
      </c>
      <c r="E1622" s="24">
        <v>78.76</v>
      </c>
      <c r="F1622" s="24">
        <v>0.99</v>
      </c>
    </row>
    <row r="1623" s="24" customFormat="1" spans="1:6">
      <c r="A1623" s="24" t="s">
        <v>140</v>
      </c>
      <c r="B1623" s="24" t="str">
        <f>"600155"</f>
        <v>600155</v>
      </c>
      <c r="C1623" s="24" t="s">
        <v>1842</v>
      </c>
      <c r="D1623" s="24" t="s">
        <v>714</v>
      </c>
      <c r="E1623" s="24">
        <v>78.7</v>
      </c>
      <c r="F1623" s="24">
        <v>1.85</v>
      </c>
    </row>
    <row r="1624" s="24" customFormat="1" spans="1:6">
      <c r="A1624" s="24" t="s">
        <v>142</v>
      </c>
      <c r="B1624" s="24" t="str">
        <f>"300768"</f>
        <v>300768</v>
      </c>
      <c r="C1624" s="24" t="s">
        <v>1843</v>
      </c>
      <c r="D1624" s="24" t="s">
        <v>156</v>
      </c>
      <c r="E1624" s="24">
        <v>78.47</v>
      </c>
      <c r="F1624" s="24">
        <v>10.22</v>
      </c>
    </row>
    <row r="1625" s="24" customFormat="1" spans="1:6">
      <c r="A1625" s="24" t="s">
        <v>140</v>
      </c>
      <c r="B1625" s="24" t="str">
        <f>"603881"</f>
        <v>603881</v>
      </c>
      <c r="C1625" s="24" t="s">
        <v>1844</v>
      </c>
      <c r="D1625" s="24" t="s">
        <v>159</v>
      </c>
      <c r="E1625" s="24">
        <v>78.33</v>
      </c>
      <c r="F1625" s="24">
        <v>9.44</v>
      </c>
    </row>
    <row r="1626" s="24" customFormat="1" spans="1:6">
      <c r="A1626" s="24" t="s">
        <v>142</v>
      </c>
      <c r="B1626" s="24" t="str">
        <f>"300424"</f>
        <v>300424</v>
      </c>
      <c r="C1626" s="24" t="s">
        <v>1845</v>
      </c>
      <c r="D1626" s="24" t="s">
        <v>395</v>
      </c>
      <c r="E1626" s="24">
        <v>78.26</v>
      </c>
      <c r="F1626" s="24">
        <v>5.21</v>
      </c>
    </row>
    <row r="1627" s="24" customFormat="1" spans="1:6">
      <c r="A1627" s="24" t="s">
        <v>140</v>
      </c>
      <c r="B1627" s="24" t="str">
        <f>"603159"</f>
        <v>603159</v>
      </c>
      <c r="C1627" s="24" t="s">
        <v>1846</v>
      </c>
      <c r="D1627" s="24" t="s">
        <v>173</v>
      </c>
      <c r="E1627" s="24">
        <v>78.03</v>
      </c>
      <c r="F1627" s="24">
        <v>3.9</v>
      </c>
    </row>
    <row r="1628" s="24" customFormat="1" spans="1:6">
      <c r="A1628" s="24" t="s">
        <v>142</v>
      </c>
      <c r="B1628" s="24" t="str">
        <f>"300745"</f>
        <v>300745</v>
      </c>
      <c r="C1628" s="24" t="s">
        <v>1847</v>
      </c>
      <c r="D1628" s="24" t="s">
        <v>204</v>
      </c>
      <c r="E1628" s="24">
        <v>78</v>
      </c>
      <c r="F1628" s="24">
        <v>2.06</v>
      </c>
    </row>
    <row r="1629" s="24" customFormat="1" spans="1:6">
      <c r="A1629" s="24" t="s">
        <v>140</v>
      </c>
      <c r="B1629" s="24" t="str">
        <f>"688363"</f>
        <v>688363</v>
      </c>
      <c r="C1629" s="24" t="s">
        <v>1848</v>
      </c>
      <c r="D1629" s="24" t="s">
        <v>326</v>
      </c>
      <c r="E1629" s="24">
        <v>77.98</v>
      </c>
      <c r="F1629" s="24">
        <v>9.39</v>
      </c>
    </row>
    <row r="1630" s="24" customFormat="1" spans="1:6">
      <c r="A1630" s="24" t="s">
        <v>140</v>
      </c>
      <c r="B1630" s="24" t="str">
        <f>"688188"</f>
        <v>688188</v>
      </c>
      <c r="C1630" s="24" t="s">
        <v>1849</v>
      </c>
      <c r="D1630" s="24" t="s">
        <v>152</v>
      </c>
      <c r="E1630" s="24">
        <v>77.66</v>
      </c>
      <c r="F1630" s="24">
        <v>7.76</v>
      </c>
    </row>
    <row r="1631" s="24" customFormat="1" spans="1:6">
      <c r="A1631" s="24" t="s">
        <v>142</v>
      </c>
      <c r="B1631" s="24" t="str">
        <f>"002320"</f>
        <v>002320</v>
      </c>
      <c r="C1631" s="24" t="s">
        <v>1850</v>
      </c>
      <c r="D1631" s="24" t="s">
        <v>397</v>
      </c>
      <c r="E1631" s="24">
        <v>77.65</v>
      </c>
      <c r="F1631" s="24">
        <v>3.62</v>
      </c>
    </row>
    <row r="1632" s="24" customFormat="1" spans="1:6">
      <c r="A1632" s="24" t="s">
        <v>142</v>
      </c>
      <c r="B1632" s="24" t="str">
        <f>"300686"</f>
        <v>300686</v>
      </c>
      <c r="C1632" s="24" t="s">
        <v>1851</v>
      </c>
      <c r="D1632" s="24" t="s">
        <v>197</v>
      </c>
      <c r="E1632" s="24">
        <v>77.65</v>
      </c>
      <c r="F1632" s="24">
        <v>7.31</v>
      </c>
    </row>
    <row r="1633" s="24" customFormat="1" spans="1:6">
      <c r="A1633" s="24" t="s">
        <v>142</v>
      </c>
      <c r="B1633" s="24" t="str">
        <f>"002009"</f>
        <v>002009</v>
      </c>
      <c r="C1633" s="24" t="s">
        <v>1852</v>
      </c>
      <c r="D1633" s="24" t="s">
        <v>173</v>
      </c>
      <c r="E1633" s="24">
        <v>77.64</v>
      </c>
      <c r="F1633" s="24">
        <v>1.71</v>
      </c>
    </row>
    <row r="1634" s="24" customFormat="1" spans="1:6">
      <c r="A1634" s="24" t="s">
        <v>142</v>
      </c>
      <c r="B1634" s="24" t="str">
        <f>"300725"</f>
        <v>300725</v>
      </c>
      <c r="C1634" s="24" t="s">
        <v>1853</v>
      </c>
      <c r="D1634" s="24" t="s">
        <v>997</v>
      </c>
      <c r="E1634" s="24">
        <v>77.54</v>
      </c>
      <c r="F1634" s="24">
        <v>16.72</v>
      </c>
    </row>
    <row r="1635" s="24" customFormat="1" spans="1:6">
      <c r="A1635" s="24" t="s">
        <v>142</v>
      </c>
      <c r="B1635" s="24" t="str">
        <f>"000881"</f>
        <v>000881</v>
      </c>
      <c r="C1635" s="24" t="s">
        <v>1854</v>
      </c>
      <c r="D1635" s="24" t="s">
        <v>260</v>
      </c>
      <c r="E1635" s="24">
        <v>77.52</v>
      </c>
      <c r="F1635" s="24">
        <v>1.23</v>
      </c>
    </row>
    <row r="1636" s="24" customFormat="1" spans="1:6">
      <c r="A1636" s="24" t="s">
        <v>142</v>
      </c>
      <c r="B1636" s="24" t="str">
        <f>"300435"</f>
        <v>300435</v>
      </c>
      <c r="C1636" s="24" t="s">
        <v>1855</v>
      </c>
      <c r="D1636" s="24" t="s">
        <v>165</v>
      </c>
      <c r="E1636" s="24">
        <v>77.31</v>
      </c>
      <c r="F1636" s="24">
        <v>1.92</v>
      </c>
    </row>
    <row r="1637" s="24" customFormat="1" spans="1:6">
      <c r="A1637" s="24" t="s">
        <v>140</v>
      </c>
      <c r="B1637" s="24" t="str">
        <f>"600903"</f>
        <v>600903</v>
      </c>
      <c r="C1637" s="24" t="s">
        <v>1856</v>
      </c>
      <c r="D1637" s="24" t="s">
        <v>195</v>
      </c>
      <c r="E1637" s="24">
        <v>77.14</v>
      </c>
      <c r="F1637" s="24">
        <v>5.43</v>
      </c>
    </row>
    <row r="1638" s="24" customFormat="1" spans="1:6">
      <c r="A1638" s="24" t="s">
        <v>140</v>
      </c>
      <c r="B1638" s="24" t="str">
        <f>"600869"</f>
        <v>600869</v>
      </c>
      <c r="C1638" s="24" t="s">
        <v>1857</v>
      </c>
      <c r="D1638" s="24" t="s">
        <v>251</v>
      </c>
      <c r="E1638" s="24">
        <v>77.07</v>
      </c>
      <c r="F1638" s="24">
        <v>2.63</v>
      </c>
    </row>
    <row r="1639" s="24" customFormat="1" spans="1:6">
      <c r="A1639" s="24" t="s">
        <v>142</v>
      </c>
      <c r="B1639" s="24" t="str">
        <f>"300381"</f>
        <v>300381</v>
      </c>
      <c r="C1639" s="24" t="s">
        <v>1858</v>
      </c>
      <c r="D1639" s="24" t="s">
        <v>997</v>
      </c>
      <c r="E1639" s="24">
        <v>76.88</v>
      </c>
      <c r="F1639" s="24">
        <v>2.84</v>
      </c>
    </row>
    <row r="1640" s="24" customFormat="1" spans="1:6">
      <c r="A1640" s="24" t="s">
        <v>142</v>
      </c>
      <c r="B1640" s="24" t="str">
        <f>"300480"</f>
        <v>300480</v>
      </c>
      <c r="C1640" s="24" t="s">
        <v>1859</v>
      </c>
      <c r="D1640" s="24" t="s">
        <v>152</v>
      </c>
      <c r="E1640" s="24">
        <v>76.85</v>
      </c>
      <c r="F1640" s="24">
        <v>6.6</v>
      </c>
    </row>
    <row r="1641" s="24" customFormat="1" spans="1:6">
      <c r="A1641" s="24" t="s">
        <v>140</v>
      </c>
      <c r="B1641" s="24" t="str">
        <f>"600636"</f>
        <v>600636</v>
      </c>
      <c r="C1641" s="24" t="s">
        <v>1860</v>
      </c>
      <c r="D1641" s="24" t="s">
        <v>256</v>
      </c>
      <c r="E1641" s="24">
        <v>76.78</v>
      </c>
      <c r="F1641" s="24">
        <v>4.31</v>
      </c>
    </row>
    <row r="1642" s="24" customFormat="1" spans="1:6">
      <c r="A1642" s="24" t="s">
        <v>140</v>
      </c>
      <c r="B1642" s="24" t="str">
        <f>"603283"</f>
        <v>603283</v>
      </c>
      <c r="C1642" s="24" t="s">
        <v>1861</v>
      </c>
      <c r="D1642" s="24" t="s">
        <v>173</v>
      </c>
      <c r="E1642" s="24">
        <v>76.67</v>
      </c>
      <c r="F1642" s="24">
        <v>11.07</v>
      </c>
    </row>
    <row r="1643" s="24" customFormat="1" spans="1:6">
      <c r="A1643" s="24" t="s">
        <v>142</v>
      </c>
      <c r="B1643" s="24" t="str">
        <f>"300451"</f>
        <v>300451</v>
      </c>
      <c r="C1643" s="24" t="s">
        <v>1862</v>
      </c>
      <c r="D1643" s="24" t="s">
        <v>156</v>
      </c>
      <c r="E1643" s="24">
        <v>76.65</v>
      </c>
      <c r="F1643" s="24">
        <v>13.09</v>
      </c>
    </row>
    <row r="1644" s="24" customFormat="1" spans="1:6">
      <c r="A1644" s="24" t="s">
        <v>142</v>
      </c>
      <c r="B1644" s="24" t="str">
        <f>"300151"</f>
        <v>300151</v>
      </c>
      <c r="C1644" s="24" t="s">
        <v>1863</v>
      </c>
      <c r="D1644" s="24" t="s">
        <v>173</v>
      </c>
      <c r="E1644" s="24">
        <v>76.59</v>
      </c>
      <c r="F1644" s="24">
        <v>4.43</v>
      </c>
    </row>
    <row r="1645" s="24" customFormat="1" spans="1:6">
      <c r="A1645" s="24" t="s">
        <v>140</v>
      </c>
      <c r="B1645" s="24" t="str">
        <f>"603598"</f>
        <v>603598</v>
      </c>
      <c r="C1645" s="24" t="s">
        <v>1864</v>
      </c>
      <c r="D1645" s="24" t="s">
        <v>170</v>
      </c>
      <c r="E1645" s="24">
        <v>76.57</v>
      </c>
      <c r="F1645" s="24">
        <v>110.16</v>
      </c>
    </row>
    <row r="1646" s="24" customFormat="1" spans="1:6">
      <c r="A1646" s="24" t="s">
        <v>140</v>
      </c>
      <c r="B1646" s="24" t="str">
        <f>"603659"</f>
        <v>603659</v>
      </c>
      <c r="C1646" s="24" t="s">
        <v>1865</v>
      </c>
      <c r="D1646" s="24" t="s">
        <v>644</v>
      </c>
      <c r="E1646" s="24">
        <v>76.52</v>
      </c>
      <c r="F1646" s="24">
        <v>14.27</v>
      </c>
    </row>
    <row r="1647" s="24" customFormat="1" spans="1:6">
      <c r="A1647" s="24" t="s">
        <v>142</v>
      </c>
      <c r="B1647" s="24" t="str">
        <f>"300696"</f>
        <v>300696</v>
      </c>
      <c r="C1647" s="24" t="s">
        <v>1866</v>
      </c>
      <c r="D1647" s="24" t="s">
        <v>395</v>
      </c>
      <c r="E1647" s="24">
        <v>76.52</v>
      </c>
      <c r="F1647" s="24">
        <v>5.05</v>
      </c>
    </row>
    <row r="1648" s="24" customFormat="1" spans="1:6">
      <c r="A1648" s="24" t="s">
        <v>142</v>
      </c>
      <c r="B1648" s="24" t="str">
        <f>"002819"</f>
        <v>002819</v>
      </c>
      <c r="C1648" s="24" t="s">
        <v>1867</v>
      </c>
      <c r="D1648" s="24" t="s">
        <v>152</v>
      </c>
      <c r="E1648" s="24">
        <v>76.49</v>
      </c>
      <c r="F1648" s="24">
        <v>7.32</v>
      </c>
    </row>
    <row r="1649" s="24" customFormat="1" spans="1:6">
      <c r="A1649" s="24" t="s">
        <v>142</v>
      </c>
      <c r="B1649" s="24" t="str">
        <f>"002491"</f>
        <v>002491</v>
      </c>
      <c r="C1649" s="24" t="s">
        <v>1868</v>
      </c>
      <c r="D1649" s="24" t="s">
        <v>193</v>
      </c>
      <c r="E1649" s="24">
        <v>76.45</v>
      </c>
      <c r="F1649" s="24">
        <v>1.66</v>
      </c>
    </row>
    <row r="1650" s="24" customFormat="1" spans="1:6">
      <c r="A1650" s="24" t="s">
        <v>142</v>
      </c>
      <c r="B1650" s="24" t="str">
        <f>"002334"</f>
        <v>002334</v>
      </c>
      <c r="C1650" s="24" t="s">
        <v>1869</v>
      </c>
      <c r="D1650" s="24" t="s">
        <v>251</v>
      </c>
      <c r="E1650" s="24">
        <v>76.42</v>
      </c>
      <c r="F1650" s="24">
        <v>1.83</v>
      </c>
    </row>
    <row r="1651" s="24" customFormat="1" spans="1:6">
      <c r="A1651" s="24" t="s">
        <v>142</v>
      </c>
      <c r="B1651" s="24" t="str">
        <f>"002136"</f>
        <v>002136</v>
      </c>
      <c r="C1651" s="24" t="s">
        <v>1870</v>
      </c>
      <c r="D1651" s="24" t="s">
        <v>256</v>
      </c>
      <c r="E1651" s="24">
        <v>76.31</v>
      </c>
      <c r="F1651" s="24">
        <v>2.14</v>
      </c>
    </row>
    <row r="1652" s="24" customFormat="1" spans="1:6">
      <c r="A1652" s="24" t="s">
        <v>142</v>
      </c>
      <c r="B1652" s="24" t="str">
        <f>"002308"</f>
        <v>002308</v>
      </c>
      <c r="C1652" s="24" t="s">
        <v>1871</v>
      </c>
      <c r="D1652" s="24" t="s">
        <v>152</v>
      </c>
      <c r="E1652" s="24">
        <v>76.26</v>
      </c>
      <c r="F1652" s="24">
        <v>2.7</v>
      </c>
    </row>
    <row r="1653" s="24" customFormat="1" spans="1:6">
      <c r="A1653" s="24" t="s">
        <v>140</v>
      </c>
      <c r="B1653" s="24" t="str">
        <f>"688020"</f>
        <v>688020</v>
      </c>
      <c r="C1653" s="24" t="s">
        <v>1872</v>
      </c>
      <c r="D1653" s="24" t="s">
        <v>197</v>
      </c>
      <c r="E1653" s="24">
        <v>76.2</v>
      </c>
      <c r="F1653" s="24">
        <v>5.66</v>
      </c>
    </row>
    <row r="1654" s="24" customFormat="1" spans="1:6">
      <c r="A1654" s="24" t="s">
        <v>142</v>
      </c>
      <c r="B1654" s="24" t="str">
        <f>"002850"</f>
        <v>002850</v>
      </c>
      <c r="C1654" s="24" t="s">
        <v>1873</v>
      </c>
      <c r="D1654" s="24" t="s">
        <v>204</v>
      </c>
      <c r="E1654" s="24">
        <v>75.63</v>
      </c>
      <c r="F1654" s="24">
        <v>5.46</v>
      </c>
    </row>
    <row r="1655" s="24" customFormat="1" spans="1:6">
      <c r="A1655" s="24" t="s">
        <v>140</v>
      </c>
      <c r="B1655" s="24" t="str">
        <f>"603658"</f>
        <v>603658</v>
      </c>
      <c r="C1655" s="24" t="s">
        <v>1874</v>
      </c>
      <c r="D1655" s="24" t="s">
        <v>326</v>
      </c>
      <c r="E1655" s="24">
        <v>75.59</v>
      </c>
      <c r="F1655" s="24">
        <v>25.42</v>
      </c>
    </row>
    <row r="1656" s="24" customFormat="1" spans="1:6">
      <c r="A1656" s="24" t="s">
        <v>140</v>
      </c>
      <c r="B1656" s="24" t="str">
        <f>"603383"</f>
        <v>603383</v>
      </c>
      <c r="C1656" s="24" t="s">
        <v>1875</v>
      </c>
      <c r="D1656" s="24" t="s">
        <v>813</v>
      </c>
      <c r="E1656" s="24">
        <v>75.55</v>
      </c>
      <c r="F1656" s="24">
        <v>7.44</v>
      </c>
    </row>
    <row r="1657" s="24" customFormat="1" spans="1:6">
      <c r="A1657" s="24" t="s">
        <v>142</v>
      </c>
      <c r="B1657" s="24" t="str">
        <f>"300730"</f>
        <v>300730</v>
      </c>
      <c r="C1657" s="24" t="s">
        <v>1876</v>
      </c>
      <c r="D1657" s="24" t="s">
        <v>156</v>
      </c>
      <c r="E1657" s="24">
        <v>75.55</v>
      </c>
      <c r="F1657" s="24">
        <v>5.47</v>
      </c>
    </row>
    <row r="1658" s="24" customFormat="1" spans="1:6">
      <c r="A1658" s="24" t="s">
        <v>142</v>
      </c>
      <c r="B1658" s="24" t="str">
        <f>"300597"</f>
        <v>300597</v>
      </c>
      <c r="C1658" s="24" t="s">
        <v>1877</v>
      </c>
      <c r="D1658" s="24" t="s">
        <v>179</v>
      </c>
      <c r="E1658" s="24">
        <v>75.34</v>
      </c>
      <c r="F1658" s="24">
        <v>3.26</v>
      </c>
    </row>
    <row r="1659" s="24" customFormat="1" spans="1:6">
      <c r="A1659" s="24" t="s">
        <v>142</v>
      </c>
      <c r="B1659" s="24" t="str">
        <f>"002777"</f>
        <v>002777</v>
      </c>
      <c r="C1659" s="24" t="s">
        <v>1878</v>
      </c>
      <c r="D1659" s="24" t="s">
        <v>163</v>
      </c>
      <c r="E1659" s="24">
        <v>75.31</v>
      </c>
      <c r="F1659" s="24">
        <v>9.26</v>
      </c>
    </row>
    <row r="1660" s="24" customFormat="1" spans="1:6">
      <c r="A1660" s="24" t="s">
        <v>142</v>
      </c>
      <c r="B1660" s="24" t="str">
        <f>"002115"</f>
        <v>002115</v>
      </c>
      <c r="C1660" s="24" t="s">
        <v>1879</v>
      </c>
      <c r="D1660" s="24" t="s">
        <v>193</v>
      </c>
      <c r="E1660" s="24">
        <v>75.28</v>
      </c>
      <c r="F1660" s="24">
        <v>5.97</v>
      </c>
    </row>
    <row r="1661" s="24" customFormat="1" spans="1:6">
      <c r="A1661" s="24" t="s">
        <v>140</v>
      </c>
      <c r="B1661" s="24" t="str">
        <f>"600845"</f>
        <v>600845</v>
      </c>
      <c r="C1661" s="24" t="s">
        <v>1880</v>
      </c>
      <c r="D1661" s="24" t="s">
        <v>156</v>
      </c>
      <c r="E1661" s="24">
        <v>75.2</v>
      </c>
      <c r="F1661" s="24">
        <v>7.95</v>
      </c>
    </row>
    <row r="1662" s="24" customFormat="1" spans="1:6">
      <c r="A1662" s="24" t="s">
        <v>140</v>
      </c>
      <c r="B1662" s="24" t="str">
        <f>"603630"</f>
        <v>603630</v>
      </c>
      <c r="C1662" s="24" t="s">
        <v>1881</v>
      </c>
      <c r="D1662" s="24" t="s">
        <v>333</v>
      </c>
      <c r="E1662" s="24">
        <v>75.04</v>
      </c>
      <c r="F1662" s="24">
        <v>1.61</v>
      </c>
    </row>
    <row r="1663" s="24" customFormat="1" spans="1:6">
      <c r="A1663" s="24" t="s">
        <v>142</v>
      </c>
      <c r="B1663" s="24" t="str">
        <f>"000809"</f>
        <v>000809</v>
      </c>
      <c r="C1663" s="24" t="s">
        <v>1882</v>
      </c>
      <c r="D1663" s="24" t="s">
        <v>244</v>
      </c>
      <c r="E1663" s="24">
        <v>75.03</v>
      </c>
      <c r="F1663" s="24">
        <v>0.53</v>
      </c>
    </row>
    <row r="1664" s="24" customFormat="1" spans="1:6">
      <c r="A1664" s="24" t="s">
        <v>140</v>
      </c>
      <c r="B1664" s="24" t="str">
        <f>"603001"</f>
        <v>603001</v>
      </c>
      <c r="C1664" s="24" t="s">
        <v>1883</v>
      </c>
      <c r="D1664" s="24" t="s">
        <v>161</v>
      </c>
      <c r="E1664" s="24">
        <v>74.91</v>
      </c>
      <c r="F1664" s="24">
        <v>0.8</v>
      </c>
    </row>
    <row r="1665" s="24" customFormat="1" spans="1:6">
      <c r="A1665" s="24" t="s">
        <v>140</v>
      </c>
      <c r="B1665" s="24" t="str">
        <f>"603076"</f>
        <v>603076</v>
      </c>
      <c r="C1665" s="24" t="s">
        <v>1884</v>
      </c>
      <c r="D1665" s="24" t="s">
        <v>173</v>
      </c>
      <c r="E1665" s="24">
        <v>74.62</v>
      </c>
      <c r="F1665" s="24">
        <v>1.89</v>
      </c>
    </row>
    <row r="1666" s="24" customFormat="1" spans="1:6">
      <c r="A1666" s="24" t="s">
        <v>142</v>
      </c>
      <c r="B1666" s="24" t="str">
        <f>"002008"</f>
        <v>002008</v>
      </c>
      <c r="C1666" s="24" t="s">
        <v>1885</v>
      </c>
      <c r="D1666" s="24" t="s">
        <v>152</v>
      </c>
      <c r="E1666" s="24">
        <v>74.62</v>
      </c>
      <c r="F1666" s="24">
        <v>5.48</v>
      </c>
    </row>
    <row r="1667" s="24" customFormat="1" spans="1:6">
      <c r="A1667" s="24" t="s">
        <v>142</v>
      </c>
      <c r="B1667" s="24" t="str">
        <f>"002568"</f>
        <v>002568</v>
      </c>
      <c r="C1667" s="24" t="s">
        <v>1886</v>
      </c>
      <c r="D1667" s="24" t="s">
        <v>190</v>
      </c>
      <c r="E1667" s="24">
        <v>74.62</v>
      </c>
      <c r="F1667" s="24">
        <v>7.22</v>
      </c>
    </row>
    <row r="1668" s="24" customFormat="1" spans="1:6">
      <c r="A1668" s="24" t="s">
        <v>142</v>
      </c>
      <c r="B1668" s="24" t="str">
        <f>"000768"</f>
        <v>000768</v>
      </c>
      <c r="C1668" s="24" t="s">
        <v>1887</v>
      </c>
      <c r="D1668" s="24" t="s">
        <v>395</v>
      </c>
      <c r="E1668" s="24">
        <v>74.52</v>
      </c>
      <c r="F1668" s="24">
        <v>2.62</v>
      </c>
    </row>
    <row r="1669" s="24" customFormat="1" spans="1:6">
      <c r="A1669" s="24" t="s">
        <v>140</v>
      </c>
      <c r="B1669" s="24" t="str">
        <f>"600330"</f>
        <v>600330</v>
      </c>
      <c r="C1669" s="24" t="s">
        <v>1888</v>
      </c>
      <c r="D1669" s="24" t="s">
        <v>197</v>
      </c>
      <c r="E1669" s="24">
        <v>74.44</v>
      </c>
      <c r="F1669" s="24">
        <v>2.19</v>
      </c>
    </row>
    <row r="1670" s="24" customFormat="1" spans="1:6">
      <c r="A1670" s="24" t="s">
        <v>140</v>
      </c>
      <c r="B1670" s="24" t="str">
        <f>"603002"</f>
        <v>603002</v>
      </c>
      <c r="C1670" s="24" t="s">
        <v>1889</v>
      </c>
      <c r="D1670" s="24" t="s">
        <v>228</v>
      </c>
      <c r="E1670" s="24">
        <v>74.38</v>
      </c>
      <c r="F1670" s="24">
        <v>2.55</v>
      </c>
    </row>
    <row r="1671" s="24" customFormat="1" spans="1:6">
      <c r="A1671" s="24" t="s">
        <v>142</v>
      </c>
      <c r="B1671" s="24" t="str">
        <f>"002434"</f>
        <v>002434</v>
      </c>
      <c r="C1671" s="24" t="s">
        <v>1890</v>
      </c>
      <c r="D1671" s="24" t="s">
        <v>204</v>
      </c>
      <c r="E1671" s="24">
        <v>74.35</v>
      </c>
      <c r="F1671" s="24">
        <v>2.56</v>
      </c>
    </row>
    <row r="1672" s="24" customFormat="1" spans="1:6">
      <c r="A1672" s="24" t="s">
        <v>142</v>
      </c>
      <c r="B1672" s="24" t="str">
        <f>"300257"</f>
        <v>300257</v>
      </c>
      <c r="C1672" s="24" t="s">
        <v>1891</v>
      </c>
      <c r="D1672" s="24" t="s">
        <v>165</v>
      </c>
      <c r="E1672" s="24">
        <v>74.23</v>
      </c>
      <c r="F1672" s="24">
        <v>2.51</v>
      </c>
    </row>
    <row r="1673" s="24" customFormat="1" spans="1:6">
      <c r="A1673" s="24" t="s">
        <v>142</v>
      </c>
      <c r="B1673" s="24" t="str">
        <f>"002731"</f>
        <v>002731</v>
      </c>
      <c r="C1673" s="24" t="s">
        <v>1892</v>
      </c>
      <c r="D1673" s="24" t="s">
        <v>161</v>
      </c>
      <c r="E1673" s="24">
        <v>74.18</v>
      </c>
      <c r="F1673" s="24">
        <v>1.34</v>
      </c>
    </row>
    <row r="1674" s="24" customFormat="1" spans="1:6">
      <c r="A1674" s="24" t="s">
        <v>140</v>
      </c>
      <c r="B1674" s="24" t="str">
        <f>"688300"</f>
        <v>688300</v>
      </c>
      <c r="C1674" s="24" t="s">
        <v>1893</v>
      </c>
      <c r="D1674" s="24" t="s">
        <v>644</v>
      </c>
      <c r="E1674" s="24">
        <v>74.18</v>
      </c>
      <c r="F1674" s="24">
        <v>5.19</v>
      </c>
    </row>
    <row r="1675" s="24" customFormat="1" spans="1:6">
      <c r="A1675" s="24" t="s">
        <v>142</v>
      </c>
      <c r="B1675" s="24" t="str">
        <f>"300783"</f>
        <v>300783</v>
      </c>
      <c r="C1675" s="24" t="s">
        <v>1894</v>
      </c>
      <c r="D1675" s="24" t="s">
        <v>190</v>
      </c>
      <c r="E1675" s="24">
        <v>74.03</v>
      </c>
      <c r="F1675" s="24">
        <v>11.91</v>
      </c>
    </row>
    <row r="1676" s="24" customFormat="1" spans="1:6">
      <c r="A1676" s="24" t="s">
        <v>142</v>
      </c>
      <c r="B1676" s="24" t="str">
        <f>"000702"</f>
        <v>000702</v>
      </c>
      <c r="C1676" s="24" t="s">
        <v>1895</v>
      </c>
      <c r="D1676" s="24" t="s">
        <v>145</v>
      </c>
      <c r="E1676" s="24">
        <v>73.84</v>
      </c>
      <c r="F1676" s="24">
        <v>2.64</v>
      </c>
    </row>
    <row r="1677" s="24" customFormat="1" spans="1:6">
      <c r="A1677" s="24" t="s">
        <v>140</v>
      </c>
      <c r="B1677" s="24" t="str">
        <f>"688006"</f>
        <v>688006</v>
      </c>
      <c r="C1677" s="24" t="s">
        <v>1896</v>
      </c>
      <c r="D1677" s="24" t="s">
        <v>251</v>
      </c>
      <c r="E1677" s="24">
        <v>73.75</v>
      </c>
      <c r="F1677" s="24">
        <v>9.61</v>
      </c>
    </row>
    <row r="1678" s="24" customFormat="1" spans="1:6">
      <c r="A1678" s="24" t="s">
        <v>142</v>
      </c>
      <c r="B1678" s="24" t="str">
        <f>"300620"</f>
        <v>300620</v>
      </c>
      <c r="C1678" s="24" t="s">
        <v>1897</v>
      </c>
      <c r="D1678" s="24" t="s">
        <v>193</v>
      </c>
      <c r="E1678" s="24">
        <v>73.64</v>
      </c>
      <c r="F1678" s="24">
        <v>6.58</v>
      </c>
    </row>
    <row r="1679" s="24" customFormat="1" spans="1:6">
      <c r="A1679" s="24" t="s">
        <v>142</v>
      </c>
      <c r="B1679" s="24" t="str">
        <f>"300537"</f>
        <v>300537</v>
      </c>
      <c r="C1679" s="24" t="s">
        <v>1898</v>
      </c>
      <c r="D1679" s="24" t="s">
        <v>228</v>
      </c>
      <c r="E1679" s="24">
        <v>73.6</v>
      </c>
      <c r="F1679" s="24">
        <v>5.28</v>
      </c>
    </row>
    <row r="1680" s="24" customFormat="1" spans="1:6">
      <c r="A1680" s="24" t="s">
        <v>140</v>
      </c>
      <c r="B1680" s="24" t="str">
        <f>"600716"</f>
        <v>600716</v>
      </c>
      <c r="C1680" s="24" t="s">
        <v>1899</v>
      </c>
      <c r="D1680" s="24" t="s">
        <v>244</v>
      </c>
      <c r="E1680" s="24">
        <v>73.5</v>
      </c>
      <c r="F1680" s="24">
        <v>0.71</v>
      </c>
    </row>
    <row r="1681" s="24" customFormat="1" spans="1:6">
      <c r="A1681" s="24" t="s">
        <v>140</v>
      </c>
      <c r="B1681" s="24" t="str">
        <f>"688066"</f>
        <v>688066</v>
      </c>
      <c r="C1681" s="24" t="s">
        <v>1900</v>
      </c>
      <c r="D1681" s="24" t="s">
        <v>156</v>
      </c>
      <c r="E1681" s="24">
        <v>73.48</v>
      </c>
      <c r="F1681" s="24">
        <v>8.42</v>
      </c>
    </row>
    <row r="1682" s="24" customFormat="1" spans="1:6">
      <c r="A1682" s="24" t="s">
        <v>140</v>
      </c>
      <c r="B1682" s="24" t="str">
        <f>"600834"</f>
        <v>600834</v>
      </c>
      <c r="C1682" s="24" t="s">
        <v>1901</v>
      </c>
      <c r="D1682" s="24" t="s">
        <v>540</v>
      </c>
      <c r="E1682" s="24">
        <v>73.43</v>
      </c>
      <c r="F1682" s="24">
        <v>1.93</v>
      </c>
    </row>
    <row r="1683" s="24" customFormat="1" spans="1:6">
      <c r="A1683" s="24" t="s">
        <v>142</v>
      </c>
      <c r="B1683" s="24" t="str">
        <f>"002112"</f>
        <v>002112</v>
      </c>
      <c r="C1683" s="24" t="s">
        <v>1902</v>
      </c>
      <c r="D1683" s="24" t="s">
        <v>293</v>
      </c>
      <c r="E1683" s="24">
        <v>73.41</v>
      </c>
      <c r="F1683" s="24">
        <v>3.1</v>
      </c>
    </row>
    <row r="1684" s="24" customFormat="1" spans="1:6">
      <c r="A1684" s="24" t="s">
        <v>142</v>
      </c>
      <c r="B1684" s="24" t="str">
        <f>"300465"</f>
        <v>300465</v>
      </c>
      <c r="C1684" s="24" t="s">
        <v>1903</v>
      </c>
      <c r="D1684" s="24" t="s">
        <v>159</v>
      </c>
      <c r="E1684" s="24">
        <v>73.34</v>
      </c>
      <c r="F1684" s="24">
        <v>21.17</v>
      </c>
    </row>
    <row r="1685" s="24" customFormat="1" spans="1:6">
      <c r="A1685" s="24" t="s">
        <v>140</v>
      </c>
      <c r="B1685" s="24" t="str">
        <f>"600110"</f>
        <v>600110</v>
      </c>
      <c r="C1685" s="24" t="s">
        <v>1904</v>
      </c>
      <c r="D1685" s="24" t="s">
        <v>251</v>
      </c>
      <c r="E1685" s="24">
        <v>73.26</v>
      </c>
      <c r="F1685" s="24">
        <v>2.62</v>
      </c>
    </row>
    <row r="1686" s="24" customFormat="1" spans="1:6">
      <c r="A1686" s="24" t="s">
        <v>142</v>
      </c>
      <c r="B1686" s="24" t="str">
        <f>"002472"</f>
        <v>002472</v>
      </c>
      <c r="C1686" s="24" t="s">
        <v>1905</v>
      </c>
      <c r="D1686" s="24" t="s">
        <v>204</v>
      </c>
      <c r="E1686" s="24">
        <v>73.17</v>
      </c>
      <c r="F1686" s="24">
        <v>1.02</v>
      </c>
    </row>
    <row r="1687" s="24" customFormat="1" spans="1:6">
      <c r="A1687" s="24" t="s">
        <v>142</v>
      </c>
      <c r="B1687" s="24" t="str">
        <f>"002797"</f>
        <v>002797</v>
      </c>
      <c r="C1687" s="24" t="s">
        <v>1906</v>
      </c>
      <c r="D1687" s="24" t="s">
        <v>714</v>
      </c>
      <c r="E1687" s="24">
        <v>72.94</v>
      </c>
      <c r="F1687" s="24">
        <v>2.79</v>
      </c>
    </row>
    <row r="1688" s="24" customFormat="1" spans="1:6">
      <c r="A1688" s="24" t="s">
        <v>142</v>
      </c>
      <c r="B1688" s="24" t="str">
        <f>"300507"</f>
        <v>300507</v>
      </c>
      <c r="C1688" s="24" t="s">
        <v>1907</v>
      </c>
      <c r="D1688" s="24" t="s">
        <v>204</v>
      </c>
      <c r="E1688" s="24">
        <v>72.88</v>
      </c>
      <c r="F1688" s="24">
        <v>2.8</v>
      </c>
    </row>
    <row r="1689" s="24" customFormat="1" spans="1:6">
      <c r="A1689" s="24" t="s">
        <v>140</v>
      </c>
      <c r="B1689" s="24" t="str">
        <f>"688288"</f>
        <v>688288</v>
      </c>
      <c r="C1689" s="24" t="s">
        <v>1908</v>
      </c>
      <c r="D1689" s="24" t="s">
        <v>204</v>
      </c>
      <c r="E1689" s="24">
        <v>72.87</v>
      </c>
      <c r="F1689" s="24">
        <v>4.72</v>
      </c>
    </row>
    <row r="1690" s="24" customFormat="1" spans="1:6">
      <c r="A1690" s="24" t="s">
        <v>142</v>
      </c>
      <c r="B1690" s="24" t="str">
        <f>"300227"</f>
        <v>300227</v>
      </c>
      <c r="C1690" s="24" t="s">
        <v>1909</v>
      </c>
      <c r="D1690" s="24" t="s">
        <v>197</v>
      </c>
      <c r="E1690" s="24">
        <v>72.78</v>
      </c>
      <c r="F1690" s="24">
        <v>4.24</v>
      </c>
    </row>
    <row r="1691" s="24" customFormat="1" spans="1:6">
      <c r="A1691" s="24" t="s">
        <v>142</v>
      </c>
      <c r="B1691" s="24" t="str">
        <f>"002180"</f>
        <v>002180</v>
      </c>
      <c r="C1691" s="24" t="s">
        <v>1910</v>
      </c>
      <c r="D1691" s="24" t="s">
        <v>276</v>
      </c>
      <c r="E1691" s="24">
        <v>72.76</v>
      </c>
      <c r="F1691" s="24">
        <v>-5.86</v>
      </c>
    </row>
    <row r="1692" s="24" customFormat="1" spans="1:6">
      <c r="A1692" s="24" t="s">
        <v>142</v>
      </c>
      <c r="B1692" s="24" t="str">
        <f>"002812"</f>
        <v>002812</v>
      </c>
      <c r="C1692" s="24" t="s">
        <v>1911</v>
      </c>
      <c r="D1692" s="24" t="s">
        <v>290</v>
      </c>
      <c r="E1692" s="24">
        <v>72.75</v>
      </c>
      <c r="F1692" s="24">
        <v>12.19</v>
      </c>
    </row>
    <row r="1693" s="24" customFormat="1" spans="1:6">
      <c r="A1693" s="24" t="s">
        <v>140</v>
      </c>
      <c r="B1693" s="24" t="str">
        <f>"600467"</f>
        <v>600467</v>
      </c>
      <c r="C1693" s="24" t="s">
        <v>1912</v>
      </c>
      <c r="D1693" s="24" t="s">
        <v>145</v>
      </c>
      <c r="E1693" s="24">
        <v>72.66</v>
      </c>
      <c r="F1693" s="24">
        <v>1.05</v>
      </c>
    </row>
    <row r="1694" s="24" customFormat="1" spans="1:6">
      <c r="A1694" s="24" t="s">
        <v>140</v>
      </c>
      <c r="B1694" s="24" t="str">
        <f>"600242"</f>
        <v>600242</v>
      </c>
      <c r="C1694" s="24" t="s">
        <v>1913</v>
      </c>
      <c r="D1694" s="24" t="s">
        <v>163</v>
      </c>
      <c r="E1694" s="24">
        <v>72.61</v>
      </c>
      <c r="F1694" s="24">
        <v>-138.92</v>
      </c>
    </row>
    <row r="1695" s="24" customFormat="1" spans="1:6">
      <c r="A1695" s="24" t="s">
        <v>140</v>
      </c>
      <c r="B1695" s="24" t="str">
        <f>"688025"</f>
        <v>688025</v>
      </c>
      <c r="C1695" s="24" t="s">
        <v>1914</v>
      </c>
      <c r="D1695" s="24" t="s">
        <v>276</v>
      </c>
      <c r="E1695" s="24">
        <v>72.4</v>
      </c>
      <c r="F1695" s="24">
        <v>2.89</v>
      </c>
    </row>
    <row r="1696" s="24" customFormat="1" spans="1:6">
      <c r="A1696" s="24" t="s">
        <v>142</v>
      </c>
      <c r="B1696" s="24" t="str">
        <f>"300657"</f>
        <v>300657</v>
      </c>
      <c r="C1696" s="24" t="s">
        <v>1915</v>
      </c>
      <c r="D1696" s="24" t="s">
        <v>197</v>
      </c>
      <c r="E1696" s="24">
        <v>72.35</v>
      </c>
      <c r="F1696" s="24">
        <v>4.92</v>
      </c>
    </row>
    <row r="1697" s="24" customFormat="1" spans="1:6">
      <c r="A1697" s="24" t="s">
        <v>142</v>
      </c>
      <c r="B1697" s="24" t="str">
        <f>"002528"</f>
        <v>002528</v>
      </c>
      <c r="C1697" s="24" t="s">
        <v>1916</v>
      </c>
      <c r="D1697" s="24" t="s">
        <v>152</v>
      </c>
      <c r="E1697" s="24">
        <v>72.34</v>
      </c>
      <c r="F1697" s="24">
        <v>2.22</v>
      </c>
    </row>
    <row r="1698" s="24" customFormat="1" spans="1:6">
      <c r="A1698" s="24" t="s">
        <v>140</v>
      </c>
      <c r="B1698" s="24" t="str">
        <f>"603268"</f>
        <v>603268</v>
      </c>
      <c r="C1698" s="24" t="s">
        <v>1917</v>
      </c>
      <c r="D1698" s="24" t="s">
        <v>200</v>
      </c>
      <c r="E1698" s="24">
        <v>72.3</v>
      </c>
      <c r="F1698" s="24">
        <v>5.54</v>
      </c>
    </row>
    <row r="1699" s="24" customFormat="1" spans="1:6">
      <c r="A1699" s="24" t="s">
        <v>142</v>
      </c>
      <c r="B1699" s="24" t="str">
        <f>"002064"</f>
        <v>002064</v>
      </c>
      <c r="C1699" s="24" t="s">
        <v>1918</v>
      </c>
      <c r="D1699" s="24" t="s">
        <v>302</v>
      </c>
      <c r="E1699" s="24">
        <v>72.25</v>
      </c>
      <c r="F1699" s="24">
        <v>1.82</v>
      </c>
    </row>
    <row r="1700" s="24" customFormat="1" spans="1:6">
      <c r="A1700" s="24" t="s">
        <v>140</v>
      </c>
      <c r="B1700" s="24" t="str">
        <f>"600523"</f>
        <v>600523</v>
      </c>
      <c r="C1700" s="24" t="s">
        <v>1919</v>
      </c>
      <c r="D1700" s="24" t="s">
        <v>204</v>
      </c>
      <c r="E1700" s="24">
        <v>72.08</v>
      </c>
      <c r="F1700" s="24">
        <v>2.17</v>
      </c>
    </row>
    <row r="1701" s="24" customFormat="1" spans="1:6">
      <c r="A1701" s="24" t="s">
        <v>142</v>
      </c>
      <c r="B1701" s="24" t="str">
        <f>"002368"</f>
        <v>002368</v>
      </c>
      <c r="C1701" s="24" t="s">
        <v>1920</v>
      </c>
      <c r="D1701" s="24" t="s">
        <v>159</v>
      </c>
      <c r="E1701" s="24">
        <v>72.01</v>
      </c>
      <c r="F1701" s="24">
        <v>6.88</v>
      </c>
    </row>
    <row r="1702" s="24" customFormat="1" spans="1:6">
      <c r="A1702" s="24" t="s">
        <v>142</v>
      </c>
      <c r="B1702" s="24" t="str">
        <f>"300805"</f>
        <v>300805</v>
      </c>
      <c r="C1702" s="24" t="s">
        <v>1921</v>
      </c>
      <c r="D1702" s="24" t="s">
        <v>170</v>
      </c>
      <c r="E1702" s="24">
        <v>72.01</v>
      </c>
      <c r="F1702" s="24">
        <v>9.14</v>
      </c>
    </row>
    <row r="1703" s="24" customFormat="1" spans="1:6">
      <c r="A1703" s="24" t="s">
        <v>142</v>
      </c>
      <c r="B1703" s="24" t="str">
        <f>"300617"</f>
        <v>300617</v>
      </c>
      <c r="C1703" s="24" t="s">
        <v>1922</v>
      </c>
      <c r="D1703" s="24" t="s">
        <v>251</v>
      </c>
      <c r="E1703" s="24">
        <v>71.97</v>
      </c>
      <c r="F1703" s="24">
        <v>4.17</v>
      </c>
    </row>
    <row r="1704" s="24" customFormat="1" spans="1:6">
      <c r="A1704" s="24" t="s">
        <v>140</v>
      </c>
      <c r="B1704" s="24" t="str">
        <f>"603960"</f>
        <v>603960</v>
      </c>
      <c r="C1704" s="24" t="s">
        <v>1923</v>
      </c>
      <c r="D1704" s="24" t="s">
        <v>173</v>
      </c>
      <c r="E1704" s="24">
        <v>71.96</v>
      </c>
      <c r="F1704" s="24">
        <v>14.68</v>
      </c>
    </row>
    <row r="1705" s="24" customFormat="1" spans="1:6">
      <c r="A1705" s="24" t="s">
        <v>142</v>
      </c>
      <c r="B1705" s="24" t="str">
        <f>"000565"</f>
        <v>000565</v>
      </c>
      <c r="C1705" s="24" t="s">
        <v>1924</v>
      </c>
      <c r="D1705" s="24" t="s">
        <v>228</v>
      </c>
      <c r="E1705" s="24">
        <v>71.94</v>
      </c>
      <c r="F1705" s="24">
        <v>1.74</v>
      </c>
    </row>
    <row r="1706" s="24" customFormat="1" spans="1:6">
      <c r="A1706" s="24" t="s">
        <v>142</v>
      </c>
      <c r="B1706" s="24" t="str">
        <f>"000025"</f>
        <v>000025</v>
      </c>
      <c r="C1706" s="24" t="s">
        <v>1925</v>
      </c>
      <c r="D1706" s="24" t="s">
        <v>207</v>
      </c>
      <c r="E1706" s="24">
        <v>71.92</v>
      </c>
      <c r="F1706" s="24">
        <v>7.28</v>
      </c>
    </row>
    <row r="1707" s="24" customFormat="1" spans="1:6">
      <c r="A1707" s="24" t="s">
        <v>142</v>
      </c>
      <c r="B1707" s="24" t="str">
        <f>"300747"</f>
        <v>300747</v>
      </c>
      <c r="C1707" s="24" t="s">
        <v>1926</v>
      </c>
      <c r="D1707" s="24" t="s">
        <v>152</v>
      </c>
      <c r="E1707" s="24">
        <v>71.88</v>
      </c>
      <c r="F1707" s="24">
        <v>8.66</v>
      </c>
    </row>
    <row r="1708" s="24" customFormat="1" spans="1:6">
      <c r="A1708" s="24" t="s">
        <v>142</v>
      </c>
      <c r="B1708" s="24" t="str">
        <f>"300638"</f>
        <v>300638</v>
      </c>
      <c r="C1708" s="24" t="s">
        <v>1927</v>
      </c>
      <c r="D1708" s="24" t="s">
        <v>336</v>
      </c>
      <c r="E1708" s="24">
        <v>71.79</v>
      </c>
      <c r="F1708" s="24">
        <v>7.59</v>
      </c>
    </row>
    <row r="1709" s="24" customFormat="1" spans="1:6">
      <c r="A1709" s="24" t="s">
        <v>142</v>
      </c>
      <c r="B1709" s="24" t="str">
        <f>"002863"</f>
        <v>002863</v>
      </c>
      <c r="C1709" s="24" t="s">
        <v>1928</v>
      </c>
      <c r="D1709" s="24" t="s">
        <v>204</v>
      </c>
      <c r="E1709" s="24">
        <v>71.57</v>
      </c>
      <c r="F1709" s="24">
        <v>1.83</v>
      </c>
    </row>
    <row r="1710" s="24" customFormat="1" spans="1:6">
      <c r="A1710" s="24" t="s">
        <v>140</v>
      </c>
      <c r="B1710" s="24" t="str">
        <f>"603160"</f>
        <v>603160</v>
      </c>
      <c r="C1710" s="24" t="s">
        <v>1929</v>
      </c>
      <c r="D1710" s="24" t="s">
        <v>197</v>
      </c>
      <c r="E1710" s="24">
        <v>71.57</v>
      </c>
      <c r="F1710" s="24">
        <v>25.53</v>
      </c>
    </row>
    <row r="1711" s="24" customFormat="1" spans="1:6">
      <c r="A1711" s="24" t="s">
        <v>140</v>
      </c>
      <c r="B1711" s="24" t="str">
        <f>"603707"</f>
        <v>603707</v>
      </c>
      <c r="C1711" s="24" t="s">
        <v>1930</v>
      </c>
      <c r="D1711" s="24" t="s">
        <v>997</v>
      </c>
      <c r="E1711" s="24">
        <v>71.47</v>
      </c>
      <c r="F1711" s="24">
        <v>13.53</v>
      </c>
    </row>
    <row r="1712" s="24" customFormat="1" spans="1:6">
      <c r="A1712" s="24" t="s">
        <v>142</v>
      </c>
      <c r="B1712" s="24" t="str">
        <f>"002973"</f>
        <v>002973</v>
      </c>
      <c r="C1712" s="24" t="s">
        <v>1931</v>
      </c>
      <c r="D1712" s="24"/>
      <c r="E1712" s="24">
        <v>71.25</v>
      </c>
      <c r="F1712" s="24">
        <v>8.47</v>
      </c>
    </row>
    <row r="1713" s="24" customFormat="1" spans="1:6">
      <c r="A1713" s="24" t="s">
        <v>142</v>
      </c>
      <c r="B1713" s="24" t="str">
        <f>"002678"</f>
        <v>002678</v>
      </c>
      <c r="C1713" s="24" t="s">
        <v>1932</v>
      </c>
      <c r="D1713" s="24" t="s">
        <v>283</v>
      </c>
      <c r="E1713" s="24">
        <v>71.12</v>
      </c>
      <c r="F1713" s="24">
        <v>2.99</v>
      </c>
    </row>
    <row r="1714" s="24" customFormat="1" spans="1:6">
      <c r="A1714" s="24" t="s">
        <v>142</v>
      </c>
      <c r="B1714" s="24" t="str">
        <f>"300693"</f>
        <v>300693</v>
      </c>
      <c r="C1714" s="24" t="s">
        <v>1933</v>
      </c>
      <c r="D1714" s="24" t="s">
        <v>251</v>
      </c>
      <c r="E1714" s="24">
        <v>71</v>
      </c>
      <c r="F1714" s="24">
        <v>3.99</v>
      </c>
    </row>
    <row r="1715" s="24" customFormat="1" spans="1:6">
      <c r="A1715" s="24" t="s">
        <v>140</v>
      </c>
      <c r="B1715" s="24" t="str">
        <f>"600763"</f>
        <v>600763</v>
      </c>
      <c r="C1715" s="24" t="s">
        <v>96</v>
      </c>
      <c r="D1715" s="24" t="s">
        <v>348</v>
      </c>
      <c r="E1715" s="24">
        <v>70.98</v>
      </c>
      <c r="F1715" s="24">
        <v>18.97</v>
      </c>
    </row>
    <row r="1716" s="24" customFormat="1" spans="1:6">
      <c r="A1716" s="24" t="s">
        <v>142</v>
      </c>
      <c r="B1716" s="24" t="str">
        <f>"300624"</f>
        <v>300624</v>
      </c>
      <c r="C1716" s="24" t="s">
        <v>1934</v>
      </c>
      <c r="D1716" s="24" t="s">
        <v>156</v>
      </c>
      <c r="E1716" s="24">
        <v>70.98</v>
      </c>
      <c r="F1716" s="24">
        <v>9.09</v>
      </c>
    </row>
    <row r="1717" s="24" customFormat="1" spans="1:6">
      <c r="A1717" s="24" t="s">
        <v>140</v>
      </c>
      <c r="B1717" s="24" t="str">
        <f>"603009"</f>
        <v>603009</v>
      </c>
      <c r="C1717" s="24" t="s">
        <v>1935</v>
      </c>
      <c r="D1717" s="24" t="s">
        <v>204</v>
      </c>
      <c r="E1717" s="24">
        <v>70.88</v>
      </c>
      <c r="F1717" s="24">
        <v>1.55</v>
      </c>
    </row>
    <row r="1718" s="24" customFormat="1" spans="1:6">
      <c r="A1718" s="24" t="s">
        <v>140</v>
      </c>
      <c r="B1718" s="24" t="str">
        <f>"600604"</f>
        <v>600604</v>
      </c>
      <c r="C1718" s="24" t="s">
        <v>1936</v>
      </c>
      <c r="D1718" s="24" t="s">
        <v>1076</v>
      </c>
      <c r="E1718" s="24">
        <v>70.79</v>
      </c>
      <c r="F1718" s="24">
        <v>2.25</v>
      </c>
    </row>
    <row r="1719" s="24" customFormat="1" spans="1:6">
      <c r="A1719" s="24" t="s">
        <v>140</v>
      </c>
      <c r="B1719" s="24" t="str">
        <f>"600392"</f>
        <v>600392</v>
      </c>
      <c r="C1719" s="24" t="s">
        <v>1937</v>
      </c>
      <c r="D1719" s="24" t="s">
        <v>167</v>
      </c>
      <c r="E1719" s="24">
        <v>70.76</v>
      </c>
      <c r="F1719" s="24">
        <v>2.84</v>
      </c>
    </row>
    <row r="1720" s="24" customFormat="1" spans="1:6">
      <c r="A1720" s="24" t="s">
        <v>142</v>
      </c>
      <c r="B1720" s="24" t="str">
        <f>"300667"</f>
        <v>300667</v>
      </c>
      <c r="C1720" s="24" t="s">
        <v>1938</v>
      </c>
      <c r="D1720" s="24" t="s">
        <v>152</v>
      </c>
      <c r="E1720" s="24">
        <v>70.56</v>
      </c>
      <c r="F1720" s="24">
        <v>4.18</v>
      </c>
    </row>
    <row r="1721" s="24" customFormat="1" spans="1:6">
      <c r="A1721" s="24" t="s">
        <v>142</v>
      </c>
      <c r="B1721" s="24" t="str">
        <f>"300267"</f>
        <v>300267</v>
      </c>
      <c r="C1721" s="24" t="s">
        <v>1939</v>
      </c>
      <c r="D1721" s="24" t="s">
        <v>997</v>
      </c>
      <c r="E1721" s="24">
        <v>70.44</v>
      </c>
      <c r="F1721" s="24">
        <v>1.8</v>
      </c>
    </row>
    <row r="1722" s="24" customFormat="1" spans="1:6">
      <c r="A1722" s="24" t="s">
        <v>140</v>
      </c>
      <c r="B1722" s="24" t="str">
        <f>"603496"</f>
        <v>603496</v>
      </c>
      <c r="C1722" s="24" t="s">
        <v>1940</v>
      </c>
      <c r="D1722" s="24" t="s">
        <v>193</v>
      </c>
      <c r="E1722" s="24">
        <v>70.37</v>
      </c>
      <c r="F1722" s="24">
        <v>7.34</v>
      </c>
    </row>
    <row r="1723" s="24" customFormat="1" spans="1:6">
      <c r="A1723" s="24" t="s">
        <v>142</v>
      </c>
      <c r="B1723" s="24" t="str">
        <f>"300636"</f>
        <v>300636</v>
      </c>
      <c r="C1723" s="24" t="s">
        <v>1941</v>
      </c>
      <c r="D1723" s="24" t="s">
        <v>464</v>
      </c>
      <c r="E1723" s="24">
        <v>70.27</v>
      </c>
      <c r="F1723" s="24">
        <v>3.74</v>
      </c>
    </row>
    <row r="1724" s="24" customFormat="1" spans="1:6">
      <c r="A1724" s="24" t="s">
        <v>140</v>
      </c>
      <c r="B1724" s="24" t="str">
        <f>"688369"</f>
        <v>688369</v>
      </c>
      <c r="C1724" s="24" t="s">
        <v>1942</v>
      </c>
      <c r="D1724" s="24" t="s">
        <v>156</v>
      </c>
      <c r="E1724" s="24">
        <v>70.19</v>
      </c>
      <c r="F1724" s="24">
        <v>4.84</v>
      </c>
    </row>
    <row r="1725" s="24" customFormat="1" spans="1:6">
      <c r="A1725" s="24" t="s">
        <v>140</v>
      </c>
      <c r="B1725" s="24" t="str">
        <f>"600400"</f>
        <v>600400</v>
      </c>
      <c r="C1725" s="24" t="s">
        <v>1943</v>
      </c>
      <c r="D1725" s="24" t="s">
        <v>161</v>
      </c>
      <c r="E1725" s="24">
        <v>69.97</v>
      </c>
      <c r="F1725" s="24">
        <v>2.41</v>
      </c>
    </row>
    <row r="1726" s="24" customFormat="1" spans="1:6">
      <c r="A1726" s="24" t="s">
        <v>142</v>
      </c>
      <c r="B1726" s="24" t="str">
        <f>"002758"</f>
        <v>002758</v>
      </c>
      <c r="C1726" s="24" t="s">
        <v>1944</v>
      </c>
      <c r="D1726" s="24" t="s">
        <v>584</v>
      </c>
      <c r="E1726" s="24">
        <v>69.97</v>
      </c>
      <c r="F1726" s="24">
        <v>3.39</v>
      </c>
    </row>
    <row r="1727" s="24" customFormat="1" spans="1:6">
      <c r="A1727" s="24" t="s">
        <v>140</v>
      </c>
      <c r="B1727" s="24" t="str">
        <f>"600114"</f>
        <v>600114</v>
      </c>
      <c r="C1727" s="24" t="s">
        <v>1945</v>
      </c>
      <c r="D1727" s="24" t="s">
        <v>165</v>
      </c>
      <c r="E1727" s="24">
        <v>69.92</v>
      </c>
      <c r="F1727" s="24">
        <v>3.25</v>
      </c>
    </row>
    <row r="1728" s="24" customFormat="1" spans="1:6">
      <c r="A1728" s="24" t="s">
        <v>140</v>
      </c>
      <c r="B1728" s="24" t="str">
        <f>"601882"</f>
        <v>601882</v>
      </c>
      <c r="C1728" s="24" t="s">
        <v>1946</v>
      </c>
      <c r="D1728" s="24" t="s">
        <v>165</v>
      </c>
      <c r="E1728" s="24">
        <v>69.87</v>
      </c>
      <c r="F1728" s="24">
        <v>2.74</v>
      </c>
    </row>
    <row r="1729" s="24" customFormat="1" spans="1:6">
      <c r="A1729" s="24" t="s">
        <v>142</v>
      </c>
      <c r="B1729" s="24" t="str">
        <f>"300684"</f>
        <v>300684</v>
      </c>
      <c r="C1729" s="24" t="s">
        <v>1947</v>
      </c>
      <c r="D1729" s="24" t="s">
        <v>644</v>
      </c>
      <c r="E1729" s="24">
        <v>69.74</v>
      </c>
      <c r="F1729" s="24">
        <v>9.88</v>
      </c>
    </row>
    <row r="1730" s="24" customFormat="1" spans="1:6">
      <c r="A1730" s="24" t="s">
        <v>142</v>
      </c>
      <c r="B1730" s="24" t="str">
        <f>"300414"</f>
        <v>300414</v>
      </c>
      <c r="C1730" s="24" t="s">
        <v>1948</v>
      </c>
      <c r="D1730" s="24" t="s">
        <v>152</v>
      </c>
      <c r="E1730" s="24">
        <v>69.59</v>
      </c>
      <c r="F1730" s="24">
        <v>4.15</v>
      </c>
    </row>
    <row r="1731" s="24" customFormat="1" spans="1:6">
      <c r="A1731" s="24" t="s">
        <v>142</v>
      </c>
      <c r="B1731" s="24" t="str">
        <f>"300545"</f>
        <v>300545</v>
      </c>
      <c r="C1731" s="24" t="s">
        <v>1949</v>
      </c>
      <c r="D1731" s="24" t="s">
        <v>197</v>
      </c>
      <c r="E1731" s="24">
        <v>69.58</v>
      </c>
      <c r="F1731" s="24">
        <v>7.22</v>
      </c>
    </row>
    <row r="1732" s="24" customFormat="1" spans="1:6">
      <c r="A1732" s="24" t="s">
        <v>142</v>
      </c>
      <c r="B1732" s="24" t="str">
        <f>"002861"</f>
        <v>002861</v>
      </c>
      <c r="C1732" s="24" t="s">
        <v>1950</v>
      </c>
      <c r="D1732" s="24" t="s">
        <v>152</v>
      </c>
      <c r="E1732" s="24">
        <v>69.5</v>
      </c>
      <c r="F1732" s="24">
        <v>3.81</v>
      </c>
    </row>
    <row r="1733" s="24" customFormat="1" spans="1:6">
      <c r="A1733" s="24" t="s">
        <v>142</v>
      </c>
      <c r="B1733" s="24" t="str">
        <f>"002224"</f>
        <v>002224</v>
      </c>
      <c r="C1733" s="24" t="s">
        <v>1951</v>
      </c>
      <c r="D1733" s="24" t="s">
        <v>644</v>
      </c>
      <c r="E1733" s="24">
        <v>69.47</v>
      </c>
      <c r="F1733" s="24">
        <v>2.56</v>
      </c>
    </row>
    <row r="1734" s="24" customFormat="1" spans="1:6">
      <c r="A1734" s="24" t="s">
        <v>142</v>
      </c>
      <c r="B1734" s="24" t="str">
        <f>"002862"</f>
        <v>002862</v>
      </c>
      <c r="C1734" s="24" t="s">
        <v>1952</v>
      </c>
      <c r="D1734" s="24" t="s">
        <v>283</v>
      </c>
      <c r="E1734" s="24">
        <v>69.42</v>
      </c>
      <c r="F1734" s="24">
        <v>2.78</v>
      </c>
    </row>
    <row r="1735" s="24" customFormat="1" spans="1:6">
      <c r="A1735" s="24" t="s">
        <v>142</v>
      </c>
      <c r="B1735" s="24" t="str">
        <f>"002198"</f>
        <v>002198</v>
      </c>
      <c r="C1735" s="24" t="s">
        <v>1953</v>
      </c>
      <c r="D1735" s="24" t="s">
        <v>388</v>
      </c>
      <c r="E1735" s="24">
        <v>69.38</v>
      </c>
      <c r="F1735" s="24">
        <v>3.74</v>
      </c>
    </row>
    <row r="1736" s="24" customFormat="1" spans="1:6">
      <c r="A1736" s="24" t="s">
        <v>142</v>
      </c>
      <c r="B1736" s="24" t="str">
        <f>"300797"</f>
        <v>300797</v>
      </c>
      <c r="C1736" s="24" t="s">
        <v>1954</v>
      </c>
      <c r="D1736" s="24" t="s">
        <v>152</v>
      </c>
      <c r="E1736" s="24">
        <v>69.37</v>
      </c>
      <c r="F1736" s="24">
        <v>5.96</v>
      </c>
    </row>
    <row r="1737" s="24" customFormat="1" spans="1:6">
      <c r="A1737" s="24" t="s">
        <v>142</v>
      </c>
      <c r="B1737" s="24" t="str">
        <f>"300589"</f>
        <v>300589</v>
      </c>
      <c r="C1737" s="24" t="s">
        <v>1955</v>
      </c>
      <c r="D1737" s="24" t="s">
        <v>173</v>
      </c>
      <c r="E1737" s="24">
        <v>69.29</v>
      </c>
      <c r="F1737" s="24">
        <v>6.55</v>
      </c>
    </row>
    <row r="1738" s="24" customFormat="1" spans="1:6">
      <c r="A1738" s="24" t="s">
        <v>142</v>
      </c>
      <c r="B1738" s="24" t="str">
        <f>"002915"</f>
        <v>002915</v>
      </c>
      <c r="C1738" s="24" t="s">
        <v>1956</v>
      </c>
      <c r="D1738" s="24" t="s">
        <v>256</v>
      </c>
      <c r="E1738" s="24">
        <v>69.27</v>
      </c>
      <c r="F1738" s="24">
        <v>3</v>
      </c>
    </row>
    <row r="1739" s="24" customFormat="1" spans="1:6">
      <c r="A1739" s="24" t="s">
        <v>142</v>
      </c>
      <c r="B1739" s="24" t="str">
        <f>"002583"</f>
        <v>002583</v>
      </c>
      <c r="C1739" s="24" t="s">
        <v>1957</v>
      </c>
      <c r="D1739" s="24" t="s">
        <v>193</v>
      </c>
      <c r="E1739" s="24">
        <v>69.26</v>
      </c>
      <c r="F1739" s="24">
        <v>2.52</v>
      </c>
    </row>
    <row r="1740" s="24" customFormat="1" spans="1:6">
      <c r="A1740" s="24" t="s">
        <v>140</v>
      </c>
      <c r="B1740" s="24" t="str">
        <f>"688186"</f>
        <v>688186</v>
      </c>
      <c r="C1740" s="24" t="s">
        <v>1958</v>
      </c>
      <c r="D1740" s="24"/>
      <c r="E1740" s="24">
        <v>69.15</v>
      </c>
      <c r="F1740" s="24">
        <v>4.8</v>
      </c>
    </row>
    <row r="1741" s="24" customFormat="1" spans="1:6">
      <c r="A1741" s="24" t="s">
        <v>142</v>
      </c>
      <c r="B1741" s="24" t="str">
        <f>"300568"</f>
        <v>300568</v>
      </c>
      <c r="C1741" s="24" t="s">
        <v>1959</v>
      </c>
      <c r="D1741" s="24" t="s">
        <v>228</v>
      </c>
      <c r="E1741" s="24">
        <v>69.08</v>
      </c>
      <c r="F1741" s="24">
        <v>3.67</v>
      </c>
    </row>
    <row r="1742" s="24" customFormat="1" spans="1:6">
      <c r="A1742" s="24" t="s">
        <v>142</v>
      </c>
      <c r="B1742" s="24" t="str">
        <f>"002036"</f>
        <v>002036</v>
      </c>
      <c r="C1742" s="24" t="s">
        <v>1960</v>
      </c>
      <c r="D1742" s="24" t="s">
        <v>230</v>
      </c>
      <c r="E1742" s="24">
        <v>68.97</v>
      </c>
      <c r="F1742" s="24">
        <v>5.58</v>
      </c>
    </row>
    <row r="1743" s="24" customFormat="1" spans="1:6">
      <c r="A1743" s="24" t="s">
        <v>142</v>
      </c>
      <c r="B1743" s="24" t="str">
        <f>"300045"</f>
        <v>300045</v>
      </c>
      <c r="C1743" s="24" t="s">
        <v>1961</v>
      </c>
      <c r="D1743" s="24" t="s">
        <v>395</v>
      </c>
      <c r="E1743" s="24">
        <v>68.95</v>
      </c>
      <c r="F1743" s="24">
        <v>4.81</v>
      </c>
    </row>
    <row r="1744" s="24" customFormat="1" spans="1:6">
      <c r="A1744" s="24" t="s">
        <v>140</v>
      </c>
      <c r="B1744" s="24" t="str">
        <f>"688081"</f>
        <v>688081</v>
      </c>
      <c r="C1744" s="24" t="s">
        <v>1962</v>
      </c>
      <c r="D1744" s="24"/>
      <c r="E1744" s="24">
        <v>68.94</v>
      </c>
      <c r="F1744" s="24">
        <v>5.63</v>
      </c>
    </row>
    <row r="1745" s="24" customFormat="1" spans="1:6">
      <c r="A1745" s="24" t="s">
        <v>142</v>
      </c>
      <c r="B1745" s="24" t="str">
        <f>"002891"</f>
        <v>002891</v>
      </c>
      <c r="C1745" s="24" t="s">
        <v>1963</v>
      </c>
      <c r="D1745" s="24" t="s">
        <v>190</v>
      </c>
      <c r="E1745" s="24">
        <v>68.91</v>
      </c>
      <c r="F1745" s="24">
        <v>5.04</v>
      </c>
    </row>
    <row r="1746" s="24" customFormat="1" spans="1:6">
      <c r="A1746" s="24" t="s">
        <v>142</v>
      </c>
      <c r="B1746" s="24" t="str">
        <f>"002783"</f>
        <v>002783</v>
      </c>
      <c r="C1746" s="24" t="s">
        <v>1964</v>
      </c>
      <c r="D1746" s="24" t="s">
        <v>228</v>
      </c>
      <c r="E1746" s="24">
        <v>68.69</v>
      </c>
      <c r="F1746" s="24">
        <v>2.87</v>
      </c>
    </row>
    <row r="1747" s="24" customFormat="1" spans="1:6">
      <c r="A1747" s="24" t="s">
        <v>142</v>
      </c>
      <c r="B1747" s="24" t="str">
        <f>"000690"</f>
        <v>000690</v>
      </c>
      <c r="C1747" s="24" t="s">
        <v>1965</v>
      </c>
      <c r="D1747" s="24" t="s">
        <v>188</v>
      </c>
      <c r="E1747" s="24">
        <v>68.64</v>
      </c>
      <c r="F1747" s="24">
        <v>1.27</v>
      </c>
    </row>
    <row r="1748" s="24" customFormat="1" spans="1:6">
      <c r="A1748" s="24" t="s">
        <v>140</v>
      </c>
      <c r="B1748" s="24" t="str">
        <f>"603826"</f>
        <v>603826</v>
      </c>
      <c r="C1748" s="24" t="s">
        <v>1966</v>
      </c>
      <c r="D1748" s="24" t="s">
        <v>644</v>
      </c>
      <c r="E1748" s="24">
        <v>68.63</v>
      </c>
      <c r="F1748" s="24">
        <v>7.61</v>
      </c>
    </row>
    <row r="1749" s="24" customFormat="1" spans="1:6">
      <c r="A1749" s="24" t="s">
        <v>140</v>
      </c>
      <c r="B1749" s="24" t="str">
        <f>"601990"</f>
        <v>601990</v>
      </c>
      <c r="C1749" s="24" t="s">
        <v>1967</v>
      </c>
      <c r="D1749" s="24" t="s">
        <v>714</v>
      </c>
      <c r="E1749" s="24">
        <v>68.54</v>
      </c>
      <c r="F1749" s="24">
        <v>4.01</v>
      </c>
    </row>
    <row r="1750" s="24" customFormat="1" spans="1:6">
      <c r="A1750" s="24" t="s">
        <v>142</v>
      </c>
      <c r="B1750" s="24" t="str">
        <f>"300448"</f>
        <v>300448</v>
      </c>
      <c r="C1750" s="24" t="s">
        <v>1968</v>
      </c>
      <c r="D1750" s="24" t="s">
        <v>152</v>
      </c>
      <c r="E1750" s="24">
        <v>68.53</v>
      </c>
      <c r="F1750" s="24">
        <v>7.87</v>
      </c>
    </row>
    <row r="1751" s="24" customFormat="1" spans="1:6">
      <c r="A1751" s="24" t="s">
        <v>140</v>
      </c>
      <c r="B1751" s="24" t="str">
        <f>"603068"</f>
        <v>603068</v>
      </c>
      <c r="C1751" s="24" t="s">
        <v>1969</v>
      </c>
      <c r="D1751" s="24" t="s">
        <v>276</v>
      </c>
      <c r="E1751" s="24">
        <v>68.5</v>
      </c>
      <c r="F1751" s="24">
        <v>11.93</v>
      </c>
    </row>
    <row r="1752" s="24" customFormat="1" spans="1:6">
      <c r="A1752" s="24" t="s">
        <v>142</v>
      </c>
      <c r="B1752" s="24" t="str">
        <f>"002288"</f>
        <v>002288</v>
      </c>
      <c r="C1752" s="24" t="s">
        <v>1970</v>
      </c>
      <c r="D1752" s="24" t="s">
        <v>197</v>
      </c>
      <c r="E1752" s="24">
        <v>68.49</v>
      </c>
      <c r="F1752" s="24">
        <v>2.86</v>
      </c>
    </row>
    <row r="1753" s="24" customFormat="1" spans="1:6">
      <c r="A1753" s="24" t="s">
        <v>142</v>
      </c>
      <c r="B1753" s="24" t="str">
        <f>"300630"</f>
        <v>300630</v>
      </c>
      <c r="C1753" s="24" t="s">
        <v>1971</v>
      </c>
      <c r="D1753" s="24" t="s">
        <v>464</v>
      </c>
      <c r="E1753" s="24">
        <v>68.48</v>
      </c>
      <c r="F1753" s="24">
        <v>16.49</v>
      </c>
    </row>
    <row r="1754" s="24" customFormat="1" spans="1:6">
      <c r="A1754" s="24" t="s">
        <v>142</v>
      </c>
      <c r="B1754" s="24" t="str">
        <f>"300552"</f>
        <v>300552</v>
      </c>
      <c r="C1754" s="24" t="s">
        <v>1972</v>
      </c>
      <c r="D1754" s="24" t="s">
        <v>156</v>
      </c>
      <c r="E1754" s="24">
        <v>68.45</v>
      </c>
      <c r="F1754" s="24">
        <v>11.1</v>
      </c>
    </row>
    <row r="1755" s="24" customFormat="1" spans="1:6">
      <c r="A1755" s="24" t="s">
        <v>140</v>
      </c>
      <c r="B1755" s="24" t="str">
        <f>"600082"</f>
        <v>600082</v>
      </c>
      <c r="C1755" s="24" t="s">
        <v>1973</v>
      </c>
      <c r="D1755" s="24" t="s">
        <v>1076</v>
      </c>
      <c r="E1755" s="24">
        <v>68.32</v>
      </c>
      <c r="F1755" s="24">
        <v>1.28</v>
      </c>
    </row>
    <row r="1756" s="24" customFormat="1" spans="1:6">
      <c r="A1756" s="24" t="s">
        <v>142</v>
      </c>
      <c r="B1756" s="24" t="str">
        <f>"300549"</f>
        <v>300549</v>
      </c>
      <c r="C1756" s="24" t="s">
        <v>1974</v>
      </c>
      <c r="D1756" s="24" t="s">
        <v>204</v>
      </c>
      <c r="E1756" s="24">
        <v>68.14</v>
      </c>
      <c r="F1756" s="24">
        <v>3.12</v>
      </c>
    </row>
    <row r="1757" s="24" customFormat="1" spans="1:6">
      <c r="A1757" s="24" t="s">
        <v>142</v>
      </c>
      <c r="B1757" s="24" t="str">
        <f>"300722"</f>
        <v>300722</v>
      </c>
      <c r="C1757" s="24" t="s">
        <v>1975</v>
      </c>
      <c r="D1757" s="24" t="s">
        <v>395</v>
      </c>
      <c r="E1757" s="24">
        <v>68.08</v>
      </c>
      <c r="F1757" s="24">
        <v>4.88</v>
      </c>
    </row>
    <row r="1758" s="24" customFormat="1" spans="1:6">
      <c r="A1758" s="24" t="s">
        <v>142</v>
      </c>
      <c r="B1758" s="24" t="str">
        <f>"300590"</f>
        <v>300590</v>
      </c>
      <c r="C1758" s="24" t="s">
        <v>1976</v>
      </c>
      <c r="D1758" s="24" t="s">
        <v>193</v>
      </c>
      <c r="E1758" s="24">
        <v>68.04</v>
      </c>
      <c r="F1758" s="24">
        <v>8.67</v>
      </c>
    </row>
    <row r="1759" s="24" customFormat="1" spans="1:6">
      <c r="A1759" s="24" t="s">
        <v>140</v>
      </c>
      <c r="B1759" s="24" t="str">
        <f>"688021"</f>
        <v>688021</v>
      </c>
      <c r="C1759" s="24" t="s">
        <v>1977</v>
      </c>
      <c r="D1759" s="24" t="s">
        <v>204</v>
      </c>
      <c r="E1759" s="24">
        <v>68.04</v>
      </c>
      <c r="F1759" s="24">
        <v>3.75</v>
      </c>
    </row>
    <row r="1760" s="24" customFormat="1" spans="1:6">
      <c r="A1760" s="24" t="s">
        <v>140</v>
      </c>
      <c r="B1760" s="24" t="str">
        <f>"688015"</f>
        <v>688015</v>
      </c>
      <c r="C1760" s="24" t="s">
        <v>1978</v>
      </c>
      <c r="D1760" s="24" t="s">
        <v>214</v>
      </c>
      <c r="E1760" s="24">
        <v>67.85</v>
      </c>
      <c r="F1760" s="24">
        <v>6.04</v>
      </c>
    </row>
    <row r="1761" s="24" customFormat="1" spans="1:6">
      <c r="A1761" s="24" t="s">
        <v>140</v>
      </c>
      <c r="B1761" s="24" t="str">
        <f>"600722"</f>
        <v>600722</v>
      </c>
      <c r="C1761" s="24" t="s">
        <v>1979</v>
      </c>
      <c r="D1761" s="24" t="s">
        <v>256</v>
      </c>
      <c r="E1761" s="24">
        <v>67.85</v>
      </c>
      <c r="F1761" s="24">
        <v>2.94</v>
      </c>
    </row>
    <row r="1762" s="24" customFormat="1" spans="1:6">
      <c r="A1762" s="24" t="s">
        <v>140</v>
      </c>
      <c r="B1762" s="24" t="str">
        <f>"600871"</f>
        <v>600871</v>
      </c>
      <c r="C1762" s="24" t="s">
        <v>1980</v>
      </c>
      <c r="D1762" s="24" t="s">
        <v>246</v>
      </c>
      <c r="E1762" s="24">
        <v>67.76</v>
      </c>
      <c r="F1762" s="24">
        <v>5.81</v>
      </c>
    </row>
    <row r="1763" s="24" customFormat="1" spans="1:6">
      <c r="A1763" s="24" t="s">
        <v>142</v>
      </c>
      <c r="B1763" s="24" t="str">
        <f>"300036"</f>
        <v>300036</v>
      </c>
      <c r="C1763" s="24" t="s">
        <v>1981</v>
      </c>
      <c r="D1763" s="24" t="s">
        <v>156</v>
      </c>
      <c r="E1763" s="24">
        <v>67.65</v>
      </c>
      <c r="F1763" s="24">
        <v>8.44</v>
      </c>
    </row>
    <row r="1764" s="24" customFormat="1" spans="1:6">
      <c r="A1764" s="24" t="s">
        <v>140</v>
      </c>
      <c r="B1764" s="24" t="str">
        <f>"600602"</f>
        <v>600602</v>
      </c>
      <c r="C1764" s="24" t="s">
        <v>1982</v>
      </c>
      <c r="D1764" s="24" t="s">
        <v>163</v>
      </c>
      <c r="E1764" s="24">
        <v>67.62</v>
      </c>
      <c r="F1764" s="24">
        <v>3.15</v>
      </c>
    </row>
    <row r="1765" s="24" customFormat="1" spans="1:6">
      <c r="A1765" s="24" t="s">
        <v>140</v>
      </c>
      <c r="B1765" s="24" t="str">
        <f>"603330"</f>
        <v>603330</v>
      </c>
      <c r="C1765" s="24" t="s">
        <v>1983</v>
      </c>
      <c r="D1765" s="24" t="s">
        <v>256</v>
      </c>
      <c r="E1765" s="24">
        <v>67.47</v>
      </c>
      <c r="F1765" s="24">
        <v>2.82</v>
      </c>
    </row>
    <row r="1766" s="24" customFormat="1" spans="1:6">
      <c r="A1766" s="24" t="s">
        <v>140</v>
      </c>
      <c r="B1766" s="24" t="str">
        <f>"603158"</f>
        <v>603158</v>
      </c>
      <c r="C1766" s="24" t="s">
        <v>1984</v>
      </c>
      <c r="D1766" s="24" t="s">
        <v>204</v>
      </c>
      <c r="E1766" s="24">
        <v>67.19</v>
      </c>
      <c r="F1766" s="24">
        <v>6.28</v>
      </c>
    </row>
    <row r="1767" s="24" customFormat="1" spans="1:6">
      <c r="A1767" s="24" t="s">
        <v>142</v>
      </c>
      <c r="B1767" s="24" t="str">
        <f>"000661"</f>
        <v>000661</v>
      </c>
      <c r="C1767" s="24" t="s">
        <v>80</v>
      </c>
      <c r="D1767" s="24" t="s">
        <v>326</v>
      </c>
      <c r="E1767" s="24">
        <v>67.11</v>
      </c>
      <c r="F1767" s="24">
        <v>7.55</v>
      </c>
    </row>
    <row r="1768" s="24" customFormat="1" spans="1:6">
      <c r="A1768" s="24" t="s">
        <v>140</v>
      </c>
      <c r="B1768" s="24" t="str">
        <f>"601933"</f>
        <v>601933</v>
      </c>
      <c r="C1768" s="24" t="s">
        <v>1985</v>
      </c>
      <c r="D1768" s="24" t="s">
        <v>361</v>
      </c>
      <c r="E1768" s="24">
        <v>67.05</v>
      </c>
      <c r="F1768" s="24">
        <v>4.29</v>
      </c>
    </row>
    <row r="1769" s="24" customFormat="1" spans="1:6">
      <c r="A1769" s="24" t="s">
        <v>142</v>
      </c>
      <c r="B1769" s="24" t="str">
        <f>"300206"</f>
        <v>300206</v>
      </c>
      <c r="C1769" s="24" t="s">
        <v>1986</v>
      </c>
      <c r="D1769" s="24" t="s">
        <v>618</v>
      </c>
      <c r="E1769" s="24">
        <v>66.95</v>
      </c>
      <c r="F1769" s="24">
        <v>4.43</v>
      </c>
    </row>
    <row r="1770" s="24" customFormat="1" spans="1:6">
      <c r="A1770" s="24" t="s">
        <v>140</v>
      </c>
      <c r="B1770" s="24" t="str">
        <f>"600137"</f>
        <v>600137</v>
      </c>
      <c r="C1770" s="24" t="s">
        <v>1987</v>
      </c>
      <c r="D1770" s="24" t="s">
        <v>161</v>
      </c>
      <c r="E1770" s="24">
        <v>66.92</v>
      </c>
      <c r="F1770" s="24">
        <v>2.68</v>
      </c>
    </row>
    <row r="1771" s="24" customFormat="1" spans="1:6">
      <c r="A1771" s="24" t="s">
        <v>142</v>
      </c>
      <c r="B1771" s="24" t="str">
        <f>"002241"</f>
        <v>002241</v>
      </c>
      <c r="C1771" s="24" t="s">
        <v>1988</v>
      </c>
      <c r="D1771" s="24" t="s">
        <v>197</v>
      </c>
      <c r="E1771" s="24">
        <v>66.81</v>
      </c>
      <c r="F1771" s="24">
        <v>4.72</v>
      </c>
    </row>
    <row r="1772" s="24" customFormat="1" spans="1:6">
      <c r="A1772" s="24" t="s">
        <v>142</v>
      </c>
      <c r="B1772" s="24" t="str">
        <f>"000032"</f>
        <v>000032</v>
      </c>
      <c r="C1772" s="24" t="s">
        <v>1989</v>
      </c>
      <c r="D1772" s="24" t="s">
        <v>152</v>
      </c>
      <c r="E1772" s="24">
        <v>66.63</v>
      </c>
      <c r="F1772" s="24">
        <v>4.2</v>
      </c>
    </row>
    <row r="1773" s="24" customFormat="1" spans="1:6">
      <c r="A1773" s="24" t="s">
        <v>140</v>
      </c>
      <c r="B1773" s="24" t="str">
        <f>"600415"</f>
        <v>600415</v>
      </c>
      <c r="C1773" s="24" t="s">
        <v>1990</v>
      </c>
      <c r="D1773" s="24" t="s">
        <v>623</v>
      </c>
      <c r="E1773" s="24">
        <v>66.59</v>
      </c>
      <c r="F1773" s="24">
        <v>1.49</v>
      </c>
    </row>
    <row r="1774" s="24" customFormat="1" spans="1:6">
      <c r="A1774" s="24" t="s">
        <v>142</v>
      </c>
      <c r="B1774" s="24" t="str">
        <f>"002859"</f>
        <v>002859</v>
      </c>
      <c r="C1774" s="24" t="s">
        <v>1991</v>
      </c>
      <c r="D1774" s="24" t="s">
        <v>197</v>
      </c>
      <c r="E1774" s="24">
        <v>66.31</v>
      </c>
      <c r="F1774" s="24">
        <v>6.73</v>
      </c>
    </row>
    <row r="1775" s="24" customFormat="1" spans="1:6">
      <c r="A1775" s="24" t="s">
        <v>142</v>
      </c>
      <c r="B1775" s="24" t="str">
        <f>"002901"</f>
        <v>002901</v>
      </c>
      <c r="C1775" s="24" t="s">
        <v>1992</v>
      </c>
      <c r="D1775" s="24" t="s">
        <v>618</v>
      </c>
      <c r="E1775" s="24">
        <v>66.19</v>
      </c>
      <c r="F1775" s="24">
        <v>16.47</v>
      </c>
    </row>
    <row r="1776" s="24" customFormat="1" spans="1:6">
      <c r="A1776" s="24" t="s">
        <v>142</v>
      </c>
      <c r="B1776" s="24" t="str">
        <f>"300593"</f>
        <v>300593</v>
      </c>
      <c r="C1776" s="24" t="s">
        <v>1993</v>
      </c>
      <c r="D1776" s="24" t="s">
        <v>251</v>
      </c>
      <c r="E1776" s="24">
        <v>66.1</v>
      </c>
      <c r="F1776" s="24">
        <v>5.46</v>
      </c>
    </row>
    <row r="1777" s="24" customFormat="1" spans="1:6">
      <c r="A1777" s="24" t="s">
        <v>142</v>
      </c>
      <c r="B1777" s="24" t="str">
        <f>"000680"</f>
        <v>000680</v>
      </c>
      <c r="C1777" s="24" t="s">
        <v>1994</v>
      </c>
      <c r="D1777" s="24" t="s">
        <v>173</v>
      </c>
      <c r="E1777" s="24">
        <v>65.92</v>
      </c>
      <c r="F1777" s="24">
        <v>1.17</v>
      </c>
    </row>
    <row r="1778" s="24" customFormat="1" spans="1:6">
      <c r="A1778" s="24" t="s">
        <v>140</v>
      </c>
      <c r="B1778" s="24" t="str">
        <f>"600116"</f>
        <v>600116</v>
      </c>
      <c r="C1778" s="24" t="s">
        <v>1995</v>
      </c>
      <c r="D1778" s="24" t="s">
        <v>188</v>
      </c>
      <c r="E1778" s="24">
        <v>65.75</v>
      </c>
      <c r="F1778" s="24">
        <v>2.49</v>
      </c>
    </row>
    <row r="1779" s="24" customFormat="1" spans="1:6">
      <c r="A1779" s="24" t="s">
        <v>140</v>
      </c>
      <c r="B1779" s="24" t="str">
        <f>"600959"</f>
        <v>600959</v>
      </c>
      <c r="C1779" s="24" t="s">
        <v>1996</v>
      </c>
      <c r="D1779" s="24" t="s">
        <v>170</v>
      </c>
      <c r="E1779" s="24">
        <v>65.62</v>
      </c>
      <c r="F1779" s="24">
        <v>0.87</v>
      </c>
    </row>
    <row r="1780" s="24" customFormat="1" spans="1:6">
      <c r="A1780" s="24" t="s">
        <v>142</v>
      </c>
      <c r="B1780" s="24" t="str">
        <f>"000632"</f>
        <v>000632</v>
      </c>
      <c r="C1780" s="24" t="s">
        <v>1997</v>
      </c>
      <c r="D1780" s="24" t="s">
        <v>267</v>
      </c>
      <c r="E1780" s="24">
        <v>65.58</v>
      </c>
      <c r="F1780" s="24">
        <v>2.01</v>
      </c>
    </row>
    <row r="1781" s="24" customFormat="1" spans="1:6">
      <c r="A1781" s="24" t="s">
        <v>142</v>
      </c>
      <c r="B1781" s="24" t="str">
        <f>"002787"</f>
        <v>002787</v>
      </c>
      <c r="C1781" s="24" t="s">
        <v>1998</v>
      </c>
      <c r="D1781" s="24" t="s">
        <v>290</v>
      </c>
      <c r="E1781" s="24">
        <v>65.51</v>
      </c>
      <c r="F1781" s="24">
        <v>1.84</v>
      </c>
    </row>
    <row r="1782" s="24" customFormat="1" spans="1:6">
      <c r="A1782" s="24" t="s">
        <v>142</v>
      </c>
      <c r="B1782" s="24" t="str">
        <f>"000607"</f>
        <v>000607</v>
      </c>
      <c r="C1782" s="24" t="s">
        <v>1999</v>
      </c>
      <c r="D1782" s="24" t="s">
        <v>170</v>
      </c>
      <c r="E1782" s="24">
        <v>65.46</v>
      </c>
      <c r="F1782" s="24">
        <v>4.07</v>
      </c>
    </row>
    <row r="1783" s="24" customFormat="1" spans="1:6">
      <c r="A1783" s="24" t="s">
        <v>140</v>
      </c>
      <c r="B1783" s="24" t="str">
        <f>"600843"</f>
        <v>600843</v>
      </c>
      <c r="C1783" s="24" t="s">
        <v>2000</v>
      </c>
      <c r="D1783" s="24" t="s">
        <v>173</v>
      </c>
      <c r="E1783" s="24">
        <v>65.45</v>
      </c>
      <c r="F1783" s="24">
        <v>1.83</v>
      </c>
    </row>
    <row r="1784" s="24" customFormat="1" spans="1:6">
      <c r="A1784" s="24" t="s">
        <v>140</v>
      </c>
      <c r="B1784" s="24" t="str">
        <f>"600513"</f>
        <v>600513</v>
      </c>
      <c r="C1784" s="24" t="s">
        <v>2001</v>
      </c>
      <c r="D1784" s="24" t="s">
        <v>464</v>
      </c>
      <c r="E1784" s="24">
        <v>65.42</v>
      </c>
      <c r="F1784" s="24">
        <v>5.23</v>
      </c>
    </row>
    <row r="1785" s="24" customFormat="1" spans="1:6">
      <c r="A1785" s="24" t="s">
        <v>142</v>
      </c>
      <c r="B1785" s="24" t="str">
        <f>"002685"</f>
        <v>002685</v>
      </c>
      <c r="C1785" s="24" t="s">
        <v>2002</v>
      </c>
      <c r="D1785" s="24" t="s">
        <v>173</v>
      </c>
      <c r="E1785" s="24">
        <v>65.39</v>
      </c>
      <c r="F1785" s="24">
        <v>2.35</v>
      </c>
    </row>
    <row r="1786" s="24" customFormat="1" spans="1:6">
      <c r="A1786" s="24" t="s">
        <v>142</v>
      </c>
      <c r="B1786" s="24" t="str">
        <f>"002574"</f>
        <v>002574</v>
      </c>
      <c r="C1786" s="24" t="s">
        <v>2003</v>
      </c>
      <c r="D1786" s="24" t="s">
        <v>161</v>
      </c>
      <c r="E1786" s="24">
        <v>65.24</v>
      </c>
      <c r="F1786" s="24">
        <v>0.73</v>
      </c>
    </row>
    <row r="1787" s="24" customFormat="1" spans="1:6">
      <c r="A1787" s="24" t="s">
        <v>140</v>
      </c>
      <c r="B1787" s="24" t="str">
        <f>"600963"</f>
        <v>600963</v>
      </c>
      <c r="C1787" s="24" t="s">
        <v>2004</v>
      </c>
      <c r="D1787" s="24" t="s">
        <v>509</v>
      </c>
      <c r="E1787" s="24">
        <v>65.22</v>
      </c>
      <c r="F1787" s="24">
        <v>0.75</v>
      </c>
    </row>
    <row r="1788" s="24" customFormat="1" spans="1:6">
      <c r="A1788" s="24" t="s">
        <v>142</v>
      </c>
      <c r="B1788" s="24" t="str">
        <f>"300059"</f>
        <v>300059</v>
      </c>
      <c r="C1788" s="24" t="s">
        <v>2005</v>
      </c>
      <c r="D1788" s="24" t="s">
        <v>813</v>
      </c>
      <c r="E1788" s="24">
        <v>65.15</v>
      </c>
      <c r="F1788" s="24">
        <v>5.52</v>
      </c>
    </row>
    <row r="1789" s="24" customFormat="1" spans="1:6">
      <c r="A1789" s="24" t="s">
        <v>140</v>
      </c>
      <c r="B1789" s="24" t="str">
        <f>"900928"</f>
        <v>900928</v>
      </c>
      <c r="C1789" s="24" t="s">
        <v>2006</v>
      </c>
      <c r="D1789" s="24"/>
      <c r="E1789" s="24">
        <v>65.15</v>
      </c>
      <c r="F1789" s="24">
        <v>2.27</v>
      </c>
    </row>
    <row r="1790" s="24" customFormat="1" spans="1:6">
      <c r="A1790" s="24" t="s">
        <v>140</v>
      </c>
      <c r="B1790" s="24" t="str">
        <f>"603516"</f>
        <v>603516</v>
      </c>
      <c r="C1790" s="24" t="s">
        <v>2007</v>
      </c>
      <c r="D1790" s="24" t="s">
        <v>152</v>
      </c>
      <c r="E1790" s="24">
        <v>65.14</v>
      </c>
      <c r="F1790" s="24">
        <v>8.05</v>
      </c>
    </row>
    <row r="1791" s="24" customFormat="1" spans="1:6">
      <c r="A1791" s="24" t="s">
        <v>142</v>
      </c>
      <c r="B1791" s="24" t="str">
        <f>"002847"</f>
        <v>002847</v>
      </c>
      <c r="C1791" s="24" t="s">
        <v>2008</v>
      </c>
      <c r="D1791" s="24" t="s">
        <v>190</v>
      </c>
      <c r="E1791" s="24">
        <v>65.06</v>
      </c>
      <c r="F1791" s="24">
        <v>6.43</v>
      </c>
    </row>
    <row r="1792" s="24" customFormat="1" spans="1:6">
      <c r="A1792" s="24" t="s">
        <v>142</v>
      </c>
      <c r="B1792" s="24" t="str">
        <f>"002970"</f>
        <v>002970</v>
      </c>
      <c r="C1792" s="24" t="s">
        <v>2009</v>
      </c>
      <c r="D1792" s="24" t="s">
        <v>152</v>
      </c>
      <c r="E1792" s="24">
        <v>65</v>
      </c>
      <c r="F1792" s="24">
        <v>8.98</v>
      </c>
    </row>
    <row r="1793" s="24" customFormat="1" spans="1:6">
      <c r="A1793" s="24" t="s">
        <v>142</v>
      </c>
      <c r="B1793" s="24" t="str">
        <f>"300117"</f>
        <v>300117</v>
      </c>
      <c r="C1793" s="24" t="s">
        <v>2010</v>
      </c>
      <c r="D1793" s="24" t="s">
        <v>573</v>
      </c>
      <c r="E1793" s="24">
        <v>64.99</v>
      </c>
      <c r="F1793" s="24">
        <v>1.52</v>
      </c>
    </row>
    <row r="1794" s="24" customFormat="1" spans="1:6">
      <c r="A1794" s="24" t="s">
        <v>140</v>
      </c>
      <c r="B1794" s="24" t="str">
        <f>"603456"</f>
        <v>603456</v>
      </c>
      <c r="C1794" s="24" t="s">
        <v>2011</v>
      </c>
      <c r="D1794" s="24" t="s">
        <v>997</v>
      </c>
      <c r="E1794" s="24">
        <v>64.93</v>
      </c>
      <c r="F1794" s="24">
        <v>4.77</v>
      </c>
    </row>
    <row r="1795" s="24" customFormat="1" spans="1:6">
      <c r="A1795" s="24" t="s">
        <v>142</v>
      </c>
      <c r="B1795" s="24" t="str">
        <f>"002189"</f>
        <v>002189</v>
      </c>
      <c r="C1795" s="24" t="s">
        <v>2012</v>
      </c>
      <c r="D1795" s="24" t="s">
        <v>230</v>
      </c>
      <c r="E1795" s="24">
        <v>64.78</v>
      </c>
      <c r="F1795" s="24">
        <v>3.62</v>
      </c>
    </row>
    <row r="1796" s="24" customFormat="1" spans="1:6">
      <c r="A1796" s="24" t="s">
        <v>142</v>
      </c>
      <c r="B1796" s="24" t="str">
        <f>"300091"</f>
        <v>300091</v>
      </c>
      <c r="C1796" s="24" t="s">
        <v>2013</v>
      </c>
      <c r="D1796" s="24" t="s">
        <v>165</v>
      </c>
      <c r="E1796" s="24">
        <v>64.75</v>
      </c>
      <c r="F1796" s="24">
        <v>2.26</v>
      </c>
    </row>
    <row r="1797" s="24" customFormat="1" spans="1:6">
      <c r="A1797" s="24" t="s">
        <v>142</v>
      </c>
      <c r="B1797" s="24" t="str">
        <f>"000938"</f>
        <v>000938</v>
      </c>
      <c r="C1797" s="24" t="s">
        <v>2014</v>
      </c>
      <c r="D1797" s="24" t="s">
        <v>352</v>
      </c>
      <c r="E1797" s="24">
        <v>64.75</v>
      </c>
      <c r="F1797" s="24">
        <v>6.13</v>
      </c>
    </row>
    <row r="1798" s="24" customFormat="1" spans="1:6">
      <c r="A1798" s="24" t="s">
        <v>140</v>
      </c>
      <c r="B1798" s="24" t="str">
        <f>"600161"</f>
        <v>600161</v>
      </c>
      <c r="C1798" s="24" t="s">
        <v>2015</v>
      </c>
      <c r="D1798" s="24" t="s">
        <v>326</v>
      </c>
      <c r="E1798" s="24">
        <v>64.73</v>
      </c>
      <c r="F1798" s="24">
        <v>10.17</v>
      </c>
    </row>
    <row r="1799" s="24" customFormat="1" spans="1:6">
      <c r="A1799" s="24" t="s">
        <v>140</v>
      </c>
      <c r="B1799" s="24" t="str">
        <f>"603939"</f>
        <v>603939</v>
      </c>
      <c r="C1799" s="24" t="s">
        <v>2016</v>
      </c>
      <c r="D1799" s="24" t="s">
        <v>584</v>
      </c>
      <c r="E1799" s="24">
        <v>64.64</v>
      </c>
      <c r="F1799" s="24">
        <v>21.58</v>
      </c>
    </row>
    <row r="1800" s="24" customFormat="1" spans="1:6">
      <c r="A1800" s="24" t="s">
        <v>142</v>
      </c>
      <c r="B1800" s="24" t="str">
        <f>"002683"</f>
        <v>002683</v>
      </c>
      <c r="C1800" s="24" t="s">
        <v>2017</v>
      </c>
      <c r="D1800" s="24" t="s">
        <v>228</v>
      </c>
      <c r="E1800" s="24">
        <v>64.61</v>
      </c>
      <c r="F1800" s="24">
        <v>7.88</v>
      </c>
    </row>
    <row r="1801" s="24" customFormat="1" spans="1:6">
      <c r="A1801" s="24" t="s">
        <v>142</v>
      </c>
      <c r="B1801" s="24" t="str">
        <f>"300724"</f>
        <v>300724</v>
      </c>
      <c r="C1801" s="24" t="s">
        <v>2018</v>
      </c>
      <c r="D1801" s="24" t="s">
        <v>173</v>
      </c>
      <c r="E1801" s="24">
        <v>64.55</v>
      </c>
      <c r="F1801" s="24">
        <v>9.23</v>
      </c>
    </row>
    <row r="1802" s="24" customFormat="1" spans="1:6">
      <c r="A1802" s="24" t="s">
        <v>142</v>
      </c>
      <c r="B1802" s="24" t="str">
        <f>"300201"</f>
        <v>300201</v>
      </c>
      <c r="C1802" s="24" t="s">
        <v>2019</v>
      </c>
      <c r="D1802" s="24" t="s">
        <v>173</v>
      </c>
      <c r="E1802" s="24">
        <v>64.47</v>
      </c>
      <c r="F1802" s="24">
        <v>2.78</v>
      </c>
    </row>
    <row r="1803" s="24" customFormat="1" spans="1:6">
      <c r="A1803" s="24" t="s">
        <v>140</v>
      </c>
      <c r="B1803" s="24" t="str">
        <f>"603739"</f>
        <v>603739</v>
      </c>
      <c r="C1803" s="24" t="s">
        <v>2020</v>
      </c>
      <c r="D1803" s="24" t="s">
        <v>145</v>
      </c>
      <c r="E1803" s="24">
        <v>64.44</v>
      </c>
      <c r="F1803" s="24">
        <v>4.1</v>
      </c>
    </row>
    <row r="1804" s="24" customFormat="1" spans="1:6">
      <c r="A1804" s="24" t="s">
        <v>142</v>
      </c>
      <c r="B1804" s="24" t="str">
        <f>"002579"</f>
        <v>002579</v>
      </c>
      <c r="C1804" s="24" t="s">
        <v>2021</v>
      </c>
      <c r="D1804" s="24" t="s">
        <v>197</v>
      </c>
      <c r="E1804" s="24">
        <v>64.43</v>
      </c>
      <c r="F1804" s="24">
        <v>5.34</v>
      </c>
    </row>
    <row r="1805" s="24" customFormat="1" spans="1:6">
      <c r="A1805" s="24" t="s">
        <v>142</v>
      </c>
      <c r="B1805" s="24" t="str">
        <f>"300486"</f>
        <v>300486</v>
      </c>
      <c r="C1805" s="24" t="s">
        <v>2022</v>
      </c>
      <c r="D1805" s="24" t="s">
        <v>173</v>
      </c>
      <c r="E1805" s="24">
        <v>64.35</v>
      </c>
      <c r="F1805" s="24">
        <v>4.05</v>
      </c>
    </row>
    <row r="1806" s="24" customFormat="1" spans="1:6">
      <c r="A1806" s="24" t="s">
        <v>142</v>
      </c>
      <c r="B1806" s="24" t="str">
        <f>"002301"</f>
        <v>002301</v>
      </c>
      <c r="C1806" s="24" t="s">
        <v>2023</v>
      </c>
      <c r="D1806" s="24" t="s">
        <v>214</v>
      </c>
      <c r="E1806" s="24">
        <v>64.19</v>
      </c>
      <c r="F1806" s="24">
        <v>3.33</v>
      </c>
    </row>
    <row r="1807" s="24" customFormat="1" spans="1:6">
      <c r="A1807" s="24" t="s">
        <v>140</v>
      </c>
      <c r="B1807" s="24" t="str">
        <f>"603633"</f>
        <v>603633</v>
      </c>
      <c r="C1807" s="24" t="s">
        <v>2024</v>
      </c>
      <c r="D1807" s="24" t="s">
        <v>197</v>
      </c>
      <c r="E1807" s="24">
        <v>64.17</v>
      </c>
      <c r="F1807" s="24">
        <v>3</v>
      </c>
    </row>
    <row r="1808" s="24" customFormat="1" spans="1:6">
      <c r="A1808" s="24" t="s">
        <v>140</v>
      </c>
      <c r="B1808" s="24" t="str">
        <f>"600111"</f>
        <v>600111</v>
      </c>
      <c r="C1808" s="24" t="s">
        <v>2025</v>
      </c>
      <c r="D1808" s="24" t="s">
        <v>167</v>
      </c>
      <c r="E1808" s="24">
        <v>63.86</v>
      </c>
      <c r="F1808" s="24">
        <v>3.74</v>
      </c>
    </row>
    <row r="1809" s="24" customFormat="1" spans="1:6">
      <c r="A1809" s="24" t="s">
        <v>140</v>
      </c>
      <c r="B1809" s="24" t="str">
        <f>"603316"</f>
        <v>603316</v>
      </c>
      <c r="C1809" s="24" t="s">
        <v>2026</v>
      </c>
      <c r="D1809" s="24" t="s">
        <v>315</v>
      </c>
      <c r="E1809" s="24">
        <v>63.85</v>
      </c>
      <c r="F1809" s="24">
        <v>1.96</v>
      </c>
    </row>
    <row r="1810" s="24" customFormat="1" spans="1:6">
      <c r="A1810" s="24" t="s">
        <v>140</v>
      </c>
      <c r="B1810" s="24" t="str">
        <f>"603530"</f>
        <v>603530</v>
      </c>
      <c r="C1810" s="24" t="s">
        <v>2027</v>
      </c>
      <c r="D1810" s="24" t="s">
        <v>251</v>
      </c>
      <c r="E1810" s="24">
        <v>63.81</v>
      </c>
      <c r="F1810" s="24">
        <v>6.96</v>
      </c>
    </row>
    <row r="1811" s="24" customFormat="1" spans="1:6">
      <c r="A1811" s="24" t="s">
        <v>142</v>
      </c>
      <c r="B1811" s="24" t="str">
        <f>"300738"</f>
        <v>300738</v>
      </c>
      <c r="C1811" s="24" t="s">
        <v>2028</v>
      </c>
      <c r="D1811" s="24" t="s">
        <v>163</v>
      </c>
      <c r="E1811" s="24">
        <v>63.69</v>
      </c>
      <c r="F1811" s="24">
        <v>9.1</v>
      </c>
    </row>
    <row r="1812" s="24" customFormat="1" spans="1:6">
      <c r="A1812" s="24" t="s">
        <v>140</v>
      </c>
      <c r="B1812" s="24" t="str">
        <f>"900941"</f>
        <v>900941</v>
      </c>
      <c r="C1812" s="24" t="s">
        <v>2029</v>
      </c>
      <c r="D1812" s="24"/>
      <c r="E1812" s="24">
        <v>63.67</v>
      </c>
      <c r="F1812" s="24">
        <v>1.51</v>
      </c>
    </row>
    <row r="1813" s="24" customFormat="1" spans="1:6">
      <c r="A1813" s="24" t="s">
        <v>142</v>
      </c>
      <c r="B1813" s="24" t="str">
        <f>"300541"</f>
        <v>300541</v>
      </c>
      <c r="C1813" s="24" t="s">
        <v>2030</v>
      </c>
      <c r="D1813" s="24" t="s">
        <v>159</v>
      </c>
      <c r="E1813" s="24">
        <v>63.5</v>
      </c>
      <c r="F1813" s="24">
        <v>5.33</v>
      </c>
    </row>
    <row r="1814" s="24" customFormat="1" spans="1:6">
      <c r="A1814" s="24" t="s">
        <v>142</v>
      </c>
      <c r="B1814" s="24" t="str">
        <f>"002475"</f>
        <v>002475</v>
      </c>
      <c r="C1814" s="24" t="s">
        <v>2031</v>
      </c>
      <c r="D1814" s="24" t="s">
        <v>197</v>
      </c>
      <c r="E1814" s="24">
        <v>63.43</v>
      </c>
      <c r="F1814" s="24">
        <v>13.26</v>
      </c>
    </row>
    <row r="1815" s="24" customFormat="1" spans="1:6">
      <c r="A1815" s="24" t="s">
        <v>142</v>
      </c>
      <c r="B1815" s="24" t="str">
        <f>"002932"</f>
        <v>002932</v>
      </c>
      <c r="C1815" s="24" t="s">
        <v>2032</v>
      </c>
      <c r="D1815" s="24" t="s">
        <v>326</v>
      </c>
      <c r="E1815" s="24">
        <v>63.29</v>
      </c>
      <c r="F1815" s="24">
        <v>4.2</v>
      </c>
    </row>
    <row r="1816" s="24" customFormat="1" spans="1:6">
      <c r="A1816" s="24" t="s">
        <v>142</v>
      </c>
      <c r="B1816" s="24" t="str">
        <f>"002204"</f>
        <v>002204</v>
      </c>
      <c r="C1816" s="24" t="s">
        <v>2033</v>
      </c>
      <c r="D1816" s="24" t="s">
        <v>173</v>
      </c>
      <c r="E1816" s="24">
        <v>63.26</v>
      </c>
      <c r="F1816" s="24">
        <v>0.83</v>
      </c>
    </row>
    <row r="1817" s="24" customFormat="1" spans="1:6">
      <c r="A1817" s="24" t="s">
        <v>142</v>
      </c>
      <c r="B1817" s="24" t="str">
        <f>"002578"</f>
        <v>002578</v>
      </c>
      <c r="C1817" s="24" t="s">
        <v>2034</v>
      </c>
      <c r="D1817" s="24" t="s">
        <v>167</v>
      </c>
      <c r="E1817" s="24">
        <v>63.02</v>
      </c>
      <c r="F1817" s="24">
        <v>2.21</v>
      </c>
    </row>
    <row r="1818" s="24" customFormat="1" spans="1:6">
      <c r="A1818" s="24" t="s">
        <v>140</v>
      </c>
      <c r="B1818" s="24" t="str">
        <f>"603815"</f>
        <v>603815</v>
      </c>
      <c r="C1818" s="24" t="s">
        <v>2035</v>
      </c>
      <c r="D1818" s="24" t="s">
        <v>315</v>
      </c>
      <c r="E1818" s="24">
        <v>62.86</v>
      </c>
      <c r="F1818" s="24">
        <v>6.91</v>
      </c>
    </row>
    <row r="1819" s="24" customFormat="1" spans="1:6">
      <c r="A1819" s="24" t="s">
        <v>142</v>
      </c>
      <c r="B1819" s="24" t="str">
        <f>"300653"</f>
        <v>300653</v>
      </c>
      <c r="C1819" s="24" t="s">
        <v>2036</v>
      </c>
      <c r="D1819" s="24" t="s">
        <v>326</v>
      </c>
      <c r="E1819" s="24">
        <v>62.76</v>
      </c>
      <c r="F1819" s="24">
        <v>10.77</v>
      </c>
    </row>
    <row r="1820" s="24" customFormat="1" spans="1:6">
      <c r="A1820" s="24" t="s">
        <v>142</v>
      </c>
      <c r="B1820" s="24" t="str">
        <f>"300793"</f>
        <v>300793</v>
      </c>
      <c r="C1820" s="24" t="s">
        <v>2037</v>
      </c>
      <c r="D1820" s="24" t="s">
        <v>152</v>
      </c>
      <c r="E1820" s="24">
        <v>62.6</v>
      </c>
      <c r="F1820" s="24">
        <v>5.85</v>
      </c>
    </row>
    <row r="1821" s="24" customFormat="1" spans="1:6">
      <c r="A1821" s="24" t="s">
        <v>142</v>
      </c>
      <c r="B1821" s="24" t="str">
        <f>"002481"</f>
        <v>002481</v>
      </c>
      <c r="C1821" s="24" t="s">
        <v>2038</v>
      </c>
      <c r="D1821" s="24" t="s">
        <v>190</v>
      </c>
      <c r="E1821" s="24">
        <v>62.5</v>
      </c>
      <c r="F1821" s="24">
        <v>4.14</v>
      </c>
    </row>
    <row r="1822" s="24" customFormat="1" spans="1:6">
      <c r="A1822" s="24" t="s">
        <v>140</v>
      </c>
      <c r="B1822" s="24" t="str">
        <f>"603605"</f>
        <v>603605</v>
      </c>
      <c r="C1822" s="24" t="s">
        <v>2039</v>
      </c>
      <c r="D1822" s="24" t="s">
        <v>333</v>
      </c>
      <c r="E1822" s="24">
        <v>62.41</v>
      </c>
      <c r="F1822" s="24">
        <v>11.64</v>
      </c>
    </row>
    <row r="1823" s="24" customFormat="1" spans="1:6">
      <c r="A1823" s="24" t="s">
        <v>140</v>
      </c>
      <c r="B1823" s="24" t="str">
        <f>"900947"</f>
        <v>900947</v>
      </c>
      <c r="C1823" s="24" t="s">
        <v>2040</v>
      </c>
      <c r="D1823" s="24"/>
      <c r="E1823" s="24">
        <v>62.34</v>
      </c>
      <c r="F1823" s="24">
        <v>0.76</v>
      </c>
    </row>
    <row r="1824" s="24" customFormat="1" spans="1:6">
      <c r="A1824" s="24" t="s">
        <v>140</v>
      </c>
      <c r="B1824" s="24" t="str">
        <f>"603786"</f>
        <v>603786</v>
      </c>
      <c r="C1824" s="24" t="s">
        <v>2041</v>
      </c>
      <c r="D1824" s="24" t="s">
        <v>204</v>
      </c>
      <c r="E1824" s="24">
        <v>62.18</v>
      </c>
      <c r="F1824" s="24">
        <v>9.07</v>
      </c>
    </row>
    <row r="1825" s="24" customFormat="1" spans="1:6">
      <c r="A1825" s="24" t="s">
        <v>142</v>
      </c>
      <c r="B1825" s="24" t="str">
        <f>"002916"</f>
        <v>002916</v>
      </c>
      <c r="C1825" s="24" t="s">
        <v>2042</v>
      </c>
      <c r="D1825" s="24" t="s">
        <v>197</v>
      </c>
      <c r="E1825" s="24">
        <v>62.16</v>
      </c>
      <c r="F1825" s="24">
        <v>14.53</v>
      </c>
    </row>
    <row r="1826" s="24" customFormat="1" spans="1:6">
      <c r="A1826" s="24" t="s">
        <v>142</v>
      </c>
      <c r="B1826" s="24" t="str">
        <f>"300499"</f>
        <v>300499</v>
      </c>
      <c r="C1826" s="24" t="s">
        <v>2043</v>
      </c>
      <c r="D1826" s="24" t="s">
        <v>251</v>
      </c>
      <c r="E1826" s="24">
        <v>62.12</v>
      </c>
      <c r="F1826" s="24">
        <v>4.15</v>
      </c>
    </row>
    <row r="1827" s="24" customFormat="1" spans="1:6">
      <c r="A1827" s="24" t="s">
        <v>142</v>
      </c>
      <c r="B1827" s="24" t="str">
        <f>"002950"</f>
        <v>002950</v>
      </c>
      <c r="C1827" s="24" t="s">
        <v>2044</v>
      </c>
      <c r="D1827" s="24" t="s">
        <v>618</v>
      </c>
      <c r="E1827" s="24">
        <v>62.06</v>
      </c>
      <c r="F1827" s="24">
        <v>8.77</v>
      </c>
    </row>
    <row r="1828" s="24" customFormat="1" spans="1:6">
      <c r="A1828" s="24" t="s">
        <v>142</v>
      </c>
      <c r="B1828" s="24" t="str">
        <f>"300670"</f>
        <v>300670</v>
      </c>
      <c r="C1828" s="24" t="s">
        <v>2045</v>
      </c>
      <c r="D1828" s="24" t="s">
        <v>251</v>
      </c>
      <c r="E1828" s="24">
        <v>62.03</v>
      </c>
      <c r="F1828" s="24">
        <v>2.58</v>
      </c>
    </row>
    <row r="1829" s="24" customFormat="1" spans="1:6">
      <c r="A1829" s="24" t="s">
        <v>142</v>
      </c>
      <c r="B1829" s="24" t="str">
        <f>"000584"</f>
        <v>000584</v>
      </c>
      <c r="C1829" s="24" t="s">
        <v>2046</v>
      </c>
      <c r="D1829" s="24" t="s">
        <v>302</v>
      </c>
      <c r="E1829" s="24">
        <v>61.99</v>
      </c>
      <c r="F1829" s="24">
        <v>4.24</v>
      </c>
    </row>
    <row r="1830" s="24" customFormat="1" spans="1:6">
      <c r="A1830" s="24" t="s">
        <v>142</v>
      </c>
      <c r="B1830" s="24" t="str">
        <f>"002745"</f>
        <v>002745</v>
      </c>
      <c r="C1830" s="24" t="s">
        <v>2047</v>
      </c>
      <c r="D1830" s="24" t="s">
        <v>230</v>
      </c>
      <c r="E1830" s="24">
        <v>61.86</v>
      </c>
      <c r="F1830" s="24">
        <v>2.11</v>
      </c>
    </row>
    <row r="1831" s="24" customFormat="1" spans="1:6">
      <c r="A1831" s="24" t="s">
        <v>142</v>
      </c>
      <c r="B1831" s="24" t="str">
        <f>"300760"</f>
        <v>300760</v>
      </c>
      <c r="C1831" s="24" t="s">
        <v>2048</v>
      </c>
      <c r="D1831" s="24" t="s">
        <v>618</v>
      </c>
      <c r="E1831" s="24">
        <v>61.78</v>
      </c>
      <c r="F1831" s="24">
        <v>17.05</v>
      </c>
    </row>
    <row r="1832" s="24" customFormat="1" spans="1:6">
      <c r="A1832" s="24" t="s">
        <v>142</v>
      </c>
      <c r="B1832" s="24" t="str">
        <f>"300444"</f>
        <v>300444</v>
      </c>
      <c r="C1832" s="24" t="s">
        <v>2049</v>
      </c>
      <c r="D1832" s="24" t="s">
        <v>251</v>
      </c>
      <c r="E1832" s="24">
        <v>61.76</v>
      </c>
      <c r="F1832" s="24">
        <v>2.11</v>
      </c>
    </row>
    <row r="1833" s="24" customFormat="1" spans="1:6">
      <c r="A1833" s="24" t="s">
        <v>142</v>
      </c>
      <c r="B1833" s="24" t="str">
        <f>"300602"</f>
        <v>300602</v>
      </c>
      <c r="C1833" s="24" t="s">
        <v>2050</v>
      </c>
      <c r="D1833" s="24" t="s">
        <v>197</v>
      </c>
      <c r="E1833" s="24">
        <v>61.53</v>
      </c>
      <c r="F1833" s="24">
        <v>11.53</v>
      </c>
    </row>
    <row r="1834" s="24" customFormat="1" spans="1:6">
      <c r="A1834" s="24" t="s">
        <v>140</v>
      </c>
      <c r="B1834" s="24" t="str">
        <f>"688181"</f>
        <v>688181</v>
      </c>
      <c r="C1834" s="24" t="s">
        <v>2051</v>
      </c>
      <c r="D1834" s="24"/>
      <c r="E1834" s="24">
        <v>61.37</v>
      </c>
      <c r="F1834" s="24">
        <v>3.63</v>
      </c>
    </row>
    <row r="1835" s="24" customFormat="1" spans="1:6">
      <c r="A1835" s="24" t="s">
        <v>142</v>
      </c>
      <c r="B1835" s="24" t="str">
        <f>"300626"</f>
        <v>300626</v>
      </c>
      <c r="C1835" s="24" t="s">
        <v>2052</v>
      </c>
      <c r="D1835" s="24" t="s">
        <v>165</v>
      </c>
      <c r="E1835" s="24">
        <v>61.36</v>
      </c>
      <c r="F1835" s="24">
        <v>2.72</v>
      </c>
    </row>
    <row r="1836" s="24" customFormat="1" spans="1:6">
      <c r="A1836" s="24" t="s">
        <v>142</v>
      </c>
      <c r="B1836" s="24" t="str">
        <f>"300026"</f>
        <v>300026</v>
      </c>
      <c r="C1836" s="24" t="s">
        <v>2053</v>
      </c>
      <c r="D1836" s="24" t="s">
        <v>388</v>
      </c>
      <c r="E1836" s="24">
        <v>61.26</v>
      </c>
      <c r="F1836" s="24">
        <v>2.42</v>
      </c>
    </row>
    <row r="1837" s="24" customFormat="1" spans="1:6">
      <c r="A1837" s="24" t="s">
        <v>142</v>
      </c>
      <c r="B1837" s="24" t="str">
        <f>"002281"</f>
        <v>002281</v>
      </c>
      <c r="C1837" s="24" t="s">
        <v>2054</v>
      </c>
      <c r="D1837" s="24" t="s">
        <v>193</v>
      </c>
      <c r="E1837" s="24">
        <v>61.23</v>
      </c>
      <c r="F1837" s="24">
        <v>4.39</v>
      </c>
    </row>
    <row r="1838" s="24" customFormat="1" spans="1:6">
      <c r="A1838" s="24" t="s">
        <v>142</v>
      </c>
      <c r="B1838" s="24" t="str">
        <f>"300326"</f>
        <v>300326</v>
      </c>
      <c r="C1838" s="24" t="s">
        <v>2055</v>
      </c>
      <c r="D1838" s="24" t="s">
        <v>618</v>
      </c>
      <c r="E1838" s="24">
        <v>61.18</v>
      </c>
      <c r="F1838" s="24">
        <v>9.44</v>
      </c>
    </row>
    <row r="1839" s="24" customFormat="1" spans="1:6">
      <c r="A1839" s="24" t="s">
        <v>140</v>
      </c>
      <c r="B1839" s="24" t="str">
        <f>"603317"</f>
        <v>603317</v>
      </c>
      <c r="C1839" s="24" t="s">
        <v>2056</v>
      </c>
      <c r="D1839" s="24" t="s">
        <v>190</v>
      </c>
      <c r="E1839" s="24">
        <v>61.17</v>
      </c>
      <c r="F1839" s="24">
        <v>9</v>
      </c>
    </row>
    <row r="1840" s="24" customFormat="1" spans="1:6">
      <c r="A1840" s="24" t="s">
        <v>142</v>
      </c>
      <c r="B1840" s="24" t="str">
        <f>"000532"</f>
        <v>000532</v>
      </c>
      <c r="C1840" s="24" t="s">
        <v>2057</v>
      </c>
      <c r="D1840" s="24" t="s">
        <v>197</v>
      </c>
      <c r="E1840" s="24">
        <v>61.11</v>
      </c>
      <c r="F1840" s="24">
        <v>4.38</v>
      </c>
    </row>
    <row r="1841" s="24" customFormat="1" spans="1:6">
      <c r="A1841" s="24" t="s">
        <v>140</v>
      </c>
      <c r="B1841" s="24" t="str">
        <f>"601689"</f>
        <v>601689</v>
      </c>
      <c r="C1841" s="24" t="s">
        <v>2058</v>
      </c>
      <c r="D1841" s="24" t="s">
        <v>204</v>
      </c>
      <c r="E1841" s="24">
        <v>60.99</v>
      </c>
      <c r="F1841" s="24">
        <v>3.8</v>
      </c>
    </row>
    <row r="1842" s="24" customFormat="1" spans="1:6">
      <c r="A1842" s="24" t="s">
        <v>142</v>
      </c>
      <c r="B1842" s="24" t="str">
        <f>"300482"</f>
        <v>300482</v>
      </c>
      <c r="C1842" s="24" t="s">
        <v>2059</v>
      </c>
      <c r="D1842" s="24" t="s">
        <v>326</v>
      </c>
      <c r="E1842" s="24">
        <v>60.81</v>
      </c>
      <c r="F1842" s="24">
        <v>10.68</v>
      </c>
    </row>
    <row r="1843" s="24" customFormat="1" spans="1:6">
      <c r="A1843" s="24" t="s">
        <v>142</v>
      </c>
      <c r="B1843" s="24" t="str">
        <f>"002922"</f>
        <v>002922</v>
      </c>
      <c r="C1843" s="24" t="s">
        <v>2060</v>
      </c>
      <c r="D1843" s="24" t="s">
        <v>251</v>
      </c>
      <c r="E1843" s="24">
        <v>60.76</v>
      </c>
      <c r="F1843" s="24">
        <v>1.98</v>
      </c>
    </row>
    <row r="1844" s="24" customFormat="1" spans="1:6">
      <c r="A1844" s="24" t="s">
        <v>140</v>
      </c>
      <c r="B1844" s="24" t="str">
        <f>"688299"</f>
        <v>688299</v>
      </c>
      <c r="C1844" s="24" t="s">
        <v>2061</v>
      </c>
      <c r="D1844" s="24" t="s">
        <v>228</v>
      </c>
      <c r="E1844" s="24">
        <v>60.72</v>
      </c>
      <c r="F1844" s="24">
        <v>4.49</v>
      </c>
    </row>
    <row r="1845" s="24" customFormat="1" spans="1:6">
      <c r="A1845" s="24" t="s">
        <v>142</v>
      </c>
      <c r="B1845" s="24" t="str">
        <f>"002868"</f>
        <v>002868</v>
      </c>
      <c r="C1845" s="24" t="s">
        <v>2062</v>
      </c>
      <c r="D1845" s="24" t="s">
        <v>464</v>
      </c>
      <c r="E1845" s="24">
        <v>60.68</v>
      </c>
      <c r="F1845" s="24">
        <v>2.67</v>
      </c>
    </row>
    <row r="1846" s="24" customFormat="1" spans="1:6">
      <c r="A1846" s="24" t="s">
        <v>142</v>
      </c>
      <c r="B1846" s="24" t="str">
        <f>"000009"</f>
        <v>000009</v>
      </c>
      <c r="C1846" s="24" t="s">
        <v>2063</v>
      </c>
      <c r="D1846" s="24" t="s">
        <v>260</v>
      </c>
      <c r="E1846" s="24">
        <v>60.62</v>
      </c>
      <c r="F1846" s="24">
        <v>3.74</v>
      </c>
    </row>
    <row r="1847" s="24" customFormat="1" spans="1:6">
      <c r="A1847" s="24" t="s">
        <v>142</v>
      </c>
      <c r="B1847" s="24" t="str">
        <f>"002138"</f>
        <v>002138</v>
      </c>
      <c r="C1847" s="24" t="s">
        <v>2064</v>
      </c>
      <c r="D1847" s="24" t="s">
        <v>197</v>
      </c>
      <c r="E1847" s="24">
        <v>60.45</v>
      </c>
      <c r="F1847" s="24">
        <v>4.95</v>
      </c>
    </row>
    <row r="1848" s="24" customFormat="1" spans="1:6">
      <c r="A1848" s="24" t="s">
        <v>142</v>
      </c>
      <c r="B1848" s="24" t="str">
        <f>"002602"</f>
        <v>002602</v>
      </c>
      <c r="C1848" s="24" t="s">
        <v>2065</v>
      </c>
      <c r="D1848" s="24" t="s">
        <v>156</v>
      </c>
      <c r="E1848" s="24">
        <v>60.4</v>
      </c>
      <c r="F1848" s="24">
        <v>10.5</v>
      </c>
    </row>
    <row r="1849" s="24" customFormat="1" spans="1:6">
      <c r="A1849" s="24" t="s">
        <v>142</v>
      </c>
      <c r="B1849" s="24" t="str">
        <f>"002971"</f>
        <v>002971</v>
      </c>
      <c r="C1849" s="24" t="s">
        <v>2066</v>
      </c>
      <c r="D1849" s="24"/>
      <c r="E1849" s="24">
        <v>60.35</v>
      </c>
      <c r="F1849" s="24">
        <v>4.84</v>
      </c>
    </row>
    <row r="1850" s="24" customFormat="1" spans="1:6">
      <c r="A1850" s="24" t="s">
        <v>140</v>
      </c>
      <c r="B1850" s="24" t="str">
        <f>"603983"</f>
        <v>603983</v>
      </c>
      <c r="C1850" s="24" t="s">
        <v>2067</v>
      </c>
      <c r="D1850" s="24" t="s">
        <v>333</v>
      </c>
      <c r="E1850" s="24">
        <v>60.3</v>
      </c>
      <c r="F1850" s="24">
        <v>10.72</v>
      </c>
    </row>
    <row r="1851" s="24" customFormat="1" spans="1:6">
      <c r="A1851" s="24" t="s">
        <v>140</v>
      </c>
      <c r="B1851" s="24" t="str">
        <f>"603636"</f>
        <v>603636</v>
      </c>
      <c r="C1851" s="24" t="s">
        <v>2068</v>
      </c>
      <c r="D1851" s="24" t="s">
        <v>156</v>
      </c>
      <c r="E1851" s="24">
        <v>60.28</v>
      </c>
      <c r="F1851" s="24">
        <v>4.51</v>
      </c>
    </row>
    <row r="1852" s="24" customFormat="1" spans="1:6">
      <c r="A1852" s="24" t="s">
        <v>142</v>
      </c>
      <c r="B1852" s="24" t="str">
        <f>"002446"</f>
        <v>002446</v>
      </c>
      <c r="C1852" s="24" t="s">
        <v>2069</v>
      </c>
      <c r="D1852" s="24" t="s">
        <v>193</v>
      </c>
      <c r="E1852" s="24">
        <v>60.27</v>
      </c>
      <c r="F1852" s="24">
        <v>3.4</v>
      </c>
    </row>
    <row r="1853" s="24" customFormat="1" spans="1:6">
      <c r="A1853" s="24" t="s">
        <v>142</v>
      </c>
      <c r="B1853" s="24" t="str">
        <f>"300088"</f>
        <v>300088</v>
      </c>
      <c r="C1853" s="24" t="s">
        <v>2070</v>
      </c>
      <c r="D1853" s="24" t="s">
        <v>230</v>
      </c>
      <c r="E1853" s="24">
        <v>60.22</v>
      </c>
      <c r="F1853" s="24">
        <v>6.23</v>
      </c>
    </row>
    <row r="1854" s="24" customFormat="1" spans="1:6">
      <c r="A1854" s="24" t="s">
        <v>142</v>
      </c>
      <c r="B1854" s="24" t="str">
        <f>"300183"</f>
        <v>300183</v>
      </c>
      <c r="C1854" s="24" t="s">
        <v>2071</v>
      </c>
      <c r="D1854" s="24" t="s">
        <v>152</v>
      </c>
      <c r="E1854" s="24">
        <v>60.03</v>
      </c>
      <c r="F1854" s="24">
        <v>3.01</v>
      </c>
    </row>
    <row r="1855" s="24" customFormat="1" spans="1:6">
      <c r="A1855" s="24" t="s">
        <v>140</v>
      </c>
      <c r="B1855" s="24" t="str">
        <f>"900918"</f>
        <v>900918</v>
      </c>
      <c r="C1855" s="24" t="s">
        <v>2072</v>
      </c>
      <c r="D1855" s="24"/>
      <c r="E1855" s="24">
        <v>60.03</v>
      </c>
      <c r="F1855" s="24">
        <v>1.07</v>
      </c>
    </row>
    <row r="1856" s="24" customFormat="1" spans="1:6">
      <c r="A1856" s="24" t="s">
        <v>140</v>
      </c>
      <c r="B1856" s="24" t="str">
        <f>"688310"</f>
        <v>688310</v>
      </c>
      <c r="C1856" s="24" t="s">
        <v>2073</v>
      </c>
      <c r="D1856" s="24" t="s">
        <v>618</v>
      </c>
      <c r="E1856" s="24">
        <v>59.78</v>
      </c>
      <c r="F1856" s="24">
        <v>4.18</v>
      </c>
    </row>
    <row r="1857" s="24" customFormat="1" spans="1:6">
      <c r="A1857" s="24" t="s">
        <v>142</v>
      </c>
      <c r="B1857" s="24" t="str">
        <f>"300042"</f>
        <v>300042</v>
      </c>
      <c r="C1857" s="24" t="s">
        <v>2074</v>
      </c>
      <c r="D1857" s="24" t="s">
        <v>352</v>
      </c>
      <c r="E1857" s="24">
        <v>59.74</v>
      </c>
      <c r="F1857" s="24">
        <v>3.06</v>
      </c>
    </row>
    <row r="1858" s="24" customFormat="1" spans="1:6">
      <c r="A1858" s="24" t="s">
        <v>142</v>
      </c>
      <c r="B1858" s="24" t="str">
        <f>"002413"</f>
        <v>002413</v>
      </c>
      <c r="C1858" s="24" t="s">
        <v>2075</v>
      </c>
      <c r="D1858" s="24" t="s">
        <v>395</v>
      </c>
      <c r="E1858" s="24">
        <v>59.58</v>
      </c>
      <c r="F1858" s="24">
        <v>3.56</v>
      </c>
    </row>
    <row r="1859" s="24" customFormat="1" spans="1:6">
      <c r="A1859" s="24" t="s">
        <v>142</v>
      </c>
      <c r="B1859" s="24" t="str">
        <f>"300739"</f>
        <v>300739</v>
      </c>
      <c r="C1859" s="24" t="s">
        <v>2076</v>
      </c>
      <c r="D1859" s="24" t="s">
        <v>197</v>
      </c>
      <c r="E1859" s="24">
        <v>59.52</v>
      </c>
      <c r="F1859" s="24">
        <v>4.12</v>
      </c>
    </row>
    <row r="1860" s="24" customFormat="1" spans="1:6">
      <c r="A1860" s="24" t="s">
        <v>140</v>
      </c>
      <c r="B1860" s="24" t="str">
        <f>"601116"</f>
        <v>601116</v>
      </c>
      <c r="C1860" s="24" t="s">
        <v>2077</v>
      </c>
      <c r="D1860" s="24" t="s">
        <v>361</v>
      </c>
      <c r="E1860" s="24">
        <v>59.51</v>
      </c>
      <c r="F1860" s="24">
        <v>2.18</v>
      </c>
    </row>
    <row r="1861" s="24" customFormat="1" spans="1:6">
      <c r="A1861" s="24" t="s">
        <v>140</v>
      </c>
      <c r="B1861" s="24" t="str">
        <f>"603533"</f>
        <v>603533</v>
      </c>
      <c r="C1861" s="24" t="s">
        <v>2078</v>
      </c>
      <c r="D1861" s="24" t="s">
        <v>163</v>
      </c>
      <c r="E1861" s="24">
        <v>59.39</v>
      </c>
      <c r="F1861" s="24">
        <v>5.47</v>
      </c>
    </row>
    <row r="1862" s="24" customFormat="1" spans="1:6">
      <c r="A1862" s="24" t="s">
        <v>142</v>
      </c>
      <c r="B1862" s="24" t="str">
        <f>"300378"</f>
        <v>300378</v>
      </c>
      <c r="C1862" s="24" t="s">
        <v>2079</v>
      </c>
      <c r="D1862" s="24" t="s">
        <v>156</v>
      </c>
      <c r="E1862" s="24">
        <v>59.35</v>
      </c>
      <c r="F1862" s="24">
        <v>3.11</v>
      </c>
    </row>
    <row r="1863" s="24" customFormat="1" spans="1:6">
      <c r="A1863" s="24" t="s">
        <v>142</v>
      </c>
      <c r="B1863" s="24" t="str">
        <f>"002384"</f>
        <v>002384</v>
      </c>
      <c r="C1863" s="24" t="s">
        <v>2080</v>
      </c>
      <c r="D1863" s="24" t="s">
        <v>197</v>
      </c>
      <c r="E1863" s="24">
        <v>59.34</v>
      </c>
      <c r="F1863" s="24">
        <v>6.69</v>
      </c>
    </row>
    <row r="1864" s="24" customFormat="1" spans="1:6">
      <c r="A1864" s="24" t="s">
        <v>140</v>
      </c>
      <c r="B1864" s="24" t="str">
        <f>"600132"</f>
        <v>600132</v>
      </c>
      <c r="C1864" s="24" t="s">
        <v>2081</v>
      </c>
      <c r="D1864" s="24" t="s">
        <v>309</v>
      </c>
      <c r="E1864" s="24">
        <v>59.33</v>
      </c>
      <c r="F1864" s="24">
        <v>17.69</v>
      </c>
    </row>
    <row r="1865" s="24" customFormat="1" spans="1:6">
      <c r="A1865" s="24" t="s">
        <v>140</v>
      </c>
      <c r="B1865" s="24" t="str">
        <f>"603637"</f>
        <v>603637</v>
      </c>
      <c r="C1865" s="24" t="s">
        <v>2082</v>
      </c>
      <c r="D1865" s="24" t="s">
        <v>315</v>
      </c>
      <c r="E1865" s="24">
        <v>59.33</v>
      </c>
      <c r="F1865" s="24">
        <v>3.44</v>
      </c>
    </row>
    <row r="1866" s="24" customFormat="1" spans="1:6">
      <c r="A1866" s="24" t="s">
        <v>142</v>
      </c>
      <c r="B1866" s="24" t="str">
        <f>"002935"</f>
        <v>002935</v>
      </c>
      <c r="C1866" s="24" t="s">
        <v>2083</v>
      </c>
      <c r="D1866" s="24" t="s">
        <v>197</v>
      </c>
      <c r="E1866" s="24">
        <v>59.26</v>
      </c>
      <c r="F1866" s="24">
        <v>4.35</v>
      </c>
    </row>
    <row r="1867" s="24" customFormat="1" spans="1:6">
      <c r="A1867" s="24" t="s">
        <v>140</v>
      </c>
      <c r="B1867" s="24" t="str">
        <f>"603358"</f>
        <v>603358</v>
      </c>
      <c r="C1867" s="24" t="s">
        <v>2084</v>
      </c>
      <c r="D1867" s="24" t="s">
        <v>204</v>
      </c>
      <c r="E1867" s="24">
        <v>59.19</v>
      </c>
      <c r="F1867" s="24">
        <v>2.38</v>
      </c>
    </row>
    <row r="1868" s="24" customFormat="1" spans="1:6">
      <c r="A1868" s="24" t="s">
        <v>142</v>
      </c>
      <c r="B1868" s="24" t="str">
        <f>"002576"</f>
        <v>002576</v>
      </c>
      <c r="C1868" s="24" t="s">
        <v>2085</v>
      </c>
      <c r="D1868" s="24" t="s">
        <v>251</v>
      </c>
      <c r="E1868" s="24">
        <v>59.18</v>
      </c>
      <c r="F1868" s="24">
        <v>1.63</v>
      </c>
    </row>
    <row r="1869" s="24" customFormat="1" spans="1:6">
      <c r="A1869" s="24" t="s">
        <v>140</v>
      </c>
      <c r="B1869" s="24" t="str">
        <f>"603580"</f>
        <v>603580</v>
      </c>
      <c r="C1869" s="24" t="s">
        <v>2086</v>
      </c>
      <c r="D1869" s="24" t="s">
        <v>165</v>
      </c>
      <c r="E1869" s="24">
        <v>59.03</v>
      </c>
      <c r="F1869" s="24">
        <v>3.54</v>
      </c>
    </row>
    <row r="1870" s="24" customFormat="1" spans="1:6">
      <c r="A1870" s="24" t="s">
        <v>140</v>
      </c>
      <c r="B1870" s="24" t="str">
        <f>"600620"</f>
        <v>600620</v>
      </c>
      <c r="C1870" s="24" t="s">
        <v>2087</v>
      </c>
      <c r="D1870" s="24" t="s">
        <v>540</v>
      </c>
      <c r="E1870" s="24">
        <v>59.03</v>
      </c>
      <c r="F1870" s="24">
        <v>1.56</v>
      </c>
    </row>
    <row r="1871" s="24" customFormat="1" spans="1:6">
      <c r="A1871" s="24" t="s">
        <v>142</v>
      </c>
      <c r="B1871" s="24" t="str">
        <f>"002817"</f>
        <v>002817</v>
      </c>
      <c r="C1871" s="24" t="s">
        <v>2088</v>
      </c>
      <c r="D1871" s="24" t="s">
        <v>464</v>
      </c>
      <c r="E1871" s="24">
        <v>58.93</v>
      </c>
      <c r="F1871" s="24">
        <v>2.8</v>
      </c>
    </row>
    <row r="1872" s="24" customFormat="1" spans="1:6">
      <c r="A1872" s="24" t="s">
        <v>142</v>
      </c>
      <c r="B1872" s="24" t="str">
        <f>"002793"</f>
        <v>002793</v>
      </c>
      <c r="C1872" s="24" t="s">
        <v>2089</v>
      </c>
      <c r="D1872" s="24" t="s">
        <v>251</v>
      </c>
      <c r="E1872" s="24">
        <v>58.87</v>
      </c>
      <c r="F1872" s="24">
        <v>5.49</v>
      </c>
    </row>
    <row r="1873" s="24" customFormat="1" spans="1:6">
      <c r="A1873" s="24" t="s">
        <v>140</v>
      </c>
      <c r="B1873" s="24" t="str">
        <f>"603688"</f>
        <v>603688</v>
      </c>
      <c r="C1873" s="24" t="s">
        <v>2090</v>
      </c>
      <c r="D1873" s="24" t="s">
        <v>644</v>
      </c>
      <c r="E1873" s="24">
        <v>58.81</v>
      </c>
      <c r="F1873" s="24">
        <v>5.91</v>
      </c>
    </row>
    <row r="1874" s="24" customFormat="1" spans="1:6">
      <c r="A1874" s="24" t="s">
        <v>142</v>
      </c>
      <c r="B1874" s="24" t="str">
        <f>"300743"</f>
        <v>300743</v>
      </c>
      <c r="C1874" s="24" t="s">
        <v>2091</v>
      </c>
      <c r="D1874" s="24" t="s">
        <v>352</v>
      </c>
      <c r="E1874" s="24">
        <v>58.74</v>
      </c>
      <c r="F1874" s="24">
        <v>4.44</v>
      </c>
    </row>
    <row r="1875" s="24" customFormat="1" spans="1:6">
      <c r="A1875" s="24" t="s">
        <v>142</v>
      </c>
      <c r="B1875" s="24" t="str">
        <f>"000710"</f>
        <v>000710</v>
      </c>
      <c r="C1875" s="24" t="s">
        <v>2092</v>
      </c>
      <c r="D1875" s="24" t="s">
        <v>326</v>
      </c>
      <c r="E1875" s="24">
        <v>58.72</v>
      </c>
      <c r="F1875" s="24">
        <v>6.5</v>
      </c>
    </row>
    <row r="1876" s="24" customFormat="1" spans="1:6">
      <c r="A1876" s="24" t="s">
        <v>142</v>
      </c>
      <c r="B1876" s="24" t="str">
        <f>"000818"</f>
        <v>000818</v>
      </c>
      <c r="C1876" s="24" t="s">
        <v>2093</v>
      </c>
      <c r="D1876" s="24" t="s">
        <v>256</v>
      </c>
      <c r="E1876" s="24">
        <v>58.7</v>
      </c>
      <c r="F1876" s="24">
        <v>11.2</v>
      </c>
    </row>
    <row r="1877" s="24" customFormat="1" spans="1:6">
      <c r="A1877" s="24" t="s">
        <v>140</v>
      </c>
      <c r="B1877" s="24" t="str">
        <f>"603288"</f>
        <v>603288</v>
      </c>
      <c r="C1877" s="24" t="s">
        <v>41</v>
      </c>
      <c r="D1877" s="24" t="s">
        <v>190</v>
      </c>
      <c r="E1877" s="24">
        <v>58.62</v>
      </c>
      <c r="F1877" s="24">
        <v>18.79</v>
      </c>
    </row>
    <row r="1878" s="24" customFormat="1" spans="1:6">
      <c r="A1878" s="24" t="s">
        <v>142</v>
      </c>
      <c r="B1878" s="24" t="str">
        <f>"300811"</f>
        <v>300811</v>
      </c>
      <c r="C1878" s="24" t="s">
        <v>2094</v>
      </c>
      <c r="D1878" s="24" t="s">
        <v>197</v>
      </c>
      <c r="E1878" s="24">
        <v>58.57</v>
      </c>
      <c r="F1878" s="24">
        <v>6.04</v>
      </c>
    </row>
    <row r="1879" s="24" customFormat="1" spans="1:6">
      <c r="A1879" s="24" t="s">
        <v>142</v>
      </c>
      <c r="B1879" s="24" t="str">
        <f>"300673"</f>
        <v>300673</v>
      </c>
      <c r="C1879" s="24" t="s">
        <v>2095</v>
      </c>
      <c r="D1879" s="24" t="s">
        <v>190</v>
      </c>
      <c r="E1879" s="24">
        <v>58.57</v>
      </c>
      <c r="F1879" s="24">
        <v>4.22</v>
      </c>
    </row>
    <row r="1880" s="24" customFormat="1" spans="1:6">
      <c r="A1880" s="24" t="s">
        <v>142</v>
      </c>
      <c r="B1880" s="24" t="str">
        <f>"002464"</f>
        <v>002464</v>
      </c>
      <c r="C1880" s="24" t="s">
        <v>2096</v>
      </c>
      <c r="D1880" s="24" t="s">
        <v>163</v>
      </c>
      <c r="E1880" s="24">
        <v>58.49</v>
      </c>
      <c r="F1880" s="24">
        <v>-5.06</v>
      </c>
    </row>
    <row r="1881" s="24" customFormat="1" spans="1:6">
      <c r="A1881" s="24" t="s">
        <v>142</v>
      </c>
      <c r="B1881" s="24" t="str">
        <f>"300464"</f>
        <v>300464</v>
      </c>
      <c r="C1881" s="24" t="s">
        <v>2097</v>
      </c>
      <c r="D1881" s="24" t="s">
        <v>165</v>
      </c>
      <c r="E1881" s="24">
        <v>58.45</v>
      </c>
      <c r="F1881" s="24">
        <v>5.15</v>
      </c>
    </row>
    <row r="1882" s="24" customFormat="1" spans="1:6">
      <c r="A1882" s="24" t="s">
        <v>140</v>
      </c>
      <c r="B1882" s="24" t="str">
        <f>"603290"</f>
        <v>603290</v>
      </c>
      <c r="C1882" s="24" t="s">
        <v>2098</v>
      </c>
      <c r="D1882" s="24"/>
      <c r="E1882" s="24">
        <v>58.45</v>
      </c>
      <c r="F1882" s="24">
        <v>5.73</v>
      </c>
    </row>
    <row r="1883" s="24" customFormat="1" spans="1:6">
      <c r="A1883" s="24" t="s">
        <v>142</v>
      </c>
      <c r="B1883" s="24" t="str">
        <f>"002621"</f>
        <v>002621</v>
      </c>
      <c r="C1883" s="24" t="s">
        <v>2099</v>
      </c>
      <c r="D1883" s="24" t="s">
        <v>467</v>
      </c>
      <c r="E1883" s="24">
        <v>58.39</v>
      </c>
      <c r="F1883" s="24">
        <v>-7.7</v>
      </c>
    </row>
    <row r="1884" s="24" customFormat="1" spans="1:6">
      <c r="A1884" s="24" t="s">
        <v>142</v>
      </c>
      <c r="B1884" s="24" t="str">
        <f>"000970"</f>
        <v>000970</v>
      </c>
      <c r="C1884" s="24" t="s">
        <v>2100</v>
      </c>
      <c r="D1884" s="24" t="s">
        <v>197</v>
      </c>
      <c r="E1884" s="24">
        <v>58.32</v>
      </c>
      <c r="F1884" s="24">
        <v>2.62</v>
      </c>
    </row>
    <row r="1885" s="24" customFormat="1" spans="1:6">
      <c r="A1885" s="24" t="s">
        <v>140</v>
      </c>
      <c r="B1885" s="24" t="str">
        <f>"600080"</f>
        <v>600080</v>
      </c>
      <c r="C1885" s="24" t="s">
        <v>2101</v>
      </c>
      <c r="D1885" s="24" t="s">
        <v>464</v>
      </c>
      <c r="E1885" s="24">
        <v>58.31</v>
      </c>
      <c r="F1885" s="24">
        <v>1.26</v>
      </c>
    </row>
    <row r="1886" s="24" customFormat="1" spans="1:6">
      <c r="A1886" s="24" t="s">
        <v>142</v>
      </c>
      <c r="B1886" s="24" t="str">
        <f>"300772"</f>
        <v>300772</v>
      </c>
      <c r="C1886" s="24" t="s">
        <v>2102</v>
      </c>
      <c r="D1886" s="24" t="s">
        <v>173</v>
      </c>
      <c r="E1886" s="24">
        <v>58.2</v>
      </c>
      <c r="F1886" s="24">
        <v>3.01</v>
      </c>
    </row>
    <row r="1887" s="24" customFormat="1" spans="1:6">
      <c r="A1887" s="24" t="s">
        <v>142</v>
      </c>
      <c r="B1887" s="24" t="str">
        <f>"002149"</f>
        <v>002149</v>
      </c>
      <c r="C1887" s="24" t="s">
        <v>2103</v>
      </c>
      <c r="D1887" s="24" t="s">
        <v>167</v>
      </c>
      <c r="E1887" s="24">
        <v>58.02</v>
      </c>
      <c r="F1887" s="24">
        <v>1.65</v>
      </c>
    </row>
    <row r="1888" s="24" customFormat="1" spans="1:6">
      <c r="A1888" s="24" t="s">
        <v>140</v>
      </c>
      <c r="B1888" s="24" t="str">
        <f>"600436"</f>
        <v>600436</v>
      </c>
      <c r="C1888" s="24" t="s">
        <v>94</v>
      </c>
      <c r="D1888" s="24" t="s">
        <v>388</v>
      </c>
      <c r="E1888" s="24">
        <v>58</v>
      </c>
      <c r="F1888" s="24">
        <v>12.22</v>
      </c>
    </row>
    <row r="1889" s="24" customFormat="1" spans="1:6">
      <c r="A1889" s="24" t="s">
        <v>142</v>
      </c>
      <c r="B1889" s="24" t="str">
        <f>"000880"</f>
        <v>000880</v>
      </c>
      <c r="C1889" s="24" t="s">
        <v>2104</v>
      </c>
      <c r="D1889" s="24" t="s">
        <v>165</v>
      </c>
      <c r="E1889" s="24">
        <v>57.97</v>
      </c>
      <c r="F1889" s="24">
        <v>1.36</v>
      </c>
    </row>
    <row r="1890" s="24" customFormat="1" spans="1:6">
      <c r="A1890" s="24" t="s">
        <v>142</v>
      </c>
      <c r="B1890" s="24" t="str">
        <f>"000738"</f>
        <v>000738</v>
      </c>
      <c r="C1890" s="24" t="s">
        <v>2105</v>
      </c>
      <c r="D1890" s="24" t="s">
        <v>395</v>
      </c>
      <c r="E1890" s="24">
        <v>57.89</v>
      </c>
      <c r="F1890" s="24">
        <v>2.37</v>
      </c>
    </row>
    <row r="1891" s="24" customFormat="1" spans="1:6">
      <c r="A1891" s="24" t="s">
        <v>142</v>
      </c>
      <c r="B1891" s="24" t="str">
        <f>"300429"</f>
        <v>300429</v>
      </c>
      <c r="C1891" s="24" t="s">
        <v>2106</v>
      </c>
      <c r="D1891" s="24" t="s">
        <v>228</v>
      </c>
      <c r="E1891" s="24">
        <v>57.72</v>
      </c>
      <c r="F1891" s="24">
        <v>5.75</v>
      </c>
    </row>
    <row r="1892" s="24" customFormat="1" spans="1:6">
      <c r="A1892" s="24" t="s">
        <v>142</v>
      </c>
      <c r="B1892" s="24" t="str">
        <f>"002838"</f>
        <v>002838</v>
      </c>
      <c r="C1892" s="24" t="s">
        <v>2107</v>
      </c>
      <c r="D1892" s="24" t="s">
        <v>228</v>
      </c>
      <c r="E1892" s="24">
        <v>57.71</v>
      </c>
      <c r="F1892" s="24">
        <v>8.7</v>
      </c>
    </row>
    <row r="1893" s="24" customFormat="1" spans="1:6">
      <c r="A1893" s="24" t="s">
        <v>142</v>
      </c>
      <c r="B1893" s="24" t="str">
        <f>"300699"</f>
        <v>300699</v>
      </c>
      <c r="C1893" s="24" t="s">
        <v>2108</v>
      </c>
      <c r="D1893" s="24" t="s">
        <v>302</v>
      </c>
      <c r="E1893" s="24">
        <v>57.55</v>
      </c>
      <c r="F1893" s="24">
        <v>8.16</v>
      </c>
    </row>
    <row r="1894" s="24" customFormat="1" spans="1:6">
      <c r="A1894" s="24" t="s">
        <v>142</v>
      </c>
      <c r="B1894" s="24" t="str">
        <f>"300207"</f>
        <v>300207</v>
      </c>
      <c r="C1894" s="24" t="s">
        <v>2109</v>
      </c>
      <c r="D1894" s="24" t="s">
        <v>152</v>
      </c>
      <c r="E1894" s="24">
        <v>57.54</v>
      </c>
      <c r="F1894" s="24">
        <v>6.34</v>
      </c>
    </row>
    <row r="1895" s="24" customFormat="1" spans="1:6">
      <c r="A1895" s="24" t="s">
        <v>142</v>
      </c>
      <c r="B1895" s="24" t="str">
        <f>"002493"</f>
        <v>002493</v>
      </c>
      <c r="C1895" s="24" t="s">
        <v>2110</v>
      </c>
      <c r="D1895" s="24" t="s">
        <v>228</v>
      </c>
      <c r="E1895" s="24">
        <v>57.53</v>
      </c>
      <c r="F1895" s="24">
        <v>3.03</v>
      </c>
    </row>
    <row r="1896" s="24" customFormat="1" spans="1:6">
      <c r="A1896" s="24" t="s">
        <v>142</v>
      </c>
      <c r="B1896" s="24" t="str">
        <f>"002240"</f>
        <v>002240</v>
      </c>
      <c r="C1896" s="24" t="s">
        <v>2111</v>
      </c>
      <c r="D1896" s="24" t="s">
        <v>509</v>
      </c>
      <c r="E1896" s="24">
        <v>57.5</v>
      </c>
      <c r="F1896" s="24">
        <v>1.96</v>
      </c>
    </row>
    <row r="1897" s="24" customFormat="1" spans="1:6">
      <c r="A1897" s="24" t="s">
        <v>140</v>
      </c>
      <c r="B1897" s="24" t="str">
        <f>"600251"</f>
        <v>600251</v>
      </c>
      <c r="C1897" s="24" t="s">
        <v>2112</v>
      </c>
      <c r="D1897" s="24" t="s">
        <v>145</v>
      </c>
      <c r="E1897" s="24">
        <v>57.5</v>
      </c>
      <c r="F1897" s="24">
        <v>2.21</v>
      </c>
    </row>
    <row r="1898" s="24" customFormat="1" spans="1:6">
      <c r="A1898" s="24" t="s">
        <v>140</v>
      </c>
      <c r="B1898" s="24" t="str">
        <f>"600456"</f>
        <v>600456</v>
      </c>
      <c r="C1898" s="24" t="s">
        <v>2113</v>
      </c>
      <c r="D1898" s="24" t="s">
        <v>167</v>
      </c>
      <c r="E1898" s="24">
        <v>57.28</v>
      </c>
      <c r="F1898" s="24">
        <v>2.85</v>
      </c>
    </row>
    <row r="1899" s="24" customFormat="1" spans="1:6">
      <c r="A1899" s="24" t="s">
        <v>142</v>
      </c>
      <c r="B1899" s="24" t="str">
        <f>"300009"</f>
        <v>300009</v>
      </c>
      <c r="C1899" s="24" t="s">
        <v>2114</v>
      </c>
      <c r="D1899" s="24" t="s">
        <v>326</v>
      </c>
      <c r="E1899" s="24">
        <v>57.24</v>
      </c>
      <c r="F1899" s="24">
        <v>7.7</v>
      </c>
    </row>
    <row r="1900" s="24" customFormat="1" spans="1:6">
      <c r="A1900" s="24" t="s">
        <v>140</v>
      </c>
      <c r="B1900" s="24" t="str">
        <f>"603110"</f>
        <v>603110</v>
      </c>
      <c r="C1900" s="24" t="s">
        <v>2115</v>
      </c>
      <c r="D1900" s="24" t="s">
        <v>256</v>
      </c>
      <c r="E1900" s="24">
        <v>57.19</v>
      </c>
      <c r="F1900" s="24">
        <v>3.28</v>
      </c>
    </row>
    <row r="1901" s="24" customFormat="1" spans="1:6">
      <c r="A1901" s="24" t="s">
        <v>142</v>
      </c>
      <c r="B1901" s="24" t="str">
        <f>"300762"</f>
        <v>300762</v>
      </c>
      <c r="C1901" s="24" t="s">
        <v>2116</v>
      </c>
      <c r="D1901" s="24" t="s">
        <v>193</v>
      </c>
      <c r="E1901" s="24">
        <v>57.12</v>
      </c>
      <c r="F1901" s="24">
        <v>5.77</v>
      </c>
    </row>
    <row r="1902" s="24" customFormat="1" spans="1:6">
      <c r="A1902" s="24" t="s">
        <v>142</v>
      </c>
      <c r="B1902" s="24" t="str">
        <f>"002866"</f>
        <v>002866</v>
      </c>
      <c r="C1902" s="24" t="s">
        <v>2117</v>
      </c>
      <c r="D1902" s="24" t="s">
        <v>197</v>
      </c>
      <c r="E1902" s="24">
        <v>57.06</v>
      </c>
      <c r="F1902" s="24">
        <v>4.33</v>
      </c>
    </row>
    <row r="1903" s="24" customFormat="1" spans="1:6">
      <c r="A1903" s="24" t="s">
        <v>142</v>
      </c>
      <c r="B1903" s="24" t="str">
        <f>"300124"</f>
        <v>300124</v>
      </c>
      <c r="C1903" s="24" t="s">
        <v>2118</v>
      </c>
      <c r="D1903" s="24" t="s">
        <v>251</v>
      </c>
      <c r="E1903" s="24">
        <v>57.04</v>
      </c>
      <c r="F1903" s="24">
        <v>7.09</v>
      </c>
    </row>
    <row r="1904" s="24" customFormat="1" spans="1:6">
      <c r="A1904" s="24" t="s">
        <v>140</v>
      </c>
      <c r="B1904" s="24" t="str">
        <f>"603103"</f>
        <v>603103</v>
      </c>
      <c r="C1904" s="24" t="s">
        <v>2119</v>
      </c>
      <c r="D1904" s="24" t="s">
        <v>170</v>
      </c>
      <c r="E1904" s="24">
        <v>57.04</v>
      </c>
      <c r="F1904" s="24">
        <v>4.15</v>
      </c>
    </row>
    <row r="1905" s="24" customFormat="1" spans="1:6">
      <c r="A1905" s="24" t="s">
        <v>142</v>
      </c>
      <c r="B1905" s="24" t="str">
        <f>"002154"</f>
        <v>002154</v>
      </c>
      <c r="C1905" s="24" t="s">
        <v>2120</v>
      </c>
      <c r="D1905" s="24" t="s">
        <v>161</v>
      </c>
      <c r="E1905" s="24">
        <v>56.94</v>
      </c>
      <c r="F1905" s="24">
        <v>1.33</v>
      </c>
    </row>
    <row r="1906" s="24" customFormat="1" spans="1:6">
      <c r="A1906" s="24" t="s">
        <v>140</v>
      </c>
      <c r="B1906" s="24" t="str">
        <f>"603477"</f>
        <v>603477</v>
      </c>
      <c r="C1906" s="24" t="s">
        <v>2121</v>
      </c>
      <c r="D1906" s="24" t="s">
        <v>200</v>
      </c>
      <c r="E1906" s="24">
        <v>56.74</v>
      </c>
      <c r="F1906" s="24">
        <v>2.98</v>
      </c>
    </row>
    <row r="1907" s="24" customFormat="1" spans="1:6">
      <c r="A1907" s="24" t="s">
        <v>142</v>
      </c>
      <c r="B1907" s="24" t="str">
        <f>"300065"</f>
        <v>300065</v>
      </c>
      <c r="C1907" s="24" t="s">
        <v>2122</v>
      </c>
      <c r="D1907" s="24" t="s">
        <v>152</v>
      </c>
      <c r="E1907" s="24">
        <v>56.7</v>
      </c>
      <c r="F1907" s="24">
        <v>3.13</v>
      </c>
    </row>
    <row r="1908" s="24" customFormat="1" spans="1:6">
      <c r="A1908" s="24" t="s">
        <v>140</v>
      </c>
      <c r="B1908" s="24" t="str">
        <f>"600841"</f>
        <v>600841</v>
      </c>
      <c r="C1908" s="24" t="s">
        <v>2123</v>
      </c>
      <c r="D1908" s="24" t="s">
        <v>165</v>
      </c>
      <c r="E1908" s="24">
        <v>56.66</v>
      </c>
      <c r="F1908" s="24">
        <v>1.46</v>
      </c>
    </row>
    <row r="1909" s="24" customFormat="1" spans="1:6">
      <c r="A1909" s="24" t="s">
        <v>140</v>
      </c>
      <c r="B1909" s="24" t="str">
        <f>"601369"</f>
        <v>601369</v>
      </c>
      <c r="C1909" s="24" t="s">
        <v>2124</v>
      </c>
      <c r="D1909" s="24" t="s">
        <v>293</v>
      </c>
      <c r="E1909" s="24">
        <v>56.66</v>
      </c>
      <c r="F1909" s="24">
        <v>1.49</v>
      </c>
    </row>
    <row r="1910" s="24" customFormat="1" spans="1:6">
      <c r="A1910" s="24" t="s">
        <v>142</v>
      </c>
      <c r="B1910" s="24" t="str">
        <f>"300687"</f>
        <v>300687</v>
      </c>
      <c r="C1910" s="24" t="s">
        <v>2125</v>
      </c>
      <c r="D1910" s="24" t="s">
        <v>159</v>
      </c>
      <c r="E1910" s="24">
        <v>56.65</v>
      </c>
      <c r="F1910" s="24">
        <v>6.6</v>
      </c>
    </row>
    <row r="1911" s="24" customFormat="1" spans="1:6">
      <c r="A1911" s="24" t="s">
        <v>142</v>
      </c>
      <c r="B1911" s="24" t="str">
        <f>"300572"</f>
        <v>300572</v>
      </c>
      <c r="C1911" s="24" t="s">
        <v>2126</v>
      </c>
      <c r="D1911" s="24" t="s">
        <v>152</v>
      </c>
      <c r="E1911" s="24">
        <v>56.49</v>
      </c>
      <c r="F1911" s="24">
        <v>11.77</v>
      </c>
    </row>
    <row r="1912" s="24" customFormat="1" spans="1:6">
      <c r="A1912" s="24" t="s">
        <v>142</v>
      </c>
      <c r="B1912" s="24" t="str">
        <f>"002690"</f>
        <v>002690</v>
      </c>
      <c r="C1912" s="24" t="s">
        <v>2127</v>
      </c>
      <c r="D1912" s="24" t="s">
        <v>173</v>
      </c>
      <c r="E1912" s="24">
        <v>56.46</v>
      </c>
      <c r="F1912" s="24">
        <v>11.32</v>
      </c>
    </row>
    <row r="1913" s="24" customFormat="1" spans="1:6">
      <c r="A1913" s="24" t="s">
        <v>140</v>
      </c>
      <c r="B1913" s="24" t="str">
        <f>"603656"</f>
        <v>603656</v>
      </c>
      <c r="C1913" s="24" t="s">
        <v>2128</v>
      </c>
      <c r="D1913" s="24" t="s">
        <v>173</v>
      </c>
      <c r="E1913" s="24">
        <v>56.45</v>
      </c>
      <c r="F1913" s="24">
        <v>2.27</v>
      </c>
    </row>
    <row r="1914" s="24" customFormat="1" spans="1:6">
      <c r="A1914" s="24" t="s">
        <v>140</v>
      </c>
      <c r="B1914" s="24" t="str">
        <f>"600182"</f>
        <v>600182</v>
      </c>
      <c r="C1914" s="24" t="s">
        <v>2129</v>
      </c>
      <c r="D1914" s="24" t="s">
        <v>204</v>
      </c>
      <c r="E1914" s="24">
        <v>56.33</v>
      </c>
      <c r="F1914" s="24">
        <v>5.21</v>
      </c>
    </row>
    <row r="1915" s="24" customFormat="1" spans="1:6">
      <c r="A1915" s="24" t="s">
        <v>140</v>
      </c>
      <c r="B1915" s="24" t="str">
        <f>"601366"</f>
        <v>601366</v>
      </c>
      <c r="C1915" s="24" t="s">
        <v>2130</v>
      </c>
      <c r="D1915" s="24" t="s">
        <v>148</v>
      </c>
      <c r="E1915" s="24">
        <v>56.31</v>
      </c>
      <c r="F1915" s="24">
        <v>0.96</v>
      </c>
    </row>
    <row r="1916" s="24" customFormat="1" spans="1:6">
      <c r="A1916" s="24" t="s">
        <v>142</v>
      </c>
      <c r="B1916" s="24" t="str">
        <f>"300701"</f>
        <v>300701</v>
      </c>
      <c r="C1916" s="24" t="s">
        <v>2131</v>
      </c>
      <c r="D1916" s="24" t="s">
        <v>230</v>
      </c>
      <c r="E1916" s="24">
        <v>56.31</v>
      </c>
      <c r="F1916" s="24">
        <v>6.82</v>
      </c>
    </row>
    <row r="1917" s="24" customFormat="1" spans="1:6">
      <c r="A1917" s="24" t="s">
        <v>142</v>
      </c>
      <c r="B1917" s="24" t="str">
        <f>"300567"</f>
        <v>300567</v>
      </c>
      <c r="C1917" s="24" t="s">
        <v>2132</v>
      </c>
      <c r="D1917" s="24" t="s">
        <v>152</v>
      </c>
      <c r="E1917" s="24">
        <v>56.31</v>
      </c>
      <c r="F1917" s="24">
        <v>12.35</v>
      </c>
    </row>
    <row r="1918" s="24" customFormat="1" spans="1:6">
      <c r="A1918" s="24" t="s">
        <v>140</v>
      </c>
      <c r="B1918" s="24" t="str">
        <f>"603520"</f>
        <v>603520</v>
      </c>
      <c r="C1918" s="24" t="s">
        <v>2133</v>
      </c>
      <c r="D1918" s="24" t="s">
        <v>997</v>
      </c>
      <c r="E1918" s="24">
        <v>56.3</v>
      </c>
      <c r="F1918" s="24">
        <v>18.49</v>
      </c>
    </row>
    <row r="1919" s="24" customFormat="1" spans="1:6">
      <c r="A1919" s="24" t="s">
        <v>142</v>
      </c>
      <c r="B1919" s="24" t="str">
        <f>"002442"</f>
        <v>002442</v>
      </c>
      <c r="C1919" s="24" t="s">
        <v>2134</v>
      </c>
      <c r="D1919" s="24" t="s">
        <v>256</v>
      </c>
      <c r="E1919" s="24">
        <v>56.27</v>
      </c>
      <c r="F1919" s="24">
        <v>1.72</v>
      </c>
    </row>
    <row r="1920" s="24" customFormat="1" spans="1:6">
      <c r="A1920" s="24" t="s">
        <v>140</v>
      </c>
      <c r="B1920" s="24" t="str">
        <f>"600148"</f>
        <v>600148</v>
      </c>
      <c r="C1920" s="24" t="s">
        <v>2135</v>
      </c>
      <c r="D1920" s="24" t="s">
        <v>204</v>
      </c>
      <c r="E1920" s="24">
        <v>56.12</v>
      </c>
      <c r="F1920" s="24">
        <v>3.7</v>
      </c>
    </row>
    <row r="1921" s="24" customFormat="1" spans="1:6">
      <c r="A1921" s="24" t="s">
        <v>142</v>
      </c>
      <c r="B1921" s="24" t="str">
        <f>"002469"</f>
        <v>002469</v>
      </c>
      <c r="C1921" s="24" t="s">
        <v>2136</v>
      </c>
      <c r="D1921" s="24" t="s">
        <v>214</v>
      </c>
      <c r="E1921" s="24">
        <v>56.02</v>
      </c>
      <c r="F1921" s="24">
        <v>1.69</v>
      </c>
    </row>
    <row r="1922" s="24" customFormat="1" spans="1:6">
      <c r="A1922" s="24" t="s">
        <v>142</v>
      </c>
      <c r="B1922" s="24" t="str">
        <f>"000913"</f>
        <v>000913</v>
      </c>
      <c r="C1922" s="24" t="s">
        <v>2137</v>
      </c>
      <c r="D1922" s="24" t="s">
        <v>175</v>
      </c>
      <c r="E1922" s="24">
        <v>56</v>
      </c>
      <c r="F1922" s="24">
        <v>1.63</v>
      </c>
    </row>
    <row r="1923" s="24" customFormat="1" spans="1:6">
      <c r="A1923" s="24" t="s">
        <v>142</v>
      </c>
      <c r="B1923" s="24" t="str">
        <f>"300669"</f>
        <v>300669</v>
      </c>
      <c r="C1923" s="24" t="s">
        <v>2138</v>
      </c>
      <c r="D1923" s="24" t="s">
        <v>293</v>
      </c>
      <c r="E1923" s="24">
        <v>55.93</v>
      </c>
      <c r="F1923" s="24">
        <v>4.7</v>
      </c>
    </row>
    <row r="1924" s="24" customFormat="1" spans="1:6">
      <c r="A1924" s="24" t="s">
        <v>142</v>
      </c>
      <c r="B1924" s="24" t="str">
        <f>"300483"</f>
        <v>300483</v>
      </c>
      <c r="C1924" s="24" t="s">
        <v>2139</v>
      </c>
      <c r="D1924" s="24" t="s">
        <v>173</v>
      </c>
      <c r="E1924" s="24">
        <v>55.81</v>
      </c>
      <c r="F1924" s="24">
        <v>2.6</v>
      </c>
    </row>
    <row r="1925" s="24" customFormat="1" spans="1:6">
      <c r="A1925" s="24" t="s">
        <v>142</v>
      </c>
      <c r="B1925" s="24" t="str">
        <f>"300515"</f>
        <v>300515</v>
      </c>
      <c r="C1925" s="24" t="s">
        <v>2140</v>
      </c>
      <c r="D1925" s="24" t="s">
        <v>152</v>
      </c>
      <c r="E1925" s="24">
        <v>55.78</v>
      </c>
      <c r="F1925" s="24">
        <v>3.57</v>
      </c>
    </row>
    <row r="1926" s="24" customFormat="1" spans="1:6">
      <c r="A1926" s="24" t="s">
        <v>140</v>
      </c>
      <c r="B1926" s="24" t="str">
        <f>"600318"</f>
        <v>600318</v>
      </c>
      <c r="C1926" s="24" t="s">
        <v>2141</v>
      </c>
      <c r="D1926" s="24" t="s">
        <v>280</v>
      </c>
      <c r="E1926" s="24">
        <v>55.78</v>
      </c>
      <c r="F1926" s="24">
        <v>3.85</v>
      </c>
    </row>
    <row r="1927" s="24" customFormat="1" spans="1:6">
      <c r="A1927" s="24" t="s">
        <v>142</v>
      </c>
      <c r="B1927" s="24" t="str">
        <f>"002492"</f>
        <v>002492</v>
      </c>
      <c r="C1927" s="24" t="s">
        <v>2142</v>
      </c>
      <c r="D1927" s="24" t="s">
        <v>246</v>
      </c>
      <c r="E1927" s="24">
        <v>55.71</v>
      </c>
      <c r="F1927" s="24">
        <v>1.65</v>
      </c>
    </row>
    <row r="1928" s="24" customFormat="1" spans="1:6">
      <c r="A1928" s="24" t="s">
        <v>142</v>
      </c>
      <c r="B1928" s="24" t="str">
        <f>"002232"</f>
        <v>002232</v>
      </c>
      <c r="C1928" s="24" t="s">
        <v>2143</v>
      </c>
      <c r="D1928" s="24" t="s">
        <v>159</v>
      </c>
      <c r="E1928" s="24">
        <v>55.62</v>
      </c>
      <c r="F1928" s="24">
        <v>3.09</v>
      </c>
    </row>
    <row r="1929" s="24" customFormat="1" spans="1:6">
      <c r="A1929" s="24" t="s">
        <v>142</v>
      </c>
      <c r="B1929" s="24" t="str">
        <f>"300581"</f>
        <v>300581</v>
      </c>
      <c r="C1929" s="24" t="s">
        <v>2144</v>
      </c>
      <c r="D1929" s="24" t="s">
        <v>395</v>
      </c>
      <c r="E1929" s="24">
        <v>55.61</v>
      </c>
      <c r="F1929" s="24">
        <v>4.13</v>
      </c>
    </row>
    <row r="1930" s="24" customFormat="1" spans="1:6">
      <c r="A1930" s="24" t="s">
        <v>142</v>
      </c>
      <c r="B1930" s="24" t="str">
        <f>"300790"</f>
        <v>300790</v>
      </c>
      <c r="C1930" s="24" t="s">
        <v>2145</v>
      </c>
      <c r="D1930" s="24" t="s">
        <v>230</v>
      </c>
      <c r="E1930" s="24">
        <v>55.53</v>
      </c>
      <c r="F1930" s="24">
        <v>4.62</v>
      </c>
    </row>
    <row r="1931" s="24" customFormat="1" spans="1:6">
      <c r="A1931" s="24" t="s">
        <v>142</v>
      </c>
      <c r="B1931" s="24" t="str">
        <f>"300092"</f>
        <v>300092</v>
      </c>
      <c r="C1931" s="24" t="s">
        <v>2146</v>
      </c>
      <c r="D1931" s="24" t="s">
        <v>173</v>
      </c>
      <c r="E1931" s="24">
        <v>55.53</v>
      </c>
      <c r="F1931" s="24">
        <v>2.56</v>
      </c>
    </row>
    <row r="1932" s="24" customFormat="1" spans="1:6">
      <c r="A1932" s="24" t="s">
        <v>140</v>
      </c>
      <c r="B1932" s="24" t="str">
        <f>"600088"</f>
        <v>600088</v>
      </c>
      <c r="C1932" s="24" t="s">
        <v>2147</v>
      </c>
      <c r="D1932" s="24" t="s">
        <v>170</v>
      </c>
      <c r="E1932" s="24">
        <v>55.52</v>
      </c>
      <c r="F1932" s="24">
        <v>4.46</v>
      </c>
    </row>
    <row r="1933" s="24" customFormat="1" spans="1:6">
      <c r="A1933" s="24" t="s">
        <v>142</v>
      </c>
      <c r="B1933" s="24" t="str">
        <f>"300327"</f>
        <v>300327</v>
      </c>
      <c r="C1933" s="24" t="s">
        <v>2148</v>
      </c>
      <c r="D1933" s="24" t="s">
        <v>197</v>
      </c>
      <c r="E1933" s="24">
        <v>55.5</v>
      </c>
      <c r="F1933" s="24">
        <v>10.37</v>
      </c>
    </row>
    <row r="1934" s="24" customFormat="1" spans="1:6">
      <c r="A1934" s="24" t="s">
        <v>142</v>
      </c>
      <c r="B1934" s="24" t="str">
        <f>"002885"</f>
        <v>002885</v>
      </c>
      <c r="C1934" s="24" t="s">
        <v>2149</v>
      </c>
      <c r="D1934" s="24" t="s">
        <v>197</v>
      </c>
      <c r="E1934" s="24">
        <v>55.39</v>
      </c>
      <c r="F1934" s="24">
        <v>3.54</v>
      </c>
    </row>
    <row r="1935" s="24" customFormat="1" spans="1:6">
      <c r="A1935" s="24" t="s">
        <v>142</v>
      </c>
      <c r="B1935" s="24" t="str">
        <f>"000795"</f>
        <v>000795</v>
      </c>
      <c r="C1935" s="24" t="s">
        <v>2150</v>
      </c>
      <c r="D1935" s="24" t="s">
        <v>644</v>
      </c>
      <c r="E1935" s="24">
        <v>55.24</v>
      </c>
      <c r="F1935" s="24">
        <v>2.68</v>
      </c>
    </row>
    <row r="1936" s="24" customFormat="1" spans="1:6">
      <c r="A1936" s="24" t="s">
        <v>142</v>
      </c>
      <c r="B1936" s="24" t="str">
        <f>"002254"</f>
        <v>002254</v>
      </c>
      <c r="C1936" s="24" t="s">
        <v>2151</v>
      </c>
      <c r="D1936" s="24" t="s">
        <v>302</v>
      </c>
      <c r="E1936" s="24">
        <v>55.17</v>
      </c>
      <c r="F1936" s="24">
        <v>3.07</v>
      </c>
    </row>
    <row r="1937" s="24" customFormat="1" spans="1:6">
      <c r="A1937" s="24" t="s">
        <v>142</v>
      </c>
      <c r="B1937" s="24" t="str">
        <f>"002846"</f>
        <v>002846</v>
      </c>
      <c r="C1937" s="24" t="s">
        <v>2152</v>
      </c>
      <c r="D1937" s="24" t="s">
        <v>290</v>
      </c>
      <c r="E1937" s="24">
        <v>55.16</v>
      </c>
      <c r="F1937" s="24">
        <v>7.45</v>
      </c>
    </row>
    <row r="1938" s="24" customFormat="1" spans="1:6">
      <c r="A1938" s="24" t="s">
        <v>140</v>
      </c>
      <c r="B1938" s="24" t="str">
        <f>"603755"</f>
        <v>603755</v>
      </c>
      <c r="C1938" s="24" t="s">
        <v>2153</v>
      </c>
      <c r="D1938" s="24" t="s">
        <v>190</v>
      </c>
      <c r="E1938" s="24">
        <v>55.13</v>
      </c>
      <c r="F1938" s="24">
        <v>7.73</v>
      </c>
    </row>
    <row r="1939" s="24" customFormat="1" spans="1:6">
      <c r="A1939" s="24" t="s">
        <v>142</v>
      </c>
      <c r="B1939" s="24" t="str">
        <f>"300192"</f>
        <v>300192</v>
      </c>
      <c r="C1939" s="24" t="s">
        <v>2154</v>
      </c>
      <c r="D1939" s="24" t="s">
        <v>228</v>
      </c>
      <c r="E1939" s="24">
        <v>55.08</v>
      </c>
      <c r="F1939" s="24">
        <v>15.68</v>
      </c>
    </row>
    <row r="1940" s="24" customFormat="1" spans="1:6">
      <c r="A1940" s="24" t="s">
        <v>142</v>
      </c>
      <c r="B1940" s="24" t="str">
        <f>"002769"</f>
        <v>002769</v>
      </c>
      <c r="C1940" s="24" t="s">
        <v>2155</v>
      </c>
      <c r="D1940" s="24" t="s">
        <v>214</v>
      </c>
      <c r="E1940" s="24">
        <v>55.05</v>
      </c>
      <c r="F1940" s="24">
        <v>2.01</v>
      </c>
    </row>
    <row r="1941" s="24" customFormat="1" spans="1:6">
      <c r="A1941" s="24" t="s">
        <v>142</v>
      </c>
      <c r="B1941" s="24" t="str">
        <f>"000561"</f>
        <v>000561</v>
      </c>
      <c r="C1941" s="24" t="s">
        <v>2156</v>
      </c>
      <c r="D1941" s="24" t="s">
        <v>193</v>
      </c>
      <c r="E1941" s="24">
        <v>54.79</v>
      </c>
      <c r="F1941" s="24">
        <v>2.75</v>
      </c>
    </row>
    <row r="1942" s="24" customFormat="1" spans="1:6">
      <c r="A1942" s="24" t="s">
        <v>142</v>
      </c>
      <c r="B1942" s="24" t="str">
        <f>"300751"</f>
        <v>300751</v>
      </c>
      <c r="C1942" s="24" t="s">
        <v>2157</v>
      </c>
      <c r="D1942" s="24" t="s">
        <v>173</v>
      </c>
      <c r="E1942" s="24">
        <v>54.78</v>
      </c>
      <c r="F1942" s="24">
        <v>8.33</v>
      </c>
    </row>
    <row r="1943" s="24" customFormat="1" spans="1:6">
      <c r="A1943" s="24" t="s">
        <v>142</v>
      </c>
      <c r="B1943" s="24" t="str">
        <f>"300606"</f>
        <v>300606</v>
      </c>
      <c r="C1943" s="24" t="s">
        <v>2158</v>
      </c>
      <c r="D1943" s="24" t="s">
        <v>509</v>
      </c>
      <c r="E1943" s="24">
        <v>54.71</v>
      </c>
      <c r="F1943" s="24">
        <v>3.92</v>
      </c>
    </row>
    <row r="1944" s="24" customFormat="1" spans="1:6">
      <c r="A1944" s="24" t="s">
        <v>140</v>
      </c>
      <c r="B1944" s="24" t="str">
        <f>"603998"</f>
        <v>603998</v>
      </c>
      <c r="C1944" s="24" t="s">
        <v>2159</v>
      </c>
      <c r="D1944" s="24" t="s">
        <v>464</v>
      </c>
      <c r="E1944" s="24">
        <v>54.63</v>
      </c>
      <c r="F1944" s="24">
        <v>3.23</v>
      </c>
    </row>
    <row r="1945" s="24" customFormat="1" spans="1:6">
      <c r="A1945" s="24" t="s">
        <v>140</v>
      </c>
      <c r="B1945" s="24" t="str">
        <f>"600278"</f>
        <v>600278</v>
      </c>
      <c r="C1945" s="24" t="s">
        <v>2160</v>
      </c>
      <c r="D1945" s="24" t="s">
        <v>267</v>
      </c>
      <c r="E1945" s="24">
        <v>54.62</v>
      </c>
      <c r="F1945" s="24">
        <v>1.28</v>
      </c>
    </row>
    <row r="1946" s="24" customFormat="1" spans="1:6">
      <c r="A1946" s="24" t="s">
        <v>140</v>
      </c>
      <c r="B1946" s="24" t="str">
        <f>"600305"</f>
        <v>600305</v>
      </c>
      <c r="C1946" s="24" t="s">
        <v>2161</v>
      </c>
      <c r="D1946" s="24" t="s">
        <v>190</v>
      </c>
      <c r="E1946" s="24">
        <v>54.59</v>
      </c>
      <c r="F1946" s="24">
        <v>6.05</v>
      </c>
    </row>
    <row r="1947" s="24" customFormat="1" spans="1:6">
      <c r="A1947" s="24" t="s">
        <v>140</v>
      </c>
      <c r="B1947" s="24" t="str">
        <f>"603956"</f>
        <v>603956</v>
      </c>
      <c r="C1947" s="24" t="s">
        <v>2162</v>
      </c>
      <c r="D1947" s="24" t="s">
        <v>173</v>
      </c>
      <c r="E1947" s="24">
        <v>54.57</v>
      </c>
      <c r="F1947" s="24">
        <v>5.69</v>
      </c>
    </row>
    <row r="1948" s="24" customFormat="1" spans="1:6">
      <c r="A1948" s="24" t="s">
        <v>142</v>
      </c>
      <c r="B1948" s="24" t="str">
        <f>"002273"</f>
        <v>002273</v>
      </c>
      <c r="C1948" s="24" t="s">
        <v>2163</v>
      </c>
      <c r="D1948" s="24" t="s">
        <v>230</v>
      </c>
      <c r="E1948" s="24">
        <v>54.54</v>
      </c>
      <c r="F1948" s="24">
        <v>4.69</v>
      </c>
    </row>
    <row r="1949" s="24" customFormat="1" spans="1:6">
      <c r="A1949" s="24" t="s">
        <v>142</v>
      </c>
      <c r="B1949" s="24" t="str">
        <f>"000989"</f>
        <v>000989</v>
      </c>
      <c r="C1949" s="24" t="s">
        <v>2164</v>
      </c>
      <c r="D1949" s="24" t="s">
        <v>388</v>
      </c>
      <c r="E1949" s="24">
        <v>54.41</v>
      </c>
      <c r="F1949" s="24">
        <v>2.02</v>
      </c>
    </row>
    <row r="1950" s="24" customFormat="1" spans="1:6">
      <c r="A1950" s="24" t="s">
        <v>142</v>
      </c>
      <c r="B1950" s="24" t="str">
        <f>"300779"</f>
        <v>300779</v>
      </c>
      <c r="C1950" s="24" t="s">
        <v>2165</v>
      </c>
      <c r="D1950" s="24" t="s">
        <v>173</v>
      </c>
      <c r="E1950" s="24">
        <v>54.25</v>
      </c>
      <c r="F1950" s="24">
        <v>4.43</v>
      </c>
    </row>
    <row r="1951" s="24" customFormat="1" spans="1:6">
      <c r="A1951" s="24" t="s">
        <v>142</v>
      </c>
      <c r="B1951" s="24" t="str">
        <f>"002905"</f>
        <v>002905</v>
      </c>
      <c r="C1951" s="24" t="s">
        <v>2166</v>
      </c>
      <c r="D1951" s="24" t="s">
        <v>170</v>
      </c>
      <c r="E1951" s="24">
        <v>54.24</v>
      </c>
      <c r="F1951" s="24">
        <v>1.82</v>
      </c>
    </row>
    <row r="1952" s="24" customFormat="1" spans="1:6">
      <c r="A1952" s="24" t="s">
        <v>140</v>
      </c>
      <c r="B1952" s="24" t="str">
        <f>"603486"</f>
        <v>603486</v>
      </c>
      <c r="C1952" s="24" t="s">
        <v>2167</v>
      </c>
      <c r="D1952" s="24" t="s">
        <v>184</v>
      </c>
      <c r="E1952" s="24">
        <v>54.24</v>
      </c>
      <c r="F1952" s="24">
        <v>5.92</v>
      </c>
    </row>
    <row r="1953" s="24" customFormat="1" spans="1:6">
      <c r="A1953" s="24" t="s">
        <v>142</v>
      </c>
      <c r="B1953" s="24" t="str">
        <f>"002582"</f>
        <v>002582</v>
      </c>
      <c r="C1953" s="24" t="s">
        <v>2168</v>
      </c>
      <c r="D1953" s="24" t="s">
        <v>190</v>
      </c>
      <c r="E1953" s="24">
        <v>54.23</v>
      </c>
      <c r="F1953" s="24">
        <v>1.74</v>
      </c>
    </row>
    <row r="1954" s="24" customFormat="1" spans="1:6">
      <c r="A1954" s="24" t="s">
        <v>142</v>
      </c>
      <c r="B1954" s="24" t="str">
        <f>"002607"</f>
        <v>002607</v>
      </c>
      <c r="C1954" s="24" t="s">
        <v>2169</v>
      </c>
      <c r="D1954" s="24" t="s">
        <v>207</v>
      </c>
      <c r="E1954" s="24">
        <v>54.08</v>
      </c>
      <c r="F1954" s="24">
        <v>44.12</v>
      </c>
    </row>
    <row r="1955" s="24" customFormat="1" spans="1:6">
      <c r="A1955" s="24" t="s">
        <v>140</v>
      </c>
      <c r="B1955" s="24" t="str">
        <f>"603010"</f>
        <v>603010</v>
      </c>
      <c r="C1955" s="24" t="s">
        <v>2170</v>
      </c>
      <c r="D1955" s="24" t="s">
        <v>228</v>
      </c>
      <c r="E1955" s="24">
        <v>54.08</v>
      </c>
      <c r="F1955" s="24">
        <v>4.29</v>
      </c>
    </row>
    <row r="1956" s="24" customFormat="1" spans="1:6">
      <c r="A1956" s="24" t="s">
        <v>140</v>
      </c>
      <c r="B1956" s="24" t="str">
        <f>"603300"</f>
        <v>603300</v>
      </c>
      <c r="C1956" s="24" t="s">
        <v>2171</v>
      </c>
      <c r="D1956" s="24" t="s">
        <v>214</v>
      </c>
      <c r="E1956" s="24">
        <v>54.04</v>
      </c>
      <c r="F1956" s="24">
        <v>2.82</v>
      </c>
    </row>
    <row r="1957" s="24" customFormat="1" spans="1:6">
      <c r="A1957" s="24" t="s">
        <v>142</v>
      </c>
      <c r="B1957" s="24" t="str">
        <f>"300260"</f>
        <v>300260</v>
      </c>
      <c r="C1957" s="24" t="s">
        <v>2172</v>
      </c>
      <c r="D1957" s="24" t="s">
        <v>165</v>
      </c>
      <c r="E1957" s="24">
        <v>54.04</v>
      </c>
      <c r="F1957" s="24">
        <v>3.7</v>
      </c>
    </row>
    <row r="1958" s="24" customFormat="1" spans="1:6">
      <c r="A1958" s="24" t="s">
        <v>140</v>
      </c>
      <c r="B1958" s="24" t="str">
        <f>"603819"</f>
        <v>603819</v>
      </c>
      <c r="C1958" s="24" t="s">
        <v>2173</v>
      </c>
      <c r="D1958" s="24" t="s">
        <v>293</v>
      </c>
      <c r="E1958" s="24">
        <v>54.04</v>
      </c>
      <c r="F1958" s="24">
        <v>2.54</v>
      </c>
    </row>
    <row r="1959" s="24" customFormat="1" spans="1:6">
      <c r="A1959" s="24" t="s">
        <v>142</v>
      </c>
      <c r="B1959" s="24" t="str">
        <f>"002588"</f>
        <v>002588</v>
      </c>
      <c r="C1959" s="24" t="s">
        <v>2174</v>
      </c>
      <c r="D1959" s="24" t="s">
        <v>278</v>
      </c>
      <c r="E1959" s="24">
        <v>53.98</v>
      </c>
      <c r="F1959" s="24">
        <v>1.13</v>
      </c>
    </row>
    <row r="1960" s="24" customFormat="1" spans="1:6">
      <c r="A1960" s="24" t="s">
        <v>140</v>
      </c>
      <c r="B1960" s="24" t="str">
        <f>"603737"</f>
        <v>603737</v>
      </c>
      <c r="C1960" s="24" t="s">
        <v>2175</v>
      </c>
      <c r="D1960" s="24" t="s">
        <v>228</v>
      </c>
      <c r="E1960" s="24">
        <v>53.92</v>
      </c>
      <c r="F1960" s="24">
        <v>11.02</v>
      </c>
    </row>
    <row r="1961" s="24" customFormat="1" spans="1:6">
      <c r="A1961" s="24" t="s">
        <v>142</v>
      </c>
      <c r="B1961" s="24" t="str">
        <f>"300149"</f>
        <v>300149</v>
      </c>
      <c r="C1961" s="24" t="s">
        <v>2176</v>
      </c>
      <c r="D1961" s="24" t="s">
        <v>190</v>
      </c>
      <c r="E1961" s="24">
        <v>53.85</v>
      </c>
      <c r="F1961" s="24">
        <v>10.47</v>
      </c>
    </row>
    <row r="1962" s="24" customFormat="1" spans="1:6">
      <c r="A1962" s="24" t="s">
        <v>142</v>
      </c>
      <c r="B1962" s="24" t="str">
        <f>"300453"</f>
        <v>300453</v>
      </c>
      <c r="C1962" s="24" t="s">
        <v>2177</v>
      </c>
      <c r="D1962" s="24" t="s">
        <v>618</v>
      </c>
      <c r="E1962" s="24">
        <v>53.68</v>
      </c>
      <c r="F1962" s="24">
        <v>4.34</v>
      </c>
    </row>
    <row r="1963" s="24" customFormat="1" spans="1:6">
      <c r="A1963" s="24" t="s">
        <v>142</v>
      </c>
      <c r="B1963" s="24" t="str">
        <f>"300812"</f>
        <v>300812</v>
      </c>
      <c r="C1963" s="24" t="s">
        <v>2178</v>
      </c>
      <c r="D1963" s="24"/>
      <c r="E1963" s="24">
        <v>53.61</v>
      </c>
      <c r="F1963" s="24">
        <v>6.55</v>
      </c>
    </row>
    <row r="1964" s="24" customFormat="1" spans="1:6">
      <c r="A1964" s="24" t="s">
        <v>142</v>
      </c>
      <c r="B1964" s="24" t="str">
        <f>"300288"</f>
        <v>300288</v>
      </c>
      <c r="C1964" s="24" t="s">
        <v>2179</v>
      </c>
      <c r="D1964" s="24" t="s">
        <v>163</v>
      </c>
      <c r="E1964" s="24">
        <v>53.46</v>
      </c>
      <c r="F1964" s="24">
        <v>5.73</v>
      </c>
    </row>
    <row r="1965" s="24" customFormat="1" spans="1:6">
      <c r="A1965" s="24" t="s">
        <v>142</v>
      </c>
      <c r="B1965" s="24" t="str">
        <f>"002389"</f>
        <v>002389</v>
      </c>
      <c r="C1965" s="24" t="s">
        <v>2180</v>
      </c>
      <c r="D1965" s="24" t="s">
        <v>395</v>
      </c>
      <c r="E1965" s="24">
        <v>53.36</v>
      </c>
      <c r="F1965" s="24">
        <v>2.04</v>
      </c>
    </row>
    <row r="1966" s="24" customFormat="1" spans="1:6">
      <c r="A1966" s="24" t="s">
        <v>142</v>
      </c>
      <c r="B1966" s="24" t="str">
        <f>"002969"</f>
        <v>002969</v>
      </c>
      <c r="C1966" s="24" t="s">
        <v>2181</v>
      </c>
      <c r="D1966" s="24" t="s">
        <v>290</v>
      </c>
      <c r="E1966" s="24">
        <v>53.33</v>
      </c>
      <c r="F1966" s="24">
        <v>4.33</v>
      </c>
    </row>
    <row r="1967" s="24" customFormat="1" spans="1:6">
      <c r="A1967" s="24" t="s">
        <v>142</v>
      </c>
      <c r="B1967" s="24" t="str">
        <f>"300798"</f>
        <v>300798</v>
      </c>
      <c r="C1967" s="24" t="s">
        <v>2182</v>
      </c>
      <c r="D1967" s="24" t="s">
        <v>228</v>
      </c>
      <c r="E1967" s="24">
        <v>53.32</v>
      </c>
      <c r="F1967" s="24">
        <v>4.44</v>
      </c>
    </row>
    <row r="1968" s="24" customFormat="1" spans="1:6">
      <c r="A1968" s="24" t="s">
        <v>142</v>
      </c>
      <c r="B1968" s="24" t="str">
        <f>"002830"</f>
        <v>002830</v>
      </c>
      <c r="C1968" s="24" t="s">
        <v>2183</v>
      </c>
      <c r="D1968" s="24" t="s">
        <v>315</v>
      </c>
      <c r="E1968" s="24">
        <v>53.32</v>
      </c>
      <c r="F1968" s="24">
        <v>2.46</v>
      </c>
    </row>
    <row r="1969" s="24" customFormat="1" spans="1:6">
      <c r="A1969" s="24" t="s">
        <v>142</v>
      </c>
      <c r="B1969" s="24" t="str">
        <f>"002837"</f>
        <v>002837</v>
      </c>
      <c r="C1969" s="24" t="s">
        <v>2184</v>
      </c>
      <c r="D1969" s="24" t="s">
        <v>173</v>
      </c>
      <c r="E1969" s="24">
        <v>53.31</v>
      </c>
      <c r="F1969" s="24">
        <v>6.24</v>
      </c>
    </row>
    <row r="1970" s="24" customFormat="1" spans="1:6">
      <c r="A1970" s="24" t="s">
        <v>142</v>
      </c>
      <c r="B1970" s="24" t="str">
        <f>"002907"</f>
        <v>002907</v>
      </c>
      <c r="C1970" s="24" t="s">
        <v>2185</v>
      </c>
      <c r="D1970" s="24" t="s">
        <v>464</v>
      </c>
      <c r="E1970" s="24">
        <v>53.3</v>
      </c>
      <c r="F1970" s="24">
        <v>7.49</v>
      </c>
    </row>
    <row r="1971" s="24" customFormat="1" spans="1:6">
      <c r="A1971" s="24" t="s">
        <v>140</v>
      </c>
      <c r="B1971" s="24" t="str">
        <f>"603027"</f>
        <v>603027</v>
      </c>
      <c r="C1971" s="24" t="s">
        <v>2186</v>
      </c>
      <c r="D1971" s="24" t="s">
        <v>190</v>
      </c>
      <c r="E1971" s="24">
        <v>53.22</v>
      </c>
      <c r="F1971" s="24">
        <v>7.05</v>
      </c>
    </row>
    <row r="1972" s="24" customFormat="1" spans="1:6">
      <c r="A1972" s="24" t="s">
        <v>140</v>
      </c>
      <c r="B1972" s="24" t="str">
        <f>"603601"</f>
        <v>603601</v>
      </c>
      <c r="C1972" s="24" t="s">
        <v>2187</v>
      </c>
      <c r="D1972" s="24" t="s">
        <v>644</v>
      </c>
      <c r="E1972" s="24">
        <v>53.2</v>
      </c>
      <c r="F1972" s="24">
        <v>7.07</v>
      </c>
    </row>
    <row r="1973" s="24" customFormat="1" spans="1:6">
      <c r="A1973" s="24" t="s">
        <v>142</v>
      </c>
      <c r="B1973" s="24" t="str">
        <f>"300099"</f>
        <v>300099</v>
      </c>
      <c r="C1973" s="24" t="s">
        <v>2188</v>
      </c>
      <c r="D1973" s="24" t="s">
        <v>173</v>
      </c>
      <c r="E1973" s="24">
        <v>53.19</v>
      </c>
      <c r="F1973" s="24">
        <v>3.45</v>
      </c>
    </row>
    <row r="1974" s="24" customFormat="1" spans="1:6">
      <c r="A1974" s="24" t="s">
        <v>142</v>
      </c>
      <c r="B1974" s="24" t="str">
        <f>"300527"</f>
        <v>300527</v>
      </c>
      <c r="C1974" s="24" t="s">
        <v>2189</v>
      </c>
      <c r="D1974" s="24" t="s">
        <v>173</v>
      </c>
      <c r="E1974" s="24">
        <v>53.12</v>
      </c>
      <c r="F1974" s="24">
        <v>4.4</v>
      </c>
    </row>
    <row r="1975" s="24" customFormat="1" spans="1:6">
      <c r="A1975" s="24" t="s">
        <v>142</v>
      </c>
      <c r="B1975" s="24" t="str">
        <f>"300802"</f>
        <v>300802</v>
      </c>
      <c r="C1975" s="24" t="s">
        <v>2190</v>
      </c>
      <c r="D1975" s="24" t="s">
        <v>152</v>
      </c>
      <c r="E1975" s="24">
        <v>52.97</v>
      </c>
      <c r="F1975" s="24">
        <v>4.95</v>
      </c>
    </row>
    <row r="1976" s="24" customFormat="1" spans="1:6">
      <c r="A1976" s="24" t="s">
        <v>140</v>
      </c>
      <c r="B1976" s="24" t="str">
        <f>"600857"</f>
        <v>600857</v>
      </c>
      <c r="C1976" s="24" t="s">
        <v>2191</v>
      </c>
      <c r="D1976" s="24" t="s">
        <v>148</v>
      </c>
      <c r="E1976" s="24">
        <v>52.92</v>
      </c>
      <c r="F1976" s="24">
        <v>4.29</v>
      </c>
    </row>
    <row r="1977" s="24" customFormat="1" spans="1:6">
      <c r="A1977" s="24" t="s">
        <v>142</v>
      </c>
      <c r="B1977" s="24" t="str">
        <f>"000976"</f>
        <v>000976</v>
      </c>
      <c r="C1977" s="24" t="s">
        <v>2192</v>
      </c>
      <c r="D1977" s="24" t="s">
        <v>173</v>
      </c>
      <c r="E1977" s="24">
        <v>52.81</v>
      </c>
      <c r="F1977" s="24">
        <v>4.02</v>
      </c>
    </row>
    <row r="1978" s="24" customFormat="1" spans="1:6">
      <c r="A1978" s="24" t="s">
        <v>142</v>
      </c>
      <c r="B1978" s="24" t="str">
        <f>"300338"</f>
        <v>300338</v>
      </c>
      <c r="C1978" s="24" t="s">
        <v>2193</v>
      </c>
      <c r="D1978" s="24" t="s">
        <v>467</v>
      </c>
      <c r="E1978" s="24">
        <v>52.7</v>
      </c>
      <c r="F1978" s="24">
        <v>4.23</v>
      </c>
    </row>
    <row r="1979" s="24" customFormat="1" spans="1:6">
      <c r="A1979" s="24" t="s">
        <v>140</v>
      </c>
      <c r="B1979" s="24" t="str">
        <f>"600336"</f>
        <v>600336</v>
      </c>
      <c r="C1979" s="24" t="s">
        <v>2194</v>
      </c>
      <c r="D1979" s="24" t="s">
        <v>184</v>
      </c>
      <c r="E1979" s="24">
        <v>52.57</v>
      </c>
      <c r="F1979" s="24">
        <v>1.9</v>
      </c>
    </row>
    <row r="1980" s="24" customFormat="1" spans="1:6">
      <c r="A1980" s="24" t="s">
        <v>142</v>
      </c>
      <c r="B1980" s="24" t="str">
        <f>"300639"</f>
        <v>300639</v>
      </c>
      <c r="C1980" s="24" t="s">
        <v>2195</v>
      </c>
      <c r="D1980" s="24" t="s">
        <v>326</v>
      </c>
      <c r="E1980" s="24">
        <v>52.53</v>
      </c>
      <c r="F1980" s="24">
        <v>6.43</v>
      </c>
    </row>
    <row r="1981" s="24" customFormat="1" spans="1:6">
      <c r="A1981" s="24" t="s">
        <v>140</v>
      </c>
      <c r="B1981" s="24" t="str">
        <f>"603258"</f>
        <v>603258</v>
      </c>
      <c r="C1981" s="24" t="s">
        <v>2196</v>
      </c>
      <c r="D1981" s="24" t="s">
        <v>163</v>
      </c>
      <c r="E1981" s="24">
        <v>52.52</v>
      </c>
      <c r="F1981" s="24">
        <v>5.08</v>
      </c>
    </row>
    <row r="1982" s="24" customFormat="1" spans="1:6">
      <c r="A1982" s="24" t="s">
        <v>142</v>
      </c>
      <c r="B1982" s="24" t="str">
        <f>"300514"</f>
        <v>300514</v>
      </c>
      <c r="C1982" s="24" t="s">
        <v>2197</v>
      </c>
      <c r="D1982" s="24" t="s">
        <v>152</v>
      </c>
      <c r="E1982" s="24">
        <v>52.44</v>
      </c>
      <c r="F1982" s="24">
        <v>4.36</v>
      </c>
    </row>
    <row r="1983" s="24" customFormat="1" spans="1:6">
      <c r="A1983" s="24" t="s">
        <v>142</v>
      </c>
      <c r="B1983" s="24" t="str">
        <f>"300394"</f>
        <v>300394</v>
      </c>
      <c r="C1983" s="24" t="s">
        <v>2198</v>
      </c>
      <c r="D1983" s="24" t="s">
        <v>193</v>
      </c>
      <c r="E1983" s="24">
        <v>52.41</v>
      </c>
      <c r="F1983" s="24">
        <v>7.21</v>
      </c>
    </row>
    <row r="1984" s="24" customFormat="1" spans="1:6">
      <c r="A1984" s="24" t="s">
        <v>140</v>
      </c>
      <c r="B1984" s="24" t="str">
        <f>"601066"</f>
        <v>601066</v>
      </c>
      <c r="C1984" s="24" t="s">
        <v>2199</v>
      </c>
      <c r="D1984" s="24" t="s">
        <v>714</v>
      </c>
      <c r="E1984" s="24">
        <v>52.39</v>
      </c>
      <c r="F1984" s="24">
        <v>5.43</v>
      </c>
    </row>
    <row r="1985" s="24" customFormat="1" spans="1:6">
      <c r="A1985" s="24" t="s">
        <v>142</v>
      </c>
      <c r="B1985" s="24" t="str">
        <f>"002218"</f>
        <v>002218</v>
      </c>
      <c r="C1985" s="24" t="s">
        <v>2200</v>
      </c>
      <c r="D1985" s="24" t="s">
        <v>276</v>
      </c>
      <c r="E1985" s="24">
        <v>52.39</v>
      </c>
      <c r="F1985" s="24">
        <v>1.36</v>
      </c>
    </row>
    <row r="1986" s="24" customFormat="1" spans="1:6">
      <c r="A1986" s="24" t="s">
        <v>142</v>
      </c>
      <c r="B1986" s="24" t="str">
        <f>"300109"</f>
        <v>300109</v>
      </c>
      <c r="C1986" s="24" t="s">
        <v>2201</v>
      </c>
      <c r="D1986" s="24" t="s">
        <v>228</v>
      </c>
      <c r="E1986" s="24">
        <v>52.34</v>
      </c>
      <c r="F1986" s="24">
        <v>6.4</v>
      </c>
    </row>
    <row r="1987" s="24" customFormat="1" spans="1:6">
      <c r="A1987" s="24" t="s">
        <v>140</v>
      </c>
      <c r="B1987" s="24" t="str">
        <f>"603893"</f>
        <v>603893</v>
      </c>
      <c r="C1987" s="24" t="s">
        <v>2202</v>
      </c>
      <c r="D1987" s="24"/>
      <c r="E1987" s="24">
        <v>52.26</v>
      </c>
      <c r="F1987" s="24">
        <v>4.12</v>
      </c>
    </row>
    <row r="1988" s="24" customFormat="1" spans="1:6">
      <c r="A1988" s="24" t="s">
        <v>142</v>
      </c>
      <c r="B1988" s="24" t="str">
        <f>"000838"</f>
        <v>000838</v>
      </c>
      <c r="C1988" s="24" t="s">
        <v>2203</v>
      </c>
      <c r="D1988" s="24" t="s">
        <v>244</v>
      </c>
      <c r="E1988" s="24">
        <v>52.16</v>
      </c>
      <c r="F1988" s="24">
        <v>1.64</v>
      </c>
    </row>
    <row r="1989" s="24" customFormat="1" spans="1:6">
      <c r="A1989" s="24" t="s">
        <v>142</v>
      </c>
      <c r="B1989" s="24" t="str">
        <f>"002402"</f>
        <v>002402</v>
      </c>
      <c r="C1989" s="24" t="s">
        <v>2204</v>
      </c>
      <c r="D1989" s="24" t="s">
        <v>152</v>
      </c>
      <c r="E1989" s="24">
        <v>52.07</v>
      </c>
      <c r="F1989" s="24">
        <v>10.67</v>
      </c>
    </row>
    <row r="1990" s="24" customFormat="1" spans="1:6">
      <c r="A1990" s="24" t="s">
        <v>142</v>
      </c>
      <c r="B1990" s="24" t="str">
        <f>"300075"</f>
        <v>300075</v>
      </c>
      <c r="C1990" s="24" t="s">
        <v>2205</v>
      </c>
      <c r="D1990" s="24" t="s">
        <v>156</v>
      </c>
      <c r="E1990" s="24">
        <v>52.05</v>
      </c>
      <c r="F1990" s="24">
        <v>3.3</v>
      </c>
    </row>
    <row r="1991" s="24" customFormat="1" spans="1:6">
      <c r="A1991" s="24" t="s">
        <v>142</v>
      </c>
      <c r="B1991" s="24" t="str">
        <f>"002063"</f>
        <v>002063</v>
      </c>
      <c r="C1991" s="24" t="s">
        <v>2206</v>
      </c>
      <c r="D1991" s="24" t="s">
        <v>156</v>
      </c>
      <c r="E1991" s="24">
        <v>51.99</v>
      </c>
      <c r="F1991" s="24">
        <v>3.99</v>
      </c>
    </row>
    <row r="1992" s="24" customFormat="1" spans="1:6">
      <c r="A1992" s="24" t="s">
        <v>142</v>
      </c>
      <c r="B1992" s="24" t="str">
        <f>"000534"</f>
        <v>000534</v>
      </c>
      <c r="C1992" s="24" t="s">
        <v>2207</v>
      </c>
      <c r="D1992" s="24" t="s">
        <v>244</v>
      </c>
      <c r="E1992" s="24">
        <v>51.98</v>
      </c>
      <c r="F1992" s="24">
        <v>4.24</v>
      </c>
    </row>
    <row r="1993" s="24" customFormat="1" spans="1:6">
      <c r="A1993" s="24" t="s">
        <v>140</v>
      </c>
      <c r="B1993" s="24" t="str">
        <f>"603121"</f>
        <v>603121</v>
      </c>
      <c r="C1993" s="24" t="s">
        <v>2208</v>
      </c>
      <c r="D1993" s="24" t="s">
        <v>204</v>
      </c>
      <c r="E1993" s="24">
        <v>51.92</v>
      </c>
      <c r="F1993" s="24">
        <v>3.6</v>
      </c>
    </row>
    <row r="1994" s="24" customFormat="1" spans="1:6">
      <c r="A1994" s="24" t="s">
        <v>142</v>
      </c>
      <c r="B1994" s="24" t="str">
        <f>"300628"</f>
        <v>300628</v>
      </c>
      <c r="C1994" s="24" t="s">
        <v>2209</v>
      </c>
      <c r="D1994" s="24" t="s">
        <v>193</v>
      </c>
      <c r="E1994" s="24">
        <v>51.84</v>
      </c>
      <c r="F1994" s="24">
        <v>13.38</v>
      </c>
    </row>
    <row r="1995" s="24" customFormat="1" spans="1:6">
      <c r="A1995" s="24" t="s">
        <v>140</v>
      </c>
      <c r="B1995" s="24" t="str">
        <f>"600529"</f>
        <v>600529</v>
      </c>
      <c r="C1995" s="24" t="s">
        <v>2210</v>
      </c>
      <c r="D1995" s="24" t="s">
        <v>290</v>
      </c>
      <c r="E1995" s="24">
        <v>51.73</v>
      </c>
      <c r="F1995" s="24">
        <v>5.74</v>
      </c>
    </row>
    <row r="1996" s="24" customFormat="1" spans="1:6">
      <c r="A1996" s="24" t="s">
        <v>142</v>
      </c>
      <c r="B1996" s="24" t="str">
        <f>"300412"</f>
        <v>300412</v>
      </c>
      <c r="C1996" s="24" t="s">
        <v>2211</v>
      </c>
      <c r="D1996" s="24" t="s">
        <v>173</v>
      </c>
      <c r="E1996" s="24">
        <v>51.73</v>
      </c>
      <c r="F1996" s="24">
        <v>2.58</v>
      </c>
    </row>
    <row r="1997" s="24" customFormat="1" spans="1:6">
      <c r="A1997" s="24" t="s">
        <v>140</v>
      </c>
      <c r="B1997" s="24" t="str">
        <f>"601388"</f>
        <v>601388</v>
      </c>
      <c r="C1997" s="24" t="s">
        <v>2212</v>
      </c>
      <c r="D1997" s="24" t="s">
        <v>167</v>
      </c>
      <c r="E1997" s="24">
        <v>51.72</v>
      </c>
      <c r="F1997" s="24">
        <v>1.29</v>
      </c>
    </row>
    <row r="1998" s="24" customFormat="1" spans="1:6">
      <c r="A1998" s="24" t="s">
        <v>140</v>
      </c>
      <c r="B1998" s="24" t="str">
        <f>"603696"</f>
        <v>603696</v>
      </c>
      <c r="C1998" s="24" t="s">
        <v>2213</v>
      </c>
      <c r="D1998" s="24" t="s">
        <v>190</v>
      </c>
      <c r="E1998" s="24">
        <v>51.69</v>
      </c>
      <c r="F1998" s="24">
        <v>3.1</v>
      </c>
    </row>
    <row r="1999" s="24" customFormat="1" spans="1:6">
      <c r="A1999" s="24" t="s">
        <v>142</v>
      </c>
      <c r="B1999" s="24" t="str">
        <f>"300763"</f>
        <v>300763</v>
      </c>
      <c r="C1999" s="24" t="s">
        <v>2214</v>
      </c>
      <c r="D1999" s="24" t="s">
        <v>251</v>
      </c>
      <c r="E1999" s="24">
        <v>51.67</v>
      </c>
      <c r="F1999" s="24">
        <v>6.08</v>
      </c>
    </row>
    <row r="2000" s="24" customFormat="1" spans="1:6">
      <c r="A2000" s="24" t="s">
        <v>142</v>
      </c>
      <c r="B2000" s="24" t="str">
        <f>"300767"</f>
        <v>300767</v>
      </c>
      <c r="C2000" s="24" t="s">
        <v>2215</v>
      </c>
      <c r="D2000" s="24" t="s">
        <v>573</v>
      </c>
      <c r="E2000" s="24">
        <v>51.62</v>
      </c>
      <c r="F2000" s="24">
        <v>5.23</v>
      </c>
    </row>
    <row r="2001" s="24" customFormat="1" spans="1:6">
      <c r="A2001" s="24" t="s">
        <v>140</v>
      </c>
      <c r="B2001" s="24" t="str">
        <f>"688033"</f>
        <v>688033</v>
      </c>
      <c r="C2001" s="24" t="s">
        <v>2216</v>
      </c>
      <c r="D2001" s="24" t="s">
        <v>165</v>
      </c>
      <c r="E2001" s="24">
        <v>51.61</v>
      </c>
      <c r="F2001" s="24">
        <v>5.9</v>
      </c>
    </row>
    <row r="2002" s="24" customFormat="1" spans="1:6">
      <c r="A2002" s="24" t="s">
        <v>140</v>
      </c>
      <c r="B2002" s="24" t="str">
        <f>"601865"</f>
        <v>601865</v>
      </c>
      <c r="C2002" s="24" t="s">
        <v>2217</v>
      </c>
      <c r="D2002" s="24" t="s">
        <v>644</v>
      </c>
      <c r="E2002" s="24">
        <v>51.6</v>
      </c>
      <c r="F2002" s="24">
        <v>6.87</v>
      </c>
    </row>
    <row r="2003" s="24" customFormat="1" spans="1:6">
      <c r="A2003" s="24" t="s">
        <v>140</v>
      </c>
      <c r="B2003" s="24" t="str">
        <f>"601968"</f>
        <v>601968</v>
      </c>
      <c r="C2003" s="24" t="s">
        <v>2218</v>
      </c>
      <c r="D2003" s="24" t="s">
        <v>290</v>
      </c>
      <c r="E2003" s="24">
        <v>51.57</v>
      </c>
      <c r="F2003" s="24">
        <v>1.73</v>
      </c>
    </row>
    <row r="2004" s="24" customFormat="1" spans="1:6">
      <c r="A2004" s="24" t="s">
        <v>142</v>
      </c>
      <c r="B2004" s="24" t="str">
        <f>"300457"</f>
        <v>300457</v>
      </c>
      <c r="C2004" s="24" t="s">
        <v>2219</v>
      </c>
      <c r="D2004" s="24" t="s">
        <v>173</v>
      </c>
      <c r="E2004" s="24">
        <v>51.5</v>
      </c>
      <c r="F2004" s="24">
        <v>6.1</v>
      </c>
    </row>
    <row r="2005" s="24" customFormat="1" spans="1:6">
      <c r="A2005" s="24" t="s">
        <v>142</v>
      </c>
      <c r="B2005" s="24" t="str">
        <f>"000861"</f>
        <v>000861</v>
      </c>
      <c r="C2005" s="24" t="s">
        <v>2220</v>
      </c>
      <c r="D2005" s="24" t="s">
        <v>623</v>
      </c>
      <c r="E2005" s="24">
        <v>51.44</v>
      </c>
      <c r="F2005" s="24">
        <v>1.51</v>
      </c>
    </row>
    <row r="2006" s="24" customFormat="1" spans="1:6">
      <c r="A2006" s="24" t="s">
        <v>142</v>
      </c>
      <c r="B2006" s="24" t="str">
        <f>"000096"</f>
        <v>000096</v>
      </c>
      <c r="C2006" s="24" t="s">
        <v>2221</v>
      </c>
      <c r="D2006" s="24" t="s">
        <v>246</v>
      </c>
      <c r="E2006" s="24">
        <v>51.41</v>
      </c>
      <c r="F2006" s="24">
        <v>2.39</v>
      </c>
    </row>
    <row r="2007" s="24" customFormat="1" spans="1:6">
      <c r="A2007" s="24" t="s">
        <v>142</v>
      </c>
      <c r="B2007" s="24" t="str">
        <f>"300014"</f>
        <v>300014</v>
      </c>
      <c r="C2007" s="24" t="s">
        <v>2222</v>
      </c>
      <c r="D2007" s="24" t="s">
        <v>152</v>
      </c>
      <c r="E2007" s="24">
        <v>51.32</v>
      </c>
      <c r="F2007" s="24">
        <v>9.51</v>
      </c>
    </row>
    <row r="2008" s="24" customFormat="1" spans="1:6">
      <c r="A2008" s="24" t="s">
        <v>140</v>
      </c>
      <c r="B2008" s="24" t="str">
        <f>"600055"</f>
        <v>600055</v>
      </c>
      <c r="C2008" s="24" t="s">
        <v>2223</v>
      </c>
      <c r="D2008" s="24" t="s">
        <v>618</v>
      </c>
      <c r="E2008" s="24">
        <v>51.3</v>
      </c>
      <c r="F2008" s="24">
        <v>3.56</v>
      </c>
    </row>
    <row r="2009" s="24" customFormat="1" spans="1:6">
      <c r="A2009" s="24" t="s">
        <v>142</v>
      </c>
      <c r="B2009" s="24" t="str">
        <f>"300248"</f>
        <v>300248</v>
      </c>
      <c r="C2009" s="24" t="s">
        <v>2224</v>
      </c>
      <c r="D2009" s="24" t="s">
        <v>152</v>
      </c>
      <c r="E2009" s="24">
        <v>51.27</v>
      </c>
      <c r="F2009" s="24">
        <v>5.17</v>
      </c>
    </row>
    <row r="2010" s="24" customFormat="1" spans="1:6">
      <c r="A2010" s="24" t="s">
        <v>142</v>
      </c>
      <c r="B2010" s="24" t="str">
        <f>"002968"</f>
        <v>002968</v>
      </c>
      <c r="C2010" s="24" t="s">
        <v>2225</v>
      </c>
      <c r="D2010" s="24" t="s">
        <v>1058</v>
      </c>
      <c r="E2010" s="24">
        <v>51.24</v>
      </c>
      <c r="F2010" s="24">
        <v>6.1</v>
      </c>
    </row>
    <row r="2011" s="24" customFormat="1" spans="1:6">
      <c r="A2011" s="24" t="s">
        <v>140</v>
      </c>
      <c r="B2011" s="24" t="str">
        <f>"600811"</f>
        <v>600811</v>
      </c>
      <c r="C2011" s="24" t="s">
        <v>2226</v>
      </c>
      <c r="D2011" s="24" t="s">
        <v>506</v>
      </c>
      <c r="E2011" s="24">
        <v>51.22</v>
      </c>
      <c r="F2011" s="24">
        <v>0.56</v>
      </c>
    </row>
    <row r="2012" s="24" customFormat="1" spans="1:6">
      <c r="A2012" s="24" t="s">
        <v>142</v>
      </c>
      <c r="B2012" s="24" t="str">
        <f>"300634"</f>
        <v>300634</v>
      </c>
      <c r="C2012" s="24" t="s">
        <v>2227</v>
      </c>
      <c r="D2012" s="24" t="s">
        <v>159</v>
      </c>
      <c r="E2012" s="24">
        <v>51.21</v>
      </c>
      <c r="F2012" s="24">
        <v>5.94</v>
      </c>
    </row>
    <row r="2013" s="24" customFormat="1" spans="1:6">
      <c r="A2013" s="24" t="s">
        <v>142</v>
      </c>
      <c r="B2013" s="24" t="str">
        <f>"002791"</f>
        <v>002791</v>
      </c>
      <c r="C2013" s="24" t="s">
        <v>2228</v>
      </c>
      <c r="D2013" s="24" t="s">
        <v>667</v>
      </c>
      <c r="E2013" s="24">
        <v>51.17</v>
      </c>
      <c r="F2013" s="24">
        <v>5.41</v>
      </c>
    </row>
    <row r="2014" s="24" customFormat="1" spans="1:6">
      <c r="A2014" s="24" t="s">
        <v>142</v>
      </c>
      <c r="B2014" s="24" t="str">
        <f>"300807"</f>
        <v>300807</v>
      </c>
      <c r="C2014" s="24" t="s">
        <v>2229</v>
      </c>
      <c r="D2014" s="24" t="s">
        <v>152</v>
      </c>
      <c r="E2014" s="24">
        <v>51.11</v>
      </c>
      <c r="F2014" s="24">
        <v>4.92</v>
      </c>
    </row>
    <row r="2015" s="24" customFormat="1" spans="1:6">
      <c r="A2015" s="24" t="s">
        <v>140</v>
      </c>
      <c r="B2015" s="24" t="str">
        <f>"603311"</f>
        <v>603311</v>
      </c>
      <c r="C2015" s="24" t="s">
        <v>2230</v>
      </c>
      <c r="D2015" s="24" t="s">
        <v>173</v>
      </c>
      <c r="E2015" s="24">
        <v>51.08</v>
      </c>
      <c r="F2015" s="24">
        <v>3.62</v>
      </c>
    </row>
    <row r="2016" s="24" customFormat="1" spans="1:6">
      <c r="A2016" s="24" t="s">
        <v>140</v>
      </c>
      <c r="B2016" s="24" t="str">
        <f>"600888"</f>
        <v>600888</v>
      </c>
      <c r="C2016" s="24" t="s">
        <v>2231</v>
      </c>
      <c r="D2016" s="24" t="s">
        <v>167</v>
      </c>
      <c r="E2016" s="24">
        <v>50.98</v>
      </c>
      <c r="F2016" s="24">
        <v>0.96</v>
      </c>
    </row>
    <row r="2017" s="24" customFormat="1" spans="1:6">
      <c r="A2017" s="24" t="s">
        <v>142</v>
      </c>
      <c r="B2017" s="24" t="str">
        <f>"300609"</f>
        <v>300609</v>
      </c>
      <c r="C2017" s="24" t="s">
        <v>2232</v>
      </c>
      <c r="D2017" s="24" t="s">
        <v>159</v>
      </c>
      <c r="E2017" s="24">
        <v>50.91</v>
      </c>
      <c r="F2017" s="24">
        <v>7.15</v>
      </c>
    </row>
    <row r="2018" s="24" customFormat="1" spans="1:6">
      <c r="A2018" s="24" t="s">
        <v>142</v>
      </c>
      <c r="B2018" s="24" t="str">
        <f>"002800"</f>
        <v>002800</v>
      </c>
      <c r="C2018" s="24" t="s">
        <v>2233</v>
      </c>
      <c r="D2018" s="24" t="s">
        <v>177</v>
      </c>
      <c r="E2018" s="24">
        <v>50.73</v>
      </c>
      <c r="F2018" s="24">
        <v>3.74</v>
      </c>
    </row>
    <row r="2019" s="24" customFormat="1" spans="1:6">
      <c r="A2019" s="24" t="s">
        <v>142</v>
      </c>
      <c r="B2019" s="24" t="str">
        <f>"002057"</f>
        <v>002057</v>
      </c>
      <c r="C2019" s="24" t="s">
        <v>2234</v>
      </c>
      <c r="D2019" s="24" t="s">
        <v>228</v>
      </c>
      <c r="E2019" s="24">
        <v>50.68</v>
      </c>
      <c r="F2019" s="24">
        <v>3.11</v>
      </c>
    </row>
    <row r="2020" s="24" customFormat="1" spans="1:6">
      <c r="A2020" s="24" t="s">
        <v>142</v>
      </c>
      <c r="B2020" s="24" t="str">
        <f>"300321"</f>
        <v>300321</v>
      </c>
      <c r="C2020" s="24" t="s">
        <v>2235</v>
      </c>
      <c r="D2020" s="24" t="s">
        <v>302</v>
      </c>
      <c r="E2020" s="24">
        <v>50.66</v>
      </c>
      <c r="F2020" s="24">
        <v>2.46</v>
      </c>
    </row>
    <row r="2021" s="24" customFormat="1" spans="1:6">
      <c r="A2021" s="24" t="s">
        <v>140</v>
      </c>
      <c r="B2021" s="24" t="str">
        <f>"603901"</f>
        <v>603901</v>
      </c>
      <c r="C2021" s="24" t="s">
        <v>2236</v>
      </c>
      <c r="D2021" s="24" t="s">
        <v>173</v>
      </c>
      <c r="E2021" s="24">
        <v>50.65</v>
      </c>
      <c r="F2021" s="24">
        <v>3.63</v>
      </c>
    </row>
    <row r="2022" s="24" customFormat="1" spans="1:6">
      <c r="A2022" s="24" t="s">
        <v>142</v>
      </c>
      <c r="B2022" s="24" t="str">
        <f>"002125"</f>
        <v>002125</v>
      </c>
      <c r="C2022" s="24" t="s">
        <v>2237</v>
      </c>
      <c r="D2022" s="24" t="s">
        <v>256</v>
      </c>
      <c r="E2022" s="24">
        <v>50.63</v>
      </c>
      <c r="F2022" s="24">
        <v>3.54</v>
      </c>
    </row>
    <row r="2023" s="24" customFormat="1" spans="1:6">
      <c r="A2023" s="24" t="s">
        <v>142</v>
      </c>
      <c r="B2023" s="24" t="str">
        <f>"300073"</f>
        <v>300073</v>
      </c>
      <c r="C2023" s="24" t="s">
        <v>2238</v>
      </c>
      <c r="D2023" s="24" t="s">
        <v>256</v>
      </c>
      <c r="E2023" s="24">
        <v>50.6</v>
      </c>
      <c r="F2023" s="24">
        <v>4.89</v>
      </c>
    </row>
    <row r="2024" s="24" customFormat="1" spans="1:6">
      <c r="A2024" s="24" t="s">
        <v>142</v>
      </c>
      <c r="B2024" s="24" t="str">
        <f>"300377"</f>
        <v>300377</v>
      </c>
      <c r="C2024" s="24" t="s">
        <v>2239</v>
      </c>
      <c r="D2024" s="24" t="s">
        <v>813</v>
      </c>
      <c r="E2024" s="24">
        <v>50.59</v>
      </c>
      <c r="F2024" s="24">
        <v>3</v>
      </c>
    </row>
    <row r="2025" s="24" customFormat="1" spans="1:6">
      <c r="A2025" s="24" t="s">
        <v>142</v>
      </c>
      <c r="B2025" s="24" t="str">
        <f>"002857"</f>
        <v>002857</v>
      </c>
      <c r="C2025" s="24" t="s">
        <v>2240</v>
      </c>
      <c r="D2025" s="24" t="s">
        <v>251</v>
      </c>
      <c r="E2025" s="24">
        <v>50.55</v>
      </c>
      <c r="F2025" s="24">
        <v>3.01</v>
      </c>
    </row>
    <row r="2026" s="24" customFormat="1" spans="1:6">
      <c r="A2026" s="24" t="s">
        <v>140</v>
      </c>
      <c r="B2026" s="24" t="str">
        <f>"600379"</f>
        <v>600379</v>
      </c>
      <c r="C2026" s="24" t="s">
        <v>2241</v>
      </c>
      <c r="D2026" s="24" t="s">
        <v>251</v>
      </c>
      <c r="E2026" s="24">
        <v>50.53</v>
      </c>
      <c r="F2026" s="24">
        <v>3.13</v>
      </c>
    </row>
    <row r="2027" s="24" customFormat="1" spans="1:6">
      <c r="A2027" s="24" t="s">
        <v>142</v>
      </c>
      <c r="B2027" s="24" t="str">
        <f>"300285"</f>
        <v>300285</v>
      </c>
      <c r="C2027" s="24" t="s">
        <v>2242</v>
      </c>
      <c r="D2027" s="24" t="s">
        <v>256</v>
      </c>
      <c r="E2027" s="24">
        <v>50.44</v>
      </c>
      <c r="F2027" s="24">
        <v>12</v>
      </c>
    </row>
    <row r="2028" s="24" customFormat="1" spans="1:6">
      <c r="A2028" s="24" t="s">
        <v>142</v>
      </c>
      <c r="B2028" s="24" t="str">
        <f>"000901"</f>
        <v>000901</v>
      </c>
      <c r="C2028" s="24" t="s">
        <v>2243</v>
      </c>
      <c r="D2028" s="24" t="s">
        <v>395</v>
      </c>
      <c r="E2028" s="24">
        <v>50.36</v>
      </c>
      <c r="F2028" s="24">
        <v>2.25</v>
      </c>
    </row>
    <row r="2029" s="24" customFormat="1" spans="1:6">
      <c r="A2029" s="24" t="s">
        <v>142</v>
      </c>
      <c r="B2029" s="24" t="str">
        <f>"300619"</f>
        <v>300619</v>
      </c>
      <c r="C2029" s="24" t="s">
        <v>2244</v>
      </c>
      <c r="D2029" s="24" t="s">
        <v>173</v>
      </c>
      <c r="E2029" s="24">
        <v>50.26</v>
      </c>
      <c r="F2029" s="24">
        <v>3.69</v>
      </c>
    </row>
    <row r="2030" s="24" customFormat="1" spans="1:6">
      <c r="A2030" s="24" t="s">
        <v>140</v>
      </c>
      <c r="B2030" s="24" t="str">
        <f>"603861"</f>
        <v>603861</v>
      </c>
      <c r="C2030" s="24" t="s">
        <v>2245</v>
      </c>
      <c r="D2030" s="24" t="s">
        <v>251</v>
      </c>
      <c r="E2030" s="24">
        <v>50.25</v>
      </c>
      <c r="F2030" s="24">
        <v>1.47</v>
      </c>
    </row>
    <row r="2031" s="24" customFormat="1" spans="1:6">
      <c r="A2031" s="24" t="s">
        <v>142</v>
      </c>
      <c r="B2031" s="24" t="str">
        <f>"300705"</f>
        <v>300705</v>
      </c>
      <c r="C2031" s="24" t="s">
        <v>2246</v>
      </c>
      <c r="D2031" s="24" t="s">
        <v>464</v>
      </c>
      <c r="E2031" s="24">
        <v>50.25</v>
      </c>
      <c r="F2031" s="24">
        <v>4.15</v>
      </c>
    </row>
    <row r="2032" s="24" customFormat="1" spans="1:6">
      <c r="A2032" s="24" t="s">
        <v>142</v>
      </c>
      <c r="B2032" s="24" t="str">
        <f>"002328"</f>
        <v>002328</v>
      </c>
      <c r="C2032" s="24" t="s">
        <v>2247</v>
      </c>
      <c r="D2032" s="24" t="s">
        <v>204</v>
      </c>
      <c r="E2032" s="24">
        <v>50.23</v>
      </c>
      <c r="F2032" s="24">
        <v>1.68</v>
      </c>
    </row>
    <row r="2033" s="24" customFormat="1" spans="1:6">
      <c r="A2033" s="24" t="s">
        <v>140</v>
      </c>
      <c r="B2033" s="24" t="str">
        <f>"600215"</f>
        <v>600215</v>
      </c>
      <c r="C2033" s="24" t="s">
        <v>2248</v>
      </c>
      <c r="D2033" s="24" t="s">
        <v>1076</v>
      </c>
      <c r="E2033" s="24">
        <v>50.21</v>
      </c>
      <c r="F2033" s="24">
        <v>1.79</v>
      </c>
    </row>
    <row r="2034" s="24" customFormat="1" spans="1:6">
      <c r="A2034" s="24" t="s">
        <v>140</v>
      </c>
      <c r="B2034" s="24" t="str">
        <f>"603896"</f>
        <v>603896</v>
      </c>
      <c r="C2034" s="24" t="s">
        <v>2249</v>
      </c>
      <c r="D2034" s="24" t="s">
        <v>388</v>
      </c>
      <c r="E2034" s="24">
        <v>50.21</v>
      </c>
      <c r="F2034" s="24">
        <v>3.94</v>
      </c>
    </row>
    <row r="2035" s="24" customFormat="1" spans="1:6">
      <c r="A2035" s="24" t="s">
        <v>140</v>
      </c>
      <c r="B2035" s="24" t="str">
        <f>"600676"</f>
        <v>600676</v>
      </c>
      <c r="C2035" s="24" t="s">
        <v>2250</v>
      </c>
      <c r="D2035" s="24" t="s">
        <v>204</v>
      </c>
      <c r="E2035" s="24">
        <v>50.21</v>
      </c>
      <c r="F2035" s="24">
        <v>0.69</v>
      </c>
    </row>
    <row r="2036" s="24" customFormat="1" spans="1:6">
      <c r="A2036" s="24" t="s">
        <v>140</v>
      </c>
      <c r="B2036" s="24" t="str">
        <f>"603918"</f>
        <v>603918</v>
      </c>
      <c r="C2036" s="24" t="s">
        <v>2251</v>
      </c>
      <c r="D2036" s="24" t="s">
        <v>159</v>
      </c>
      <c r="E2036" s="24">
        <v>50.19</v>
      </c>
      <c r="F2036" s="24">
        <v>4.2</v>
      </c>
    </row>
    <row r="2037" s="24" customFormat="1" spans="1:6">
      <c r="A2037" s="24" t="s">
        <v>142</v>
      </c>
      <c r="B2037" s="24" t="str">
        <f>"002796"</f>
        <v>002796</v>
      </c>
      <c r="C2037" s="24" t="s">
        <v>2252</v>
      </c>
      <c r="D2037" s="24" t="s">
        <v>173</v>
      </c>
      <c r="E2037" s="24">
        <v>50.12</v>
      </c>
      <c r="F2037" s="24">
        <v>6.15</v>
      </c>
    </row>
    <row r="2038" s="24" customFormat="1" spans="1:6">
      <c r="A2038" s="24" t="s">
        <v>142</v>
      </c>
      <c r="B2038" s="24" t="str">
        <f>"002605"</f>
        <v>002605</v>
      </c>
      <c r="C2038" s="24" t="s">
        <v>2253</v>
      </c>
      <c r="D2038" s="24" t="s">
        <v>283</v>
      </c>
      <c r="E2038" s="24">
        <v>50.08</v>
      </c>
      <c r="F2038" s="24">
        <v>22.61</v>
      </c>
    </row>
    <row r="2039" s="24" customFormat="1" spans="1:6">
      <c r="A2039" s="24" t="s">
        <v>140</v>
      </c>
      <c r="B2039" s="24" t="str">
        <f>"688128"</f>
        <v>688128</v>
      </c>
      <c r="C2039" s="24" t="s">
        <v>2254</v>
      </c>
      <c r="D2039" s="24" t="s">
        <v>214</v>
      </c>
      <c r="E2039" s="24">
        <v>50.03</v>
      </c>
      <c r="F2039" s="24">
        <v>4.22</v>
      </c>
    </row>
    <row r="2040" s="24" customFormat="1" spans="1:6">
      <c r="A2040" s="24" t="s">
        <v>142</v>
      </c>
      <c r="B2040" s="24" t="str">
        <f>"002105"</f>
        <v>002105</v>
      </c>
      <c r="C2040" s="24" t="s">
        <v>2255</v>
      </c>
      <c r="D2040" s="24" t="s">
        <v>283</v>
      </c>
      <c r="E2040" s="24">
        <v>50.02</v>
      </c>
      <c r="F2040" s="24">
        <v>4.14</v>
      </c>
    </row>
    <row r="2041" s="24" customFormat="1" spans="1:6">
      <c r="A2041" s="24" t="s">
        <v>142</v>
      </c>
      <c r="B2041" s="24" t="str">
        <f>"300560"</f>
        <v>300560</v>
      </c>
      <c r="C2041" s="24" t="s">
        <v>2256</v>
      </c>
      <c r="D2041" s="24" t="s">
        <v>193</v>
      </c>
      <c r="E2041" s="24">
        <v>49.9</v>
      </c>
      <c r="F2041" s="24">
        <v>6.76</v>
      </c>
    </row>
    <row r="2042" s="24" customFormat="1" spans="1:6">
      <c r="A2042" s="24" t="s">
        <v>140</v>
      </c>
      <c r="B2042" s="24" t="str">
        <f>"600327"</f>
        <v>600327</v>
      </c>
      <c r="C2042" s="24" t="s">
        <v>2257</v>
      </c>
      <c r="D2042" s="24" t="s">
        <v>207</v>
      </c>
      <c r="E2042" s="24">
        <v>49.83</v>
      </c>
      <c r="F2042" s="24">
        <v>1.36</v>
      </c>
    </row>
    <row r="2043" s="24" customFormat="1" spans="1:6">
      <c r="A2043" s="24" t="s">
        <v>140</v>
      </c>
      <c r="B2043" s="24" t="str">
        <f>"603666"</f>
        <v>603666</v>
      </c>
      <c r="C2043" s="24" t="s">
        <v>2258</v>
      </c>
      <c r="D2043" s="24" t="s">
        <v>173</v>
      </c>
      <c r="E2043" s="24">
        <v>49.81</v>
      </c>
      <c r="F2043" s="24">
        <v>7.98</v>
      </c>
    </row>
    <row r="2044" s="24" customFormat="1" spans="1:6">
      <c r="A2044" s="24" t="s">
        <v>142</v>
      </c>
      <c r="B2044" s="24" t="str">
        <f>"002461"</f>
        <v>002461</v>
      </c>
      <c r="C2044" s="24" t="s">
        <v>2259</v>
      </c>
      <c r="D2044" s="24" t="s">
        <v>309</v>
      </c>
      <c r="E2044" s="24">
        <v>49.78</v>
      </c>
      <c r="F2044" s="24">
        <v>1.73</v>
      </c>
    </row>
    <row r="2045" s="24" customFormat="1" spans="1:6">
      <c r="A2045" s="24" t="s">
        <v>140</v>
      </c>
      <c r="B2045" s="24" t="str">
        <f>"603016"</f>
        <v>603016</v>
      </c>
      <c r="C2045" s="24" t="s">
        <v>2260</v>
      </c>
      <c r="D2045" s="24" t="s">
        <v>251</v>
      </c>
      <c r="E2045" s="24">
        <v>49.76</v>
      </c>
      <c r="F2045" s="24">
        <v>2.96</v>
      </c>
    </row>
    <row r="2046" s="24" customFormat="1" spans="1:6">
      <c r="A2046" s="24" t="s">
        <v>140</v>
      </c>
      <c r="B2046" s="24" t="str">
        <f>"688357"</f>
        <v>688357</v>
      </c>
      <c r="C2046" s="24" t="s">
        <v>2261</v>
      </c>
      <c r="D2046" s="24" t="s">
        <v>256</v>
      </c>
      <c r="E2046" s="24">
        <v>49.73</v>
      </c>
      <c r="F2046" s="24">
        <v>3.67</v>
      </c>
    </row>
    <row r="2047" s="24" customFormat="1" spans="1:6">
      <c r="A2047" s="24" t="s">
        <v>142</v>
      </c>
      <c r="B2047" s="24" t="str">
        <f>"300658"</f>
        <v>300658</v>
      </c>
      <c r="C2047" s="24" t="s">
        <v>2262</v>
      </c>
      <c r="D2047" s="24" t="s">
        <v>253</v>
      </c>
      <c r="E2047" s="24">
        <v>49.69</v>
      </c>
      <c r="F2047" s="24">
        <v>3.97</v>
      </c>
    </row>
    <row r="2048" s="24" customFormat="1" spans="1:6">
      <c r="A2048" s="24" t="s">
        <v>142</v>
      </c>
      <c r="B2048" s="24" t="str">
        <f>"002799"</f>
        <v>002799</v>
      </c>
      <c r="C2048" s="24" t="s">
        <v>2263</v>
      </c>
      <c r="D2048" s="24" t="s">
        <v>509</v>
      </c>
      <c r="E2048" s="24">
        <v>49.59</v>
      </c>
      <c r="F2048" s="24">
        <v>6.68</v>
      </c>
    </row>
    <row r="2049" s="24" customFormat="1" spans="1:6">
      <c r="A2049" s="24" t="s">
        <v>140</v>
      </c>
      <c r="B2049" s="24" t="str">
        <f>"600193"</f>
        <v>600193</v>
      </c>
      <c r="C2049" s="24" t="s">
        <v>2264</v>
      </c>
      <c r="D2049" s="24" t="s">
        <v>315</v>
      </c>
      <c r="E2049" s="24">
        <v>49.53</v>
      </c>
      <c r="F2049" s="24">
        <v>6.71</v>
      </c>
    </row>
    <row r="2050" s="24" customFormat="1" spans="1:6">
      <c r="A2050" s="24" t="s">
        <v>142</v>
      </c>
      <c r="B2050" s="24" t="str">
        <f>"002962"</f>
        <v>002962</v>
      </c>
      <c r="C2050" s="24" t="s">
        <v>2265</v>
      </c>
      <c r="D2050" s="24" t="s">
        <v>230</v>
      </c>
      <c r="E2050" s="24">
        <v>49.48</v>
      </c>
      <c r="F2050" s="24">
        <v>4.1</v>
      </c>
    </row>
    <row r="2051" s="24" customFormat="1" spans="1:6">
      <c r="A2051" s="24" t="s">
        <v>140</v>
      </c>
      <c r="B2051" s="24" t="str">
        <f>"603701"</f>
        <v>603701</v>
      </c>
      <c r="C2051" s="24" t="s">
        <v>2266</v>
      </c>
      <c r="D2051" s="24" t="s">
        <v>204</v>
      </c>
      <c r="E2051" s="24">
        <v>49.35</v>
      </c>
      <c r="F2051" s="24">
        <v>3.33</v>
      </c>
    </row>
    <row r="2052" s="24" customFormat="1" spans="1:6">
      <c r="A2052" s="24" t="s">
        <v>142</v>
      </c>
      <c r="B2052" s="24" t="str">
        <f>"300098"</f>
        <v>300098</v>
      </c>
      <c r="C2052" s="24" t="s">
        <v>2267</v>
      </c>
      <c r="D2052" s="24" t="s">
        <v>193</v>
      </c>
      <c r="E2052" s="24">
        <v>49.27</v>
      </c>
      <c r="F2052" s="24">
        <v>2.24</v>
      </c>
    </row>
    <row r="2053" s="24" customFormat="1" spans="1:6">
      <c r="A2053" s="24" t="s">
        <v>140</v>
      </c>
      <c r="B2053" s="24" t="str">
        <f>"603239"</f>
        <v>603239</v>
      </c>
      <c r="C2053" s="24" t="s">
        <v>2268</v>
      </c>
      <c r="D2053" s="24" t="s">
        <v>204</v>
      </c>
      <c r="E2053" s="24">
        <v>49.17</v>
      </c>
      <c r="F2053" s="24">
        <v>3.23</v>
      </c>
    </row>
    <row r="2054" s="24" customFormat="1" spans="1:6">
      <c r="A2054" s="24" t="s">
        <v>142</v>
      </c>
      <c r="B2054" s="24" t="str">
        <f>"300316"</f>
        <v>300316</v>
      </c>
      <c r="C2054" s="24" t="s">
        <v>2269</v>
      </c>
      <c r="D2054" s="24" t="s">
        <v>173</v>
      </c>
      <c r="E2054" s="24">
        <v>49.15</v>
      </c>
      <c r="F2054" s="24">
        <v>6.34</v>
      </c>
    </row>
    <row r="2055" s="24" customFormat="1" spans="1:6">
      <c r="A2055" s="24" t="s">
        <v>140</v>
      </c>
      <c r="B2055" s="24" t="str">
        <f>"603421"</f>
        <v>603421</v>
      </c>
      <c r="C2055" s="24" t="s">
        <v>2270</v>
      </c>
      <c r="D2055" s="24" t="s">
        <v>193</v>
      </c>
      <c r="E2055" s="24">
        <v>49.15</v>
      </c>
      <c r="F2055" s="24">
        <v>2.51</v>
      </c>
    </row>
    <row r="2056" s="24" customFormat="1" spans="1:6">
      <c r="A2056" s="24" t="s">
        <v>142</v>
      </c>
      <c r="B2056" s="24" t="str">
        <f>"300509"</f>
        <v>300509</v>
      </c>
      <c r="C2056" s="24" t="s">
        <v>2271</v>
      </c>
      <c r="D2056" s="24" t="s">
        <v>173</v>
      </c>
      <c r="E2056" s="24">
        <v>49.1</v>
      </c>
      <c r="F2056" s="24">
        <v>3.03</v>
      </c>
    </row>
    <row r="2057" s="24" customFormat="1" spans="1:6">
      <c r="A2057" s="24" t="s">
        <v>140</v>
      </c>
      <c r="B2057" s="24" t="str">
        <f>"688358"</f>
        <v>688358</v>
      </c>
      <c r="C2057" s="24" t="s">
        <v>2272</v>
      </c>
      <c r="D2057" s="24" t="s">
        <v>618</v>
      </c>
      <c r="E2057" s="24">
        <v>49.04</v>
      </c>
      <c r="F2057" s="24">
        <v>3.87</v>
      </c>
    </row>
    <row r="2058" s="24" customFormat="1" spans="1:6">
      <c r="A2058" s="24" t="s">
        <v>140</v>
      </c>
      <c r="B2058" s="24" t="str">
        <f>"603377"</f>
        <v>603377</v>
      </c>
      <c r="C2058" s="24" t="s">
        <v>2273</v>
      </c>
      <c r="D2058" s="24" t="s">
        <v>467</v>
      </c>
      <c r="E2058" s="24">
        <v>49.03</v>
      </c>
      <c r="F2058" s="24">
        <v>5.97</v>
      </c>
    </row>
    <row r="2059" s="24" customFormat="1" spans="1:6">
      <c r="A2059" s="24" t="s">
        <v>140</v>
      </c>
      <c r="B2059" s="24" t="str">
        <f>"600115"</f>
        <v>600115</v>
      </c>
      <c r="C2059" s="24" t="s">
        <v>2274</v>
      </c>
      <c r="D2059" s="24" t="s">
        <v>423</v>
      </c>
      <c r="E2059" s="24">
        <v>49.03</v>
      </c>
      <c r="F2059" s="24">
        <v>1.33</v>
      </c>
    </row>
    <row r="2060" s="24" customFormat="1" spans="1:6">
      <c r="A2060" s="24" t="s">
        <v>140</v>
      </c>
      <c r="B2060" s="24" t="str">
        <f>"600369"</f>
        <v>600369</v>
      </c>
      <c r="C2060" s="24" t="s">
        <v>2275</v>
      </c>
      <c r="D2060" s="24" t="s">
        <v>714</v>
      </c>
      <c r="E2060" s="24">
        <v>48.93</v>
      </c>
      <c r="F2060" s="24">
        <v>1.41</v>
      </c>
    </row>
    <row r="2061" s="24" customFormat="1" spans="1:6">
      <c r="A2061" s="24" t="s">
        <v>142</v>
      </c>
      <c r="B2061" s="24" t="str">
        <f>"002921"</f>
        <v>002921</v>
      </c>
      <c r="C2061" s="24" t="s">
        <v>2276</v>
      </c>
      <c r="D2061" s="24" t="s">
        <v>204</v>
      </c>
      <c r="E2061" s="24">
        <v>48.91</v>
      </c>
      <c r="F2061" s="24">
        <v>2.03</v>
      </c>
    </row>
    <row r="2062" s="24" customFormat="1" spans="1:6">
      <c r="A2062" s="24" t="s">
        <v>142</v>
      </c>
      <c r="B2062" s="24" t="str">
        <f>"002503"</f>
        <v>002503</v>
      </c>
      <c r="C2062" s="24" t="s">
        <v>2277</v>
      </c>
      <c r="D2062" s="24" t="s">
        <v>161</v>
      </c>
      <c r="E2062" s="24">
        <v>48.9</v>
      </c>
      <c r="F2062" s="24">
        <v>1.3</v>
      </c>
    </row>
    <row r="2063" s="24" customFormat="1" spans="1:6">
      <c r="A2063" s="24" t="s">
        <v>142</v>
      </c>
      <c r="B2063" s="24" t="str">
        <f>"300131"</f>
        <v>300131</v>
      </c>
      <c r="C2063" s="24" t="s">
        <v>2278</v>
      </c>
      <c r="D2063" s="24" t="s">
        <v>197</v>
      </c>
      <c r="E2063" s="24">
        <v>48.89</v>
      </c>
      <c r="F2063" s="24">
        <v>6.15</v>
      </c>
    </row>
    <row r="2064" s="24" customFormat="1" spans="1:6">
      <c r="A2064" s="24" t="s">
        <v>140</v>
      </c>
      <c r="B2064" s="24" t="str">
        <f>"600872"</f>
        <v>600872</v>
      </c>
      <c r="C2064" s="24" t="s">
        <v>2279</v>
      </c>
      <c r="D2064" s="24" t="s">
        <v>190</v>
      </c>
      <c r="E2064" s="24">
        <v>48.85</v>
      </c>
      <c r="F2064" s="24">
        <v>8.05</v>
      </c>
    </row>
    <row r="2065" s="24" customFormat="1" spans="1:6">
      <c r="A2065" s="24" t="s">
        <v>142</v>
      </c>
      <c r="B2065" s="24" t="str">
        <f>"300513"</f>
        <v>300513</v>
      </c>
      <c r="C2065" s="24" t="s">
        <v>2280</v>
      </c>
      <c r="D2065" s="24" t="s">
        <v>159</v>
      </c>
      <c r="E2065" s="24">
        <v>48.85</v>
      </c>
      <c r="F2065" s="24">
        <v>4.99</v>
      </c>
    </row>
    <row r="2066" s="24" customFormat="1" spans="1:6">
      <c r="A2066" s="24" t="s">
        <v>142</v>
      </c>
      <c r="B2066" s="24" t="str">
        <f>"300753"</f>
        <v>300753</v>
      </c>
      <c r="C2066" s="24" t="s">
        <v>2281</v>
      </c>
      <c r="D2066" s="24" t="s">
        <v>618</v>
      </c>
      <c r="E2066" s="24">
        <v>48.8</v>
      </c>
      <c r="F2066" s="24">
        <v>5.93</v>
      </c>
    </row>
    <row r="2067" s="24" customFormat="1" spans="1:6">
      <c r="A2067" s="24" t="s">
        <v>140</v>
      </c>
      <c r="B2067" s="24" t="str">
        <f>"600575"</f>
        <v>600575</v>
      </c>
      <c r="C2067" s="24" t="s">
        <v>2282</v>
      </c>
      <c r="D2067" s="24" t="s">
        <v>177</v>
      </c>
      <c r="E2067" s="24">
        <v>48.79</v>
      </c>
      <c r="F2067" s="24">
        <v>0.98</v>
      </c>
    </row>
    <row r="2068" s="24" customFormat="1" spans="1:6">
      <c r="A2068" s="24" t="s">
        <v>140</v>
      </c>
      <c r="B2068" s="24" t="str">
        <f>"603508"</f>
        <v>603508</v>
      </c>
      <c r="C2068" s="24" t="s">
        <v>2283</v>
      </c>
      <c r="D2068" s="24" t="s">
        <v>152</v>
      </c>
      <c r="E2068" s="24">
        <v>48.78</v>
      </c>
      <c r="F2068" s="24">
        <v>4.98</v>
      </c>
    </row>
    <row r="2069" s="24" customFormat="1" spans="1:6">
      <c r="A2069" s="24" t="s">
        <v>140</v>
      </c>
      <c r="B2069" s="24" t="str">
        <f>"900917"</f>
        <v>900917</v>
      </c>
      <c r="C2069" s="24" t="s">
        <v>2284</v>
      </c>
      <c r="D2069" s="24"/>
      <c r="E2069" s="24">
        <v>48.67</v>
      </c>
      <c r="F2069" s="24">
        <v>0.87</v>
      </c>
    </row>
    <row r="2070" s="24" customFormat="1" spans="1:6">
      <c r="A2070" s="24" t="s">
        <v>142</v>
      </c>
      <c r="B2070" s="24" t="str">
        <f>"300383"</f>
        <v>300383</v>
      </c>
      <c r="C2070" s="24" t="s">
        <v>2285</v>
      </c>
      <c r="D2070" s="24" t="s">
        <v>163</v>
      </c>
      <c r="E2070" s="24">
        <v>48.65</v>
      </c>
      <c r="F2070" s="24">
        <v>6.78</v>
      </c>
    </row>
    <row r="2071" s="24" customFormat="1" spans="1:6">
      <c r="A2071" s="24" t="s">
        <v>142</v>
      </c>
      <c r="B2071" s="24" t="str">
        <f>"000420"</f>
        <v>000420</v>
      </c>
      <c r="C2071" s="24" t="s">
        <v>2286</v>
      </c>
      <c r="D2071" s="24" t="s">
        <v>302</v>
      </c>
      <c r="E2071" s="24">
        <v>48.59</v>
      </c>
      <c r="F2071" s="24">
        <v>1.38</v>
      </c>
    </row>
    <row r="2072" s="24" customFormat="1" spans="1:6">
      <c r="A2072" s="24" t="s">
        <v>142</v>
      </c>
      <c r="B2072" s="24" t="str">
        <f>"300265"</f>
        <v>300265</v>
      </c>
      <c r="C2072" s="24" t="s">
        <v>2287</v>
      </c>
      <c r="D2072" s="24" t="s">
        <v>251</v>
      </c>
      <c r="E2072" s="24">
        <v>48.53</v>
      </c>
      <c r="F2072" s="24">
        <v>2.23</v>
      </c>
    </row>
    <row r="2073" s="24" customFormat="1" spans="1:6">
      <c r="A2073" s="24" t="s">
        <v>142</v>
      </c>
      <c r="B2073" s="24" t="str">
        <f>"300450"</f>
        <v>300450</v>
      </c>
      <c r="C2073" s="24" t="s">
        <v>2288</v>
      </c>
      <c r="D2073" s="24" t="s">
        <v>173</v>
      </c>
      <c r="E2073" s="24">
        <v>48.51</v>
      </c>
      <c r="F2073" s="24">
        <v>15.86</v>
      </c>
    </row>
    <row r="2074" s="24" customFormat="1" spans="1:6">
      <c r="A2074" s="24" t="s">
        <v>142</v>
      </c>
      <c r="B2074" s="24" t="str">
        <f>"002108"</f>
        <v>002108</v>
      </c>
      <c r="C2074" s="24" t="s">
        <v>2289</v>
      </c>
      <c r="D2074" s="24" t="s">
        <v>228</v>
      </c>
      <c r="E2074" s="24">
        <v>48.46</v>
      </c>
      <c r="F2074" s="24">
        <v>1.71</v>
      </c>
    </row>
    <row r="2075" s="24" customFormat="1" spans="1:6">
      <c r="A2075" s="24" t="s">
        <v>142</v>
      </c>
      <c r="B2075" s="24" t="str">
        <f>"002155"</f>
        <v>002155</v>
      </c>
      <c r="C2075" s="24" t="s">
        <v>2290</v>
      </c>
      <c r="D2075" s="24" t="s">
        <v>167</v>
      </c>
      <c r="E2075" s="24">
        <v>48.45</v>
      </c>
      <c r="F2075" s="24">
        <v>1.95</v>
      </c>
    </row>
    <row r="2076" s="24" customFormat="1" spans="1:6">
      <c r="A2076" s="24" t="s">
        <v>142</v>
      </c>
      <c r="B2076" s="24" t="str">
        <f>"000892"</f>
        <v>000892</v>
      </c>
      <c r="C2076" s="24" t="s">
        <v>2291</v>
      </c>
      <c r="D2076" s="24" t="s">
        <v>170</v>
      </c>
      <c r="E2076" s="24">
        <v>48.39</v>
      </c>
      <c r="F2076" s="24">
        <v>1.71</v>
      </c>
    </row>
    <row r="2077" s="24" customFormat="1" spans="1:6">
      <c r="A2077" s="24" t="s">
        <v>142</v>
      </c>
      <c r="B2077" s="24" t="str">
        <f>"002760"</f>
        <v>002760</v>
      </c>
      <c r="C2077" s="24" t="s">
        <v>2292</v>
      </c>
      <c r="D2077" s="24" t="s">
        <v>258</v>
      </c>
      <c r="E2077" s="24">
        <v>48.39</v>
      </c>
      <c r="F2077" s="24">
        <v>2.73</v>
      </c>
    </row>
    <row r="2078" s="24" customFormat="1" spans="1:6">
      <c r="A2078" s="24" t="s">
        <v>140</v>
      </c>
      <c r="B2078" s="24" t="str">
        <f>"600960"</f>
        <v>600960</v>
      </c>
      <c r="C2078" s="24" t="s">
        <v>2293</v>
      </c>
      <c r="D2078" s="24" t="s">
        <v>204</v>
      </c>
      <c r="E2078" s="24">
        <v>48.38</v>
      </c>
      <c r="F2078" s="24">
        <v>0.59</v>
      </c>
    </row>
    <row r="2079" s="24" customFormat="1" spans="1:6">
      <c r="A2079" s="24" t="s">
        <v>142</v>
      </c>
      <c r="B2079" s="24" t="str">
        <f>"002251"</f>
        <v>002251</v>
      </c>
      <c r="C2079" s="24" t="s">
        <v>2294</v>
      </c>
      <c r="D2079" s="24" t="s">
        <v>361</v>
      </c>
      <c r="E2079" s="24">
        <v>48.36</v>
      </c>
      <c r="F2079" s="24">
        <v>1.09</v>
      </c>
    </row>
    <row r="2080" s="24" customFormat="1" spans="1:6">
      <c r="A2080" s="24" t="s">
        <v>142</v>
      </c>
      <c r="B2080" s="24" t="str">
        <f>"300662"</f>
        <v>300662</v>
      </c>
      <c r="C2080" s="24" t="s">
        <v>2295</v>
      </c>
      <c r="D2080" s="24" t="s">
        <v>214</v>
      </c>
      <c r="E2080" s="24">
        <v>48.23</v>
      </c>
      <c r="F2080" s="24">
        <v>9.09</v>
      </c>
    </row>
    <row r="2081" s="24" customFormat="1" spans="1:6">
      <c r="A2081" s="24" t="s">
        <v>140</v>
      </c>
      <c r="B2081" s="24" t="str">
        <f>"603596"</f>
        <v>603596</v>
      </c>
      <c r="C2081" s="24" t="s">
        <v>2296</v>
      </c>
      <c r="D2081" s="24" t="s">
        <v>204</v>
      </c>
      <c r="E2081" s="24">
        <v>48.17</v>
      </c>
      <c r="F2081" s="24">
        <v>5.65</v>
      </c>
    </row>
    <row r="2082" s="24" customFormat="1" spans="1:6">
      <c r="A2082" s="24" t="s">
        <v>142</v>
      </c>
      <c r="B2082" s="24" t="str">
        <f>"300787"</f>
        <v>300787</v>
      </c>
      <c r="C2082" s="24" t="s">
        <v>2297</v>
      </c>
      <c r="D2082" s="24" t="s">
        <v>152</v>
      </c>
      <c r="E2082" s="24">
        <v>48.16</v>
      </c>
      <c r="F2082" s="24">
        <v>4.62</v>
      </c>
    </row>
    <row r="2083" s="24" customFormat="1" spans="1:6">
      <c r="A2083" s="24" t="s">
        <v>140</v>
      </c>
      <c r="B2083" s="24" t="str">
        <f>"688388"</f>
        <v>688388</v>
      </c>
      <c r="C2083" s="24" t="s">
        <v>2298</v>
      </c>
      <c r="D2083" s="24" t="s">
        <v>644</v>
      </c>
      <c r="E2083" s="24">
        <v>48.16</v>
      </c>
      <c r="F2083" s="24">
        <v>6.55</v>
      </c>
    </row>
    <row r="2084" s="24" customFormat="1" spans="1:6">
      <c r="A2084" s="24" t="s">
        <v>140</v>
      </c>
      <c r="B2084" s="24" t="str">
        <f>"600371"</f>
        <v>600371</v>
      </c>
      <c r="C2084" s="24" t="s">
        <v>2299</v>
      </c>
      <c r="D2084" s="24" t="s">
        <v>145</v>
      </c>
      <c r="E2084" s="24">
        <v>48.14</v>
      </c>
      <c r="F2084" s="24">
        <v>5.57</v>
      </c>
    </row>
    <row r="2085" s="24" customFormat="1" spans="1:6">
      <c r="A2085" s="24" t="s">
        <v>140</v>
      </c>
      <c r="B2085" s="24" t="str">
        <f>"600429"</f>
        <v>600429</v>
      </c>
      <c r="C2085" s="24" t="s">
        <v>2300</v>
      </c>
      <c r="D2085" s="24" t="s">
        <v>190</v>
      </c>
      <c r="E2085" s="24">
        <v>48.14</v>
      </c>
      <c r="F2085" s="24">
        <v>2.13</v>
      </c>
    </row>
    <row r="2086" s="24" customFormat="1" spans="1:6">
      <c r="A2086" s="24" t="s">
        <v>140</v>
      </c>
      <c r="B2086" s="24" t="str">
        <f>"600527"</f>
        <v>600527</v>
      </c>
      <c r="C2086" s="24" t="s">
        <v>2301</v>
      </c>
      <c r="D2086" s="24" t="s">
        <v>302</v>
      </c>
      <c r="E2086" s="24">
        <v>48.04</v>
      </c>
      <c r="F2086" s="24">
        <v>1.7</v>
      </c>
    </row>
    <row r="2087" s="24" customFormat="1" spans="1:6">
      <c r="A2087" s="24" t="s">
        <v>142</v>
      </c>
      <c r="B2087" s="24" t="str">
        <f>"000733"</f>
        <v>000733</v>
      </c>
      <c r="C2087" s="24" t="s">
        <v>2302</v>
      </c>
      <c r="D2087" s="24" t="s">
        <v>152</v>
      </c>
      <c r="E2087" s="24">
        <v>48.02</v>
      </c>
      <c r="F2087" s="24">
        <v>2.18</v>
      </c>
    </row>
    <row r="2088" s="24" customFormat="1" spans="1:6">
      <c r="A2088" s="24" t="s">
        <v>142</v>
      </c>
      <c r="B2088" s="24" t="str">
        <f>"300788"</f>
        <v>300788</v>
      </c>
      <c r="C2088" s="24" t="s">
        <v>2303</v>
      </c>
      <c r="D2088" s="24" t="s">
        <v>170</v>
      </c>
      <c r="E2088" s="24">
        <v>48</v>
      </c>
      <c r="F2088" s="24">
        <v>5.48</v>
      </c>
    </row>
    <row r="2089" s="24" customFormat="1" spans="1:6">
      <c r="A2089" s="24" t="s">
        <v>142</v>
      </c>
      <c r="B2089" s="24" t="str">
        <f>"002806"</f>
        <v>002806</v>
      </c>
      <c r="C2089" s="24" t="s">
        <v>2304</v>
      </c>
      <c r="D2089" s="24" t="s">
        <v>197</v>
      </c>
      <c r="E2089" s="24">
        <v>48</v>
      </c>
      <c r="F2089" s="24">
        <v>3.78</v>
      </c>
    </row>
    <row r="2090" s="24" customFormat="1" spans="1:6">
      <c r="A2090" s="24" t="s">
        <v>142</v>
      </c>
      <c r="B2090" s="24" t="str">
        <f>"300136"</f>
        <v>300136</v>
      </c>
      <c r="C2090" s="24" t="s">
        <v>2305</v>
      </c>
      <c r="D2090" s="24" t="s">
        <v>193</v>
      </c>
      <c r="E2090" s="24">
        <v>47.98</v>
      </c>
      <c r="F2090" s="24">
        <v>10.4</v>
      </c>
    </row>
    <row r="2091" s="24" customFormat="1" spans="1:6">
      <c r="A2091" s="24" t="s">
        <v>142</v>
      </c>
      <c r="B2091" s="24" t="str">
        <f>"300746"</f>
        <v>300746</v>
      </c>
      <c r="C2091" s="24" t="s">
        <v>2306</v>
      </c>
      <c r="D2091" s="24" t="s">
        <v>214</v>
      </c>
      <c r="E2091" s="24">
        <v>47.97</v>
      </c>
      <c r="F2091" s="24">
        <v>3.31</v>
      </c>
    </row>
    <row r="2092" s="24" customFormat="1" spans="1:6">
      <c r="A2092" s="24" t="s">
        <v>142</v>
      </c>
      <c r="B2092" s="24" t="str">
        <f>"002321"</f>
        <v>002321</v>
      </c>
      <c r="C2092" s="24" t="s">
        <v>2307</v>
      </c>
      <c r="D2092" s="24" t="s">
        <v>145</v>
      </c>
      <c r="E2092" s="24">
        <v>47.93</v>
      </c>
      <c r="F2092" s="24">
        <v>1.05</v>
      </c>
    </row>
    <row r="2093" s="24" customFormat="1" spans="1:6">
      <c r="A2093" s="24" t="s">
        <v>142</v>
      </c>
      <c r="B2093" s="24" t="str">
        <f>"300385"</f>
        <v>300385</v>
      </c>
      <c r="C2093" s="24" t="s">
        <v>2308</v>
      </c>
      <c r="D2093" s="24" t="s">
        <v>173</v>
      </c>
      <c r="E2093" s="24">
        <v>47.92</v>
      </c>
      <c r="F2093" s="24">
        <v>4.82</v>
      </c>
    </row>
    <row r="2094" s="24" customFormat="1" spans="1:6">
      <c r="A2094" s="24" t="s">
        <v>142</v>
      </c>
      <c r="B2094" s="24" t="str">
        <f>"000915"</f>
        <v>000915</v>
      </c>
      <c r="C2094" s="24" t="s">
        <v>2309</v>
      </c>
      <c r="D2094" s="24" t="s">
        <v>464</v>
      </c>
      <c r="E2094" s="24">
        <v>47.9</v>
      </c>
      <c r="F2094" s="24">
        <v>3.41</v>
      </c>
    </row>
    <row r="2095" s="24" customFormat="1" spans="1:6">
      <c r="A2095" s="24" t="s">
        <v>142</v>
      </c>
      <c r="B2095" s="24" t="str">
        <f>"002007"</f>
        <v>002007</v>
      </c>
      <c r="C2095" s="24" t="s">
        <v>119</v>
      </c>
      <c r="D2095" s="24" t="s">
        <v>326</v>
      </c>
      <c r="E2095" s="24">
        <v>47.87</v>
      </c>
      <c r="F2095" s="24">
        <v>9.34</v>
      </c>
    </row>
    <row r="2096" s="24" customFormat="1" spans="1:6">
      <c r="A2096" s="24" t="s">
        <v>140</v>
      </c>
      <c r="B2096" s="24" t="str">
        <f>"603327"</f>
        <v>603327</v>
      </c>
      <c r="C2096" s="24" t="s">
        <v>2310</v>
      </c>
      <c r="D2096" s="24" t="s">
        <v>152</v>
      </c>
      <c r="E2096" s="24">
        <v>47.84</v>
      </c>
      <c r="F2096" s="24">
        <v>9.45</v>
      </c>
    </row>
    <row r="2097" s="24" customFormat="1" spans="1:6">
      <c r="A2097" s="24" t="s">
        <v>140</v>
      </c>
      <c r="B2097" s="24" t="str">
        <f>"603185"</f>
        <v>603185</v>
      </c>
      <c r="C2097" s="24" t="s">
        <v>2311</v>
      </c>
      <c r="D2097" s="24" t="s">
        <v>165</v>
      </c>
      <c r="E2097" s="24">
        <v>47.83</v>
      </c>
      <c r="F2097" s="24">
        <v>4.43</v>
      </c>
    </row>
    <row r="2098" s="24" customFormat="1" spans="1:6">
      <c r="A2098" s="24" t="s">
        <v>142</v>
      </c>
      <c r="B2098" s="24" t="str">
        <f>"002282"</f>
        <v>002282</v>
      </c>
      <c r="C2098" s="24" t="s">
        <v>2312</v>
      </c>
      <c r="D2098" s="24" t="s">
        <v>165</v>
      </c>
      <c r="E2098" s="24">
        <v>47.78</v>
      </c>
      <c r="F2098" s="24">
        <v>2.24</v>
      </c>
    </row>
    <row r="2099" s="24" customFormat="1" spans="1:6">
      <c r="A2099" s="24" t="s">
        <v>140</v>
      </c>
      <c r="B2099" s="24" t="str">
        <f>"603859"</f>
        <v>603859</v>
      </c>
      <c r="C2099" s="24" t="s">
        <v>2313</v>
      </c>
      <c r="D2099" s="24" t="s">
        <v>251</v>
      </c>
      <c r="E2099" s="24">
        <v>47.76</v>
      </c>
      <c r="F2099" s="24">
        <v>3.62</v>
      </c>
    </row>
    <row r="2100" s="24" customFormat="1" spans="1:6">
      <c r="A2100" s="24" t="s">
        <v>140</v>
      </c>
      <c r="B2100" s="24" t="str">
        <f>"688366"</f>
        <v>688366</v>
      </c>
      <c r="C2100" s="24" t="s">
        <v>2314</v>
      </c>
      <c r="D2100" s="24" t="s">
        <v>326</v>
      </c>
      <c r="E2100" s="24">
        <v>47.74</v>
      </c>
      <c r="F2100" s="24">
        <v>3.44</v>
      </c>
    </row>
    <row r="2101" s="24" customFormat="1" spans="1:6">
      <c r="A2101" s="24" t="s">
        <v>142</v>
      </c>
      <c r="B2101" s="24" t="str">
        <f>"200152"</f>
        <v>200152</v>
      </c>
      <c r="C2101" s="24" t="s">
        <v>2315</v>
      </c>
      <c r="D2101" s="24"/>
      <c r="E2101" s="24">
        <v>47.71</v>
      </c>
      <c r="F2101" s="24">
        <v>0.55</v>
      </c>
    </row>
    <row r="2102" s="24" customFormat="1" spans="1:6">
      <c r="A2102" s="24" t="s">
        <v>140</v>
      </c>
      <c r="B2102" s="24" t="str">
        <f>"603301"</f>
        <v>603301</v>
      </c>
      <c r="C2102" s="24" t="s">
        <v>2316</v>
      </c>
      <c r="D2102" s="24" t="s">
        <v>618</v>
      </c>
      <c r="E2102" s="24">
        <v>47.65</v>
      </c>
      <c r="F2102" s="24">
        <v>4.77</v>
      </c>
    </row>
    <row r="2103" s="24" customFormat="1" spans="1:6">
      <c r="A2103" s="24" t="s">
        <v>142</v>
      </c>
      <c r="B2103" s="24" t="str">
        <f>"002781"</f>
        <v>002781</v>
      </c>
      <c r="C2103" s="24" t="s">
        <v>2317</v>
      </c>
      <c r="D2103" s="24" t="s">
        <v>315</v>
      </c>
      <c r="E2103" s="24">
        <v>47.64</v>
      </c>
      <c r="F2103" s="24">
        <v>1.85</v>
      </c>
    </row>
    <row r="2104" s="24" customFormat="1" spans="1:6">
      <c r="A2104" s="24" t="s">
        <v>140</v>
      </c>
      <c r="B2104" s="24" t="str">
        <f>"600862"</f>
        <v>600862</v>
      </c>
      <c r="C2104" s="24" t="s">
        <v>2318</v>
      </c>
      <c r="D2104" s="24" t="s">
        <v>395</v>
      </c>
      <c r="E2104" s="24">
        <v>47.64</v>
      </c>
      <c r="F2104" s="24">
        <v>4.4</v>
      </c>
    </row>
    <row r="2105" s="24" customFormat="1" spans="1:6">
      <c r="A2105" s="24" t="s">
        <v>140</v>
      </c>
      <c r="B2105" s="24" t="str">
        <f>"600773"</f>
        <v>600773</v>
      </c>
      <c r="C2105" s="24" t="s">
        <v>2319</v>
      </c>
      <c r="D2105" s="24" t="s">
        <v>244</v>
      </c>
      <c r="E2105" s="24">
        <v>47.64</v>
      </c>
      <c r="F2105" s="24">
        <v>1.32</v>
      </c>
    </row>
    <row r="2106" s="24" customFormat="1" spans="1:6">
      <c r="A2106" s="24" t="s">
        <v>142</v>
      </c>
      <c r="B2106" s="24" t="str">
        <f>"002373"</f>
        <v>002373</v>
      </c>
      <c r="C2106" s="24" t="s">
        <v>2320</v>
      </c>
      <c r="D2106" s="24" t="s">
        <v>159</v>
      </c>
      <c r="E2106" s="24">
        <v>47.61</v>
      </c>
      <c r="F2106" s="24">
        <v>7.1</v>
      </c>
    </row>
    <row r="2107" s="24" customFormat="1" spans="1:6">
      <c r="A2107" s="24" t="s">
        <v>142</v>
      </c>
      <c r="B2107" s="24" t="str">
        <f>"000628"</f>
        <v>000628</v>
      </c>
      <c r="C2107" s="24" t="s">
        <v>2321</v>
      </c>
      <c r="D2107" s="24" t="s">
        <v>315</v>
      </c>
      <c r="E2107" s="24">
        <v>47.61</v>
      </c>
      <c r="F2107" s="24">
        <v>2.94</v>
      </c>
    </row>
    <row r="2108" s="24" customFormat="1" spans="1:6">
      <c r="A2108" s="24" t="s">
        <v>140</v>
      </c>
      <c r="B2108" s="24" t="str">
        <f>"603899"</f>
        <v>603899</v>
      </c>
      <c r="C2108" s="24" t="s">
        <v>113</v>
      </c>
      <c r="D2108" s="24" t="s">
        <v>214</v>
      </c>
      <c r="E2108" s="24">
        <v>47.56</v>
      </c>
      <c r="F2108" s="24">
        <v>11.43</v>
      </c>
    </row>
    <row r="2109" s="24" customFormat="1" spans="1:6">
      <c r="A2109" s="24" t="s">
        <v>140</v>
      </c>
      <c r="B2109" s="24" t="str">
        <f>"688089"</f>
        <v>688089</v>
      </c>
      <c r="C2109" s="24" t="s">
        <v>2322</v>
      </c>
      <c r="D2109" s="24" t="s">
        <v>190</v>
      </c>
      <c r="E2109" s="24">
        <v>47.51</v>
      </c>
      <c r="F2109" s="24">
        <v>3.39</v>
      </c>
    </row>
    <row r="2110" s="24" customFormat="1" spans="1:6">
      <c r="A2110" s="24" t="s">
        <v>140</v>
      </c>
      <c r="B2110" s="24" t="str">
        <f>"603338"</f>
        <v>603338</v>
      </c>
      <c r="C2110" s="24" t="s">
        <v>2323</v>
      </c>
      <c r="D2110" s="24" t="s">
        <v>173</v>
      </c>
      <c r="E2110" s="24">
        <v>47.48</v>
      </c>
      <c r="F2110" s="24">
        <v>7.77</v>
      </c>
    </row>
    <row r="2111" s="24" customFormat="1" spans="1:6">
      <c r="A2111" s="24" t="s">
        <v>140</v>
      </c>
      <c r="B2111" s="24" t="str">
        <f>"601908"</f>
        <v>601908</v>
      </c>
      <c r="C2111" s="24" t="s">
        <v>2324</v>
      </c>
      <c r="D2111" s="24" t="s">
        <v>173</v>
      </c>
      <c r="E2111" s="24">
        <v>47.48</v>
      </c>
      <c r="F2111" s="24">
        <v>0.84</v>
      </c>
    </row>
    <row r="2112" s="24" customFormat="1" spans="1:6">
      <c r="A2112" s="24" t="s">
        <v>142</v>
      </c>
      <c r="B2112" s="24" t="str">
        <f>"002739"</f>
        <v>002739</v>
      </c>
      <c r="C2112" s="24" t="s">
        <v>2325</v>
      </c>
      <c r="D2112" s="24" t="s">
        <v>170</v>
      </c>
      <c r="E2112" s="24">
        <v>47.47</v>
      </c>
      <c r="F2112" s="24">
        <v>5.65</v>
      </c>
    </row>
    <row r="2113" s="24" customFormat="1" spans="1:6">
      <c r="A2113" s="24" t="s">
        <v>140</v>
      </c>
      <c r="B2113" s="24" t="str">
        <f>"600004"</f>
        <v>600004</v>
      </c>
      <c r="C2113" s="24" t="s">
        <v>2326</v>
      </c>
      <c r="D2113" s="24" t="s">
        <v>1016</v>
      </c>
      <c r="E2113" s="24">
        <v>47.43</v>
      </c>
      <c r="F2113" s="24">
        <v>2.05</v>
      </c>
    </row>
    <row r="2114" s="24" customFormat="1" spans="1:6">
      <c r="A2114" s="24" t="s">
        <v>142</v>
      </c>
      <c r="B2114" s="24" t="str">
        <f>"002027"</f>
        <v>002027</v>
      </c>
      <c r="C2114" s="24" t="s">
        <v>2327</v>
      </c>
      <c r="D2114" s="24" t="s">
        <v>170</v>
      </c>
      <c r="E2114" s="24">
        <v>47.29</v>
      </c>
      <c r="F2114" s="24">
        <v>6.07</v>
      </c>
    </row>
    <row r="2115" s="24" customFormat="1" spans="1:6">
      <c r="A2115" s="24" t="s">
        <v>142</v>
      </c>
      <c r="B2115" s="24" t="str">
        <f>"300271"</f>
        <v>300271</v>
      </c>
      <c r="C2115" s="24" t="s">
        <v>2328</v>
      </c>
      <c r="D2115" s="24" t="s">
        <v>159</v>
      </c>
      <c r="E2115" s="24">
        <v>47.27</v>
      </c>
      <c r="F2115" s="24">
        <v>6.07</v>
      </c>
    </row>
    <row r="2116" s="24" customFormat="1" spans="1:6">
      <c r="A2116" s="24" t="s">
        <v>140</v>
      </c>
      <c r="B2116" s="24" t="str">
        <f>"601901"</f>
        <v>601901</v>
      </c>
      <c r="C2116" s="24" t="s">
        <v>2329</v>
      </c>
      <c r="D2116" s="24" t="s">
        <v>714</v>
      </c>
      <c r="E2116" s="24">
        <v>47.24</v>
      </c>
      <c r="F2116" s="24">
        <v>1.85</v>
      </c>
    </row>
    <row r="2117" s="24" customFormat="1" spans="1:6">
      <c r="A2117" s="24" t="s">
        <v>142</v>
      </c>
      <c r="B2117" s="24" t="str">
        <f>"300304"</f>
        <v>300304</v>
      </c>
      <c r="C2117" s="24" t="s">
        <v>2330</v>
      </c>
      <c r="D2117" s="24" t="s">
        <v>204</v>
      </c>
      <c r="E2117" s="24">
        <v>47.23</v>
      </c>
      <c r="F2117" s="24">
        <v>1.76</v>
      </c>
    </row>
    <row r="2118" s="24" customFormat="1" spans="1:6">
      <c r="A2118" s="24" t="s">
        <v>142</v>
      </c>
      <c r="B2118" s="24" t="str">
        <f>"002947"</f>
        <v>002947</v>
      </c>
      <c r="C2118" s="24" t="s">
        <v>2331</v>
      </c>
      <c r="D2118" s="24" t="s">
        <v>197</v>
      </c>
      <c r="E2118" s="24">
        <v>47.22</v>
      </c>
      <c r="F2118" s="24">
        <v>5.84</v>
      </c>
    </row>
    <row r="2119" s="24" customFormat="1" spans="1:6">
      <c r="A2119" s="24" t="s">
        <v>142</v>
      </c>
      <c r="B2119" s="24" t="str">
        <f>"300282"</f>
        <v>300282</v>
      </c>
      <c r="C2119" s="24" t="s">
        <v>2332</v>
      </c>
      <c r="D2119" s="24" t="s">
        <v>230</v>
      </c>
      <c r="E2119" s="24">
        <v>47.2</v>
      </c>
      <c r="F2119" s="24">
        <v>1.66</v>
      </c>
    </row>
    <row r="2120" s="24" customFormat="1" spans="1:6">
      <c r="A2120" s="24" t="s">
        <v>142</v>
      </c>
      <c r="B2120" s="24" t="str">
        <f>"300757"</f>
        <v>300757</v>
      </c>
      <c r="C2120" s="24" t="s">
        <v>2333</v>
      </c>
      <c r="D2120" s="24" t="s">
        <v>173</v>
      </c>
      <c r="E2120" s="24">
        <v>47.16</v>
      </c>
      <c r="F2120" s="24">
        <v>5.31</v>
      </c>
    </row>
    <row r="2121" s="24" customFormat="1" spans="1:6">
      <c r="A2121" s="24" t="s">
        <v>140</v>
      </c>
      <c r="B2121" s="24" t="str">
        <f>"603233"</f>
        <v>603233</v>
      </c>
      <c r="C2121" s="24" t="s">
        <v>2334</v>
      </c>
      <c r="D2121" s="24" t="s">
        <v>584</v>
      </c>
      <c r="E2121" s="24">
        <v>47.15</v>
      </c>
      <c r="F2121" s="24">
        <v>11.79</v>
      </c>
    </row>
    <row r="2122" s="24" customFormat="1" spans="1:6">
      <c r="A2122" s="24" t="s">
        <v>140</v>
      </c>
      <c r="B2122" s="24" t="str">
        <f>"603345"</f>
        <v>603345</v>
      </c>
      <c r="C2122" s="24" t="s">
        <v>2335</v>
      </c>
      <c r="D2122" s="24" t="s">
        <v>190</v>
      </c>
      <c r="E2122" s="24">
        <v>47.1</v>
      </c>
      <c r="F2122" s="24">
        <v>5.12</v>
      </c>
    </row>
    <row r="2123" s="24" customFormat="1" spans="1:6">
      <c r="A2123" s="24" t="s">
        <v>142</v>
      </c>
      <c r="B2123" s="24" t="str">
        <f>"300222"</f>
        <v>300222</v>
      </c>
      <c r="C2123" s="24" t="s">
        <v>2336</v>
      </c>
      <c r="D2123" s="24" t="s">
        <v>251</v>
      </c>
      <c r="E2123" s="24">
        <v>47.07</v>
      </c>
      <c r="F2123" s="24">
        <v>2.19</v>
      </c>
    </row>
    <row r="2124" s="24" customFormat="1" spans="1:6">
      <c r="A2124" s="24" t="s">
        <v>142</v>
      </c>
      <c r="B2124" s="24" t="str">
        <f>"300398"</f>
        <v>300398</v>
      </c>
      <c r="C2124" s="24" t="s">
        <v>2337</v>
      </c>
      <c r="D2124" s="24" t="s">
        <v>228</v>
      </c>
      <c r="E2124" s="24">
        <v>47.06</v>
      </c>
      <c r="F2124" s="24">
        <v>5.2</v>
      </c>
    </row>
    <row r="2125" s="24" customFormat="1" spans="1:6">
      <c r="A2125" s="24" t="s">
        <v>142</v>
      </c>
      <c r="B2125" s="24" t="str">
        <f>"002558"</f>
        <v>002558</v>
      </c>
      <c r="C2125" s="24" t="s">
        <v>2338</v>
      </c>
      <c r="D2125" s="24" t="s">
        <v>156</v>
      </c>
      <c r="E2125" s="24">
        <v>47.03</v>
      </c>
      <c r="F2125" s="24">
        <v>4.91</v>
      </c>
    </row>
    <row r="2126" s="24" customFormat="1" spans="1:6">
      <c r="A2126" s="24" t="s">
        <v>140</v>
      </c>
      <c r="B2126" s="24" t="str">
        <f>"601100"</f>
        <v>601100</v>
      </c>
      <c r="C2126" s="24" t="s">
        <v>2339</v>
      </c>
      <c r="D2126" s="24" t="s">
        <v>173</v>
      </c>
      <c r="E2126" s="24">
        <v>47.01</v>
      </c>
      <c r="F2126" s="24">
        <v>8.56</v>
      </c>
    </row>
    <row r="2127" s="24" customFormat="1" spans="1:6">
      <c r="A2127" s="24" t="s">
        <v>142</v>
      </c>
      <c r="B2127" s="24" t="str">
        <f>"002482"</f>
        <v>002482</v>
      </c>
      <c r="C2127" s="24" t="s">
        <v>2340</v>
      </c>
      <c r="D2127" s="24" t="s">
        <v>315</v>
      </c>
      <c r="E2127" s="24">
        <v>46.96</v>
      </c>
      <c r="F2127" s="24">
        <v>0.88</v>
      </c>
    </row>
    <row r="2128" s="24" customFormat="1" spans="1:6">
      <c r="A2128" s="24" t="s">
        <v>140</v>
      </c>
      <c r="B2128" s="24" t="str">
        <f>"601929"</f>
        <v>601929</v>
      </c>
      <c r="C2128" s="24" t="s">
        <v>2341</v>
      </c>
      <c r="D2128" s="24" t="s">
        <v>170</v>
      </c>
      <c r="E2128" s="24">
        <v>46.93</v>
      </c>
      <c r="F2128" s="24">
        <v>0.95</v>
      </c>
    </row>
    <row r="2129" s="24" customFormat="1" spans="1:6">
      <c r="A2129" s="24" t="s">
        <v>142</v>
      </c>
      <c r="B2129" s="24" t="str">
        <f>"300058"</f>
        <v>300058</v>
      </c>
      <c r="C2129" s="24" t="s">
        <v>2342</v>
      </c>
      <c r="D2129" s="24" t="s">
        <v>170</v>
      </c>
      <c r="E2129" s="24">
        <v>46.82</v>
      </c>
      <c r="F2129" s="24">
        <v>4.19</v>
      </c>
    </row>
    <row r="2130" s="24" customFormat="1" spans="1:6">
      <c r="A2130" s="24" t="s">
        <v>140</v>
      </c>
      <c r="B2130" s="24" t="str">
        <f>"601360"</f>
        <v>601360</v>
      </c>
      <c r="C2130" s="24" t="s">
        <v>2343</v>
      </c>
      <c r="D2130" s="24" t="s">
        <v>163</v>
      </c>
      <c r="E2130" s="24">
        <v>46.72</v>
      </c>
      <c r="F2130" s="24">
        <v>6.34</v>
      </c>
    </row>
    <row r="2131" s="24" customFormat="1" spans="1:6">
      <c r="A2131" s="24" t="s">
        <v>142</v>
      </c>
      <c r="B2131" s="24" t="str">
        <f>"000029"</f>
        <v>000029</v>
      </c>
      <c r="C2131" s="24" t="s">
        <v>2344</v>
      </c>
      <c r="D2131" s="24" t="s">
        <v>244</v>
      </c>
      <c r="E2131" s="24">
        <v>46.7</v>
      </c>
      <c r="F2131" s="24">
        <v>4.58</v>
      </c>
    </row>
    <row r="2132" s="24" customFormat="1" spans="1:6">
      <c r="A2132" s="24" t="s">
        <v>142</v>
      </c>
      <c r="B2132" s="24" t="str">
        <f>"002050"</f>
        <v>002050</v>
      </c>
      <c r="C2132" s="24" t="s">
        <v>2345</v>
      </c>
      <c r="D2132" s="24" t="s">
        <v>165</v>
      </c>
      <c r="E2132" s="24">
        <v>46.61</v>
      </c>
      <c r="F2132" s="24">
        <v>6.91</v>
      </c>
    </row>
    <row r="2133" s="24" customFormat="1" spans="1:6">
      <c r="A2133" s="24" t="s">
        <v>142</v>
      </c>
      <c r="B2133" s="24" t="str">
        <f>"300806"</f>
        <v>300806</v>
      </c>
      <c r="C2133" s="24" t="s">
        <v>2346</v>
      </c>
      <c r="D2133" s="24" t="s">
        <v>228</v>
      </c>
      <c r="E2133" s="24">
        <v>46.6</v>
      </c>
      <c r="F2133" s="24">
        <v>3.96</v>
      </c>
    </row>
    <row r="2134" s="24" customFormat="1" spans="1:6">
      <c r="A2134" s="24" t="s">
        <v>140</v>
      </c>
      <c r="B2134" s="24" t="str">
        <f>"603023"</f>
        <v>603023</v>
      </c>
      <c r="C2134" s="24" t="s">
        <v>2347</v>
      </c>
      <c r="D2134" s="24" t="s">
        <v>152</v>
      </c>
      <c r="E2134" s="24">
        <v>46.58</v>
      </c>
      <c r="F2134" s="24">
        <v>2.9</v>
      </c>
    </row>
    <row r="2135" s="24" customFormat="1" spans="1:6">
      <c r="A2135" s="24" t="s">
        <v>140</v>
      </c>
      <c r="B2135" s="24" t="str">
        <f>"600996"</f>
        <v>600996</v>
      </c>
      <c r="C2135" s="24" t="s">
        <v>2348</v>
      </c>
      <c r="D2135" s="24" t="s">
        <v>170</v>
      </c>
      <c r="E2135" s="24">
        <v>46.55</v>
      </c>
      <c r="F2135" s="24">
        <v>1.95</v>
      </c>
    </row>
    <row r="2136" s="24" customFormat="1" spans="1:6">
      <c r="A2136" s="24" t="s">
        <v>140</v>
      </c>
      <c r="B2136" s="24" t="str">
        <f>"603060"</f>
        <v>603060</v>
      </c>
      <c r="C2136" s="24" t="s">
        <v>2349</v>
      </c>
      <c r="D2136" s="24" t="s">
        <v>214</v>
      </c>
      <c r="E2136" s="24">
        <v>46.53</v>
      </c>
      <c r="F2136" s="24">
        <v>5.66</v>
      </c>
    </row>
    <row r="2137" s="24" customFormat="1" spans="1:6">
      <c r="A2137" s="24" t="s">
        <v>142</v>
      </c>
      <c r="B2137" s="24" t="str">
        <f>"300635"</f>
        <v>300635</v>
      </c>
      <c r="C2137" s="24" t="s">
        <v>2350</v>
      </c>
      <c r="D2137" s="24" t="s">
        <v>214</v>
      </c>
      <c r="E2137" s="24">
        <v>46.51</v>
      </c>
      <c r="F2137" s="24">
        <v>5.6</v>
      </c>
    </row>
    <row r="2138" s="24" customFormat="1" spans="1:6">
      <c r="A2138" s="24" t="s">
        <v>142</v>
      </c>
      <c r="B2138" s="24" t="str">
        <f>"300395"</f>
        <v>300395</v>
      </c>
      <c r="C2138" s="24" t="s">
        <v>2351</v>
      </c>
      <c r="D2138" s="24" t="s">
        <v>644</v>
      </c>
      <c r="E2138" s="24">
        <v>46.5</v>
      </c>
      <c r="F2138" s="24">
        <v>3.38</v>
      </c>
    </row>
    <row r="2139" s="24" customFormat="1" spans="1:6">
      <c r="A2139" s="24" t="s">
        <v>142</v>
      </c>
      <c r="B2139" s="24" t="str">
        <f>"002401"</f>
        <v>002401</v>
      </c>
      <c r="C2139" s="24" t="s">
        <v>2352</v>
      </c>
      <c r="D2139" s="24" t="s">
        <v>156</v>
      </c>
      <c r="E2139" s="24">
        <v>46.47</v>
      </c>
      <c r="F2139" s="24">
        <v>3.43</v>
      </c>
    </row>
    <row r="2140" s="24" customFormat="1" spans="1:6">
      <c r="A2140" s="24" t="s">
        <v>142</v>
      </c>
      <c r="B2140" s="24" t="str">
        <f>"300332"</f>
        <v>300332</v>
      </c>
      <c r="C2140" s="24" t="s">
        <v>2353</v>
      </c>
      <c r="D2140" s="24" t="s">
        <v>195</v>
      </c>
      <c r="E2140" s="24">
        <v>46.47</v>
      </c>
      <c r="F2140" s="24">
        <v>1.37</v>
      </c>
    </row>
    <row r="2141" s="24" customFormat="1" spans="1:6">
      <c r="A2141" s="24" t="s">
        <v>142</v>
      </c>
      <c r="B2141" s="24" t="str">
        <f>"002773"</f>
        <v>002773</v>
      </c>
      <c r="C2141" s="24" t="s">
        <v>2354</v>
      </c>
      <c r="D2141" s="24" t="s">
        <v>388</v>
      </c>
      <c r="E2141" s="24">
        <v>46.41</v>
      </c>
      <c r="F2141" s="24">
        <v>7.44</v>
      </c>
    </row>
    <row r="2142" s="24" customFormat="1" spans="1:6">
      <c r="A2142" s="24" t="s">
        <v>142</v>
      </c>
      <c r="B2142" s="24" t="str">
        <f>"300066"</f>
        <v>300066</v>
      </c>
      <c r="C2142" s="24" t="s">
        <v>2355</v>
      </c>
      <c r="D2142" s="24" t="s">
        <v>173</v>
      </c>
      <c r="E2142" s="24">
        <v>46.38</v>
      </c>
      <c r="F2142" s="24">
        <v>3.12</v>
      </c>
    </row>
    <row r="2143" s="24" customFormat="1" spans="1:6">
      <c r="A2143" s="24" t="s">
        <v>140</v>
      </c>
      <c r="B2143" s="24" t="str">
        <f>"600353"</f>
        <v>600353</v>
      </c>
      <c r="C2143" s="24" t="s">
        <v>2356</v>
      </c>
      <c r="D2143" s="24" t="s">
        <v>197</v>
      </c>
      <c r="E2143" s="24">
        <v>46.37</v>
      </c>
      <c r="F2143" s="24">
        <v>2.53</v>
      </c>
    </row>
    <row r="2144" s="24" customFormat="1" spans="1:6">
      <c r="A2144" s="24" t="s">
        <v>140</v>
      </c>
      <c r="B2144" s="24" t="str">
        <f>"600183"</f>
        <v>600183</v>
      </c>
      <c r="C2144" s="24" t="s">
        <v>2357</v>
      </c>
      <c r="D2144" s="24" t="s">
        <v>197</v>
      </c>
      <c r="E2144" s="24">
        <v>46.36</v>
      </c>
      <c r="F2144" s="24">
        <v>6.66</v>
      </c>
    </row>
    <row r="2145" s="24" customFormat="1" spans="1:6">
      <c r="A2145" s="24" t="s">
        <v>142</v>
      </c>
      <c r="B2145" s="24" t="str">
        <f>"000790"</f>
        <v>000790</v>
      </c>
      <c r="C2145" s="24" t="s">
        <v>2358</v>
      </c>
      <c r="D2145" s="24" t="s">
        <v>388</v>
      </c>
      <c r="E2145" s="24">
        <v>46.33</v>
      </c>
      <c r="F2145" s="24">
        <v>3.56</v>
      </c>
    </row>
    <row r="2146" s="24" customFormat="1" spans="1:6">
      <c r="A2146" s="24" t="s">
        <v>140</v>
      </c>
      <c r="B2146" s="24" t="str">
        <f>"603336"</f>
        <v>603336</v>
      </c>
      <c r="C2146" s="24" t="s">
        <v>2359</v>
      </c>
      <c r="D2146" s="24" t="s">
        <v>145</v>
      </c>
      <c r="E2146" s="24">
        <v>46.27</v>
      </c>
      <c r="F2146" s="24">
        <v>3.89</v>
      </c>
    </row>
    <row r="2147" s="24" customFormat="1" spans="1:6">
      <c r="A2147" s="24" t="s">
        <v>142</v>
      </c>
      <c r="B2147" s="24" t="str">
        <f>"002276"</f>
        <v>002276</v>
      </c>
      <c r="C2147" s="24" t="s">
        <v>2360</v>
      </c>
      <c r="D2147" s="24" t="s">
        <v>251</v>
      </c>
      <c r="E2147" s="24">
        <v>46.24</v>
      </c>
      <c r="F2147" s="24">
        <v>2.17</v>
      </c>
    </row>
    <row r="2148" s="24" customFormat="1" spans="1:6">
      <c r="A2148" s="24" t="s">
        <v>142</v>
      </c>
      <c r="B2148" s="24" t="str">
        <f>"002326"</f>
        <v>002326</v>
      </c>
      <c r="C2148" s="24" t="s">
        <v>2361</v>
      </c>
      <c r="D2148" s="24" t="s">
        <v>256</v>
      </c>
      <c r="E2148" s="24">
        <v>46.23</v>
      </c>
      <c r="F2148" s="24">
        <v>4.75</v>
      </c>
    </row>
    <row r="2149" s="24" customFormat="1" spans="1:6">
      <c r="A2149" s="24" t="s">
        <v>142</v>
      </c>
      <c r="B2149" s="24" t="str">
        <f>"002946"</f>
        <v>002946</v>
      </c>
      <c r="C2149" s="24" t="s">
        <v>2362</v>
      </c>
      <c r="D2149" s="24" t="s">
        <v>190</v>
      </c>
      <c r="E2149" s="24">
        <v>46.13</v>
      </c>
      <c r="F2149" s="24">
        <v>5.13</v>
      </c>
    </row>
    <row r="2150" s="24" customFormat="1" spans="1:6">
      <c r="A2150" s="24" t="s">
        <v>140</v>
      </c>
      <c r="B2150" s="24" t="str">
        <f>"600459"</f>
        <v>600459</v>
      </c>
      <c r="C2150" s="24" t="s">
        <v>2363</v>
      </c>
      <c r="D2150" s="24" t="s">
        <v>167</v>
      </c>
      <c r="E2150" s="24">
        <v>46.11</v>
      </c>
      <c r="F2150" s="24">
        <v>2.43</v>
      </c>
    </row>
    <row r="2151" s="24" customFormat="1" spans="1:6">
      <c r="A2151" s="24" t="s">
        <v>142</v>
      </c>
      <c r="B2151" s="24" t="str">
        <f>"300781"</f>
        <v>300781</v>
      </c>
      <c r="C2151" s="24" t="s">
        <v>2364</v>
      </c>
      <c r="D2151" s="24" t="s">
        <v>170</v>
      </c>
      <c r="E2151" s="24">
        <v>46.04</v>
      </c>
      <c r="F2151" s="24">
        <v>4.49</v>
      </c>
    </row>
    <row r="2152" s="24" customFormat="1" spans="1:6">
      <c r="A2152" s="24" t="s">
        <v>140</v>
      </c>
      <c r="B2152" s="24" t="str">
        <f>"603698"</f>
        <v>603698</v>
      </c>
      <c r="C2152" s="24" t="s">
        <v>2365</v>
      </c>
      <c r="D2152" s="24" t="s">
        <v>214</v>
      </c>
      <c r="E2152" s="24">
        <v>46.02</v>
      </c>
      <c r="F2152" s="24">
        <v>2.2</v>
      </c>
    </row>
    <row r="2153" s="24" customFormat="1" spans="1:6">
      <c r="A2153" s="24" t="s">
        <v>140</v>
      </c>
      <c r="B2153" s="24" t="str">
        <f>"600444"</f>
        <v>600444</v>
      </c>
      <c r="C2153" s="24" t="s">
        <v>2366</v>
      </c>
      <c r="D2153" s="24" t="s">
        <v>573</v>
      </c>
      <c r="E2153" s="24">
        <v>46</v>
      </c>
      <c r="F2153" s="24">
        <v>2.39</v>
      </c>
    </row>
    <row r="2154" s="24" customFormat="1" spans="1:6">
      <c r="A2154" s="24" t="s">
        <v>142</v>
      </c>
      <c r="B2154" s="24" t="str">
        <f>"002939"</f>
        <v>002939</v>
      </c>
      <c r="C2154" s="24" t="s">
        <v>2367</v>
      </c>
      <c r="D2154" s="24" t="s">
        <v>714</v>
      </c>
      <c r="E2154" s="24">
        <v>46</v>
      </c>
      <c r="F2154" s="24">
        <v>2.32</v>
      </c>
    </row>
    <row r="2155" s="24" customFormat="1" spans="1:6">
      <c r="A2155" s="24" t="s">
        <v>142</v>
      </c>
      <c r="B2155" s="24" t="str">
        <f>"000553"</f>
        <v>000553</v>
      </c>
      <c r="C2155" s="24" t="s">
        <v>2368</v>
      </c>
      <c r="D2155" s="24" t="s">
        <v>278</v>
      </c>
      <c r="E2155" s="24">
        <v>45.99</v>
      </c>
      <c r="F2155" s="24">
        <v>1.26</v>
      </c>
    </row>
    <row r="2156" s="24" customFormat="1" spans="1:6">
      <c r="A2156" s="24" t="s">
        <v>142</v>
      </c>
      <c r="B2156" s="24" t="str">
        <f>"000750"</f>
        <v>000750</v>
      </c>
      <c r="C2156" s="24" t="s">
        <v>2369</v>
      </c>
      <c r="D2156" s="24" t="s">
        <v>714</v>
      </c>
      <c r="E2156" s="24">
        <v>45.81</v>
      </c>
      <c r="F2156" s="24">
        <v>1.31</v>
      </c>
    </row>
    <row r="2157" s="24" customFormat="1" spans="1:6">
      <c r="A2157" s="24" t="s">
        <v>142</v>
      </c>
      <c r="B2157" s="24" t="str">
        <f>"300217"</f>
        <v>300217</v>
      </c>
      <c r="C2157" s="24" t="s">
        <v>2370</v>
      </c>
      <c r="D2157" s="24" t="s">
        <v>184</v>
      </c>
      <c r="E2157" s="24">
        <v>45.78</v>
      </c>
      <c r="F2157" s="24">
        <v>1.43</v>
      </c>
    </row>
    <row r="2158" s="24" customFormat="1" spans="1:6">
      <c r="A2158" s="24" t="s">
        <v>142</v>
      </c>
      <c r="B2158" s="24" t="str">
        <f>"300718"</f>
        <v>300718</v>
      </c>
      <c r="C2158" s="24" t="s">
        <v>2371</v>
      </c>
      <c r="D2158" s="24" t="s">
        <v>165</v>
      </c>
      <c r="E2158" s="24">
        <v>45.75</v>
      </c>
      <c r="F2158" s="24">
        <v>4.41</v>
      </c>
    </row>
    <row r="2159" s="24" customFormat="1" spans="1:6">
      <c r="A2159" s="24" t="s">
        <v>142</v>
      </c>
      <c r="B2159" s="24" t="str">
        <f>"002725"</f>
        <v>002725</v>
      </c>
      <c r="C2159" s="24" t="s">
        <v>2372</v>
      </c>
      <c r="D2159" s="24" t="s">
        <v>204</v>
      </c>
      <c r="E2159" s="24">
        <v>45.7</v>
      </c>
      <c r="F2159" s="24">
        <v>2.66</v>
      </c>
    </row>
    <row r="2160" s="24" customFormat="1" spans="1:6">
      <c r="A2160" s="24" t="s">
        <v>142</v>
      </c>
      <c r="B2160" s="24" t="str">
        <f>"002927"</f>
        <v>002927</v>
      </c>
      <c r="C2160" s="24" t="s">
        <v>2373</v>
      </c>
      <c r="D2160" s="24" t="s">
        <v>251</v>
      </c>
      <c r="E2160" s="24">
        <v>45.63</v>
      </c>
      <c r="F2160" s="24">
        <v>3.87</v>
      </c>
    </row>
    <row r="2161" s="24" customFormat="1" spans="1:6">
      <c r="A2161" s="24" t="s">
        <v>140</v>
      </c>
      <c r="B2161" s="24" t="str">
        <f>"600505"</f>
        <v>600505</v>
      </c>
      <c r="C2161" s="24" t="s">
        <v>2374</v>
      </c>
      <c r="D2161" s="24" t="s">
        <v>188</v>
      </c>
      <c r="E2161" s="24">
        <v>45.62</v>
      </c>
      <c r="F2161" s="24">
        <v>2.45</v>
      </c>
    </row>
    <row r="2162" s="24" customFormat="1" spans="1:6">
      <c r="A2162" s="24" t="s">
        <v>142</v>
      </c>
      <c r="B2162" s="24" t="str">
        <f>"002165"</f>
        <v>002165</v>
      </c>
      <c r="C2162" s="24" t="s">
        <v>2375</v>
      </c>
      <c r="D2162" s="24" t="s">
        <v>256</v>
      </c>
      <c r="E2162" s="24">
        <v>45.61</v>
      </c>
      <c r="F2162" s="24">
        <v>1.64</v>
      </c>
    </row>
    <row r="2163" s="24" customFormat="1" spans="1:6">
      <c r="A2163" s="24" t="s">
        <v>142</v>
      </c>
      <c r="B2163" s="24" t="str">
        <f>"300726"</f>
        <v>300726</v>
      </c>
      <c r="C2163" s="24" t="s">
        <v>2376</v>
      </c>
      <c r="D2163" s="24" t="s">
        <v>197</v>
      </c>
      <c r="E2163" s="24">
        <v>45.6</v>
      </c>
      <c r="F2163" s="24">
        <v>6.42</v>
      </c>
    </row>
    <row r="2164" s="24" customFormat="1" spans="1:6">
      <c r="A2164" s="24" t="s">
        <v>142</v>
      </c>
      <c r="B2164" s="24" t="str">
        <f>"002567"</f>
        <v>002567</v>
      </c>
      <c r="C2164" s="24" t="s">
        <v>2377</v>
      </c>
      <c r="D2164" s="24" t="s">
        <v>145</v>
      </c>
      <c r="E2164" s="24">
        <v>45.57</v>
      </c>
      <c r="F2164" s="24">
        <v>2.24</v>
      </c>
    </row>
    <row r="2165" s="24" customFormat="1" spans="1:6">
      <c r="A2165" s="24" t="s">
        <v>142</v>
      </c>
      <c r="B2165" s="24" t="str">
        <f>"002878"</f>
        <v>002878</v>
      </c>
      <c r="C2165" s="24" t="s">
        <v>2378</v>
      </c>
      <c r="D2165" s="24" t="s">
        <v>170</v>
      </c>
      <c r="E2165" s="24">
        <v>45.55</v>
      </c>
      <c r="F2165" s="24">
        <v>9.4</v>
      </c>
    </row>
    <row r="2166" s="24" customFormat="1" spans="1:6">
      <c r="A2166" s="24" t="s">
        <v>140</v>
      </c>
      <c r="B2166" s="24" t="str">
        <f>"600644"</f>
        <v>600644</v>
      </c>
      <c r="C2166" s="24" t="s">
        <v>2379</v>
      </c>
      <c r="D2166" s="24" t="s">
        <v>188</v>
      </c>
      <c r="E2166" s="24">
        <v>45.53</v>
      </c>
      <c r="F2166" s="24">
        <v>1.73</v>
      </c>
    </row>
    <row r="2167" s="24" customFormat="1" spans="1:6">
      <c r="A2167" s="24" t="s">
        <v>142</v>
      </c>
      <c r="B2167" s="24" t="str">
        <f>"300563"</f>
        <v>300563</v>
      </c>
      <c r="C2167" s="24" t="s">
        <v>2380</v>
      </c>
      <c r="D2167" s="24" t="s">
        <v>193</v>
      </c>
      <c r="E2167" s="24">
        <v>45.35</v>
      </c>
      <c r="F2167" s="24">
        <v>4.03</v>
      </c>
    </row>
    <row r="2168" s="24" customFormat="1" spans="1:6">
      <c r="A2168" s="24" t="s">
        <v>142</v>
      </c>
      <c r="B2168" s="24" t="str">
        <f>"002352"</f>
        <v>002352</v>
      </c>
      <c r="C2168" s="24" t="s">
        <v>2381</v>
      </c>
      <c r="D2168" s="24" t="s">
        <v>177</v>
      </c>
      <c r="E2168" s="24">
        <v>45.35</v>
      </c>
      <c r="F2168" s="24">
        <v>5.25</v>
      </c>
    </row>
    <row r="2169" s="24" customFormat="1" spans="1:6">
      <c r="A2169" s="24" t="s">
        <v>142</v>
      </c>
      <c r="B2169" s="24" t="str">
        <f>"002246"</f>
        <v>002246</v>
      </c>
      <c r="C2169" s="24" t="s">
        <v>2382</v>
      </c>
      <c r="D2169" s="24" t="s">
        <v>256</v>
      </c>
      <c r="E2169" s="24">
        <v>45.29</v>
      </c>
      <c r="F2169" s="24">
        <v>1.88</v>
      </c>
    </row>
    <row r="2170" s="24" customFormat="1" spans="1:6">
      <c r="A2170" s="24" t="s">
        <v>142</v>
      </c>
      <c r="B2170" s="24" t="str">
        <f>"300122"</f>
        <v>300122</v>
      </c>
      <c r="C2170" s="24" t="s">
        <v>2383</v>
      </c>
      <c r="D2170" s="24" t="s">
        <v>326</v>
      </c>
      <c r="E2170" s="24">
        <v>45.24</v>
      </c>
      <c r="F2170" s="24">
        <v>19.09</v>
      </c>
    </row>
    <row r="2171" s="24" customFormat="1" spans="1:6">
      <c r="A2171" s="24" t="s">
        <v>142</v>
      </c>
      <c r="B2171" s="24" t="str">
        <f>"000799"</f>
        <v>000799</v>
      </c>
      <c r="C2171" s="24" t="s">
        <v>2384</v>
      </c>
      <c r="D2171" s="24" t="s">
        <v>309</v>
      </c>
      <c r="E2171" s="24">
        <v>45.23</v>
      </c>
      <c r="F2171" s="24">
        <v>4.59</v>
      </c>
    </row>
    <row r="2172" s="24" customFormat="1" spans="1:6">
      <c r="A2172" s="24" t="s">
        <v>142</v>
      </c>
      <c r="B2172" s="24" t="str">
        <f>"300003"</f>
        <v>300003</v>
      </c>
      <c r="C2172" s="24" t="s">
        <v>2385</v>
      </c>
      <c r="D2172" s="24" t="s">
        <v>618</v>
      </c>
      <c r="E2172" s="24">
        <v>45.22</v>
      </c>
      <c r="F2172" s="24">
        <v>12.97</v>
      </c>
    </row>
    <row r="2173" s="24" customFormat="1" spans="1:6">
      <c r="A2173" s="24" t="s">
        <v>140</v>
      </c>
      <c r="B2173" s="24" t="str">
        <f>"603779"</f>
        <v>603779</v>
      </c>
      <c r="C2173" s="24" t="s">
        <v>2386</v>
      </c>
      <c r="D2173" s="24" t="s">
        <v>309</v>
      </c>
      <c r="E2173" s="24">
        <v>45.2</v>
      </c>
      <c r="F2173" s="24">
        <v>1.31</v>
      </c>
    </row>
    <row r="2174" s="24" customFormat="1" spans="1:6">
      <c r="A2174" s="24" t="s">
        <v>142</v>
      </c>
      <c r="B2174" s="24" t="str">
        <f>"002735"</f>
        <v>002735</v>
      </c>
      <c r="C2174" s="24" t="s">
        <v>2387</v>
      </c>
      <c r="D2174" s="24" t="s">
        <v>228</v>
      </c>
      <c r="E2174" s="24">
        <v>45.2</v>
      </c>
      <c r="F2174" s="24">
        <v>4.32</v>
      </c>
    </row>
    <row r="2175" s="24" customFormat="1" spans="1:6">
      <c r="A2175" s="24" t="s">
        <v>142</v>
      </c>
      <c r="B2175" s="24" t="str">
        <f>"002530"</f>
        <v>002530</v>
      </c>
      <c r="C2175" s="24" t="s">
        <v>2388</v>
      </c>
      <c r="D2175" s="24" t="s">
        <v>163</v>
      </c>
      <c r="E2175" s="24">
        <v>45.18</v>
      </c>
      <c r="F2175" s="24">
        <v>4.68</v>
      </c>
    </row>
    <row r="2176" s="24" customFormat="1" spans="1:6">
      <c r="A2176" s="24" t="s">
        <v>142</v>
      </c>
      <c r="B2176" s="24" t="str">
        <f>"000547"</f>
        <v>000547</v>
      </c>
      <c r="C2176" s="24" t="s">
        <v>2389</v>
      </c>
      <c r="D2176" s="24" t="s">
        <v>193</v>
      </c>
      <c r="E2176" s="24">
        <v>45.12</v>
      </c>
      <c r="F2176" s="24">
        <v>4.02</v>
      </c>
    </row>
    <row r="2177" s="24" customFormat="1" spans="1:6">
      <c r="A2177" s="24" t="s">
        <v>142</v>
      </c>
      <c r="B2177" s="24" t="str">
        <f>"300773"</f>
        <v>300773</v>
      </c>
      <c r="C2177" s="24" t="s">
        <v>2390</v>
      </c>
      <c r="D2177" s="24" t="s">
        <v>813</v>
      </c>
      <c r="E2177" s="24">
        <v>45.07</v>
      </c>
      <c r="F2177" s="24">
        <v>6.28</v>
      </c>
    </row>
    <row r="2178" s="24" customFormat="1" spans="1:6">
      <c r="A2178" s="24" t="s">
        <v>142</v>
      </c>
      <c r="B2178" s="24" t="str">
        <f>"002957"</f>
        <v>002957</v>
      </c>
      <c r="C2178" s="24" t="s">
        <v>2391</v>
      </c>
      <c r="D2178" s="24" t="s">
        <v>173</v>
      </c>
      <c r="E2178" s="24">
        <v>45.06</v>
      </c>
      <c r="F2178" s="24">
        <v>5.62</v>
      </c>
    </row>
    <row r="2179" s="24" customFormat="1" spans="1:6">
      <c r="A2179" s="24" t="s">
        <v>142</v>
      </c>
      <c r="B2179" s="24" t="str">
        <f>"002917"</f>
        <v>002917</v>
      </c>
      <c r="C2179" s="24" t="s">
        <v>2392</v>
      </c>
      <c r="D2179" s="24" t="s">
        <v>228</v>
      </c>
      <c r="E2179" s="24">
        <v>45.02</v>
      </c>
      <c r="F2179" s="24">
        <v>3.77</v>
      </c>
    </row>
    <row r="2180" s="24" customFormat="1" spans="1:6">
      <c r="A2180" s="24" t="s">
        <v>142</v>
      </c>
      <c r="B2180" s="24" t="str">
        <f>"000630"</f>
        <v>000630</v>
      </c>
      <c r="C2180" s="24" t="s">
        <v>2393</v>
      </c>
      <c r="D2180" s="24" t="s">
        <v>167</v>
      </c>
      <c r="E2180" s="24">
        <v>44.99</v>
      </c>
      <c r="F2180" s="24">
        <v>1.19</v>
      </c>
    </row>
    <row r="2181" s="24" customFormat="1" spans="1:6">
      <c r="A2181" s="24" t="s">
        <v>142</v>
      </c>
      <c r="B2181" s="24" t="str">
        <f>"000070"</f>
        <v>000070</v>
      </c>
      <c r="C2181" s="24" t="s">
        <v>2394</v>
      </c>
      <c r="D2181" s="24" t="s">
        <v>193</v>
      </c>
      <c r="E2181" s="24">
        <v>44.96</v>
      </c>
      <c r="F2181" s="24">
        <v>3.51</v>
      </c>
    </row>
    <row r="2182" s="24" customFormat="1" spans="1:6">
      <c r="A2182" s="24" t="s">
        <v>140</v>
      </c>
      <c r="B2182" s="24" t="str">
        <f>"600737"</f>
        <v>600737</v>
      </c>
      <c r="C2182" s="24" t="s">
        <v>2395</v>
      </c>
      <c r="D2182" s="24" t="s">
        <v>190</v>
      </c>
      <c r="E2182" s="24">
        <v>44.76</v>
      </c>
      <c r="F2182" s="24">
        <v>2.35</v>
      </c>
    </row>
    <row r="2183" s="24" customFormat="1" spans="1:6">
      <c r="A2183" s="24" t="s">
        <v>142</v>
      </c>
      <c r="B2183" s="24" t="str">
        <f>"300034"</f>
        <v>300034</v>
      </c>
      <c r="C2183" s="24" t="s">
        <v>2396</v>
      </c>
      <c r="D2183" s="24" t="s">
        <v>167</v>
      </c>
      <c r="E2183" s="24">
        <v>44.73</v>
      </c>
      <c r="F2183" s="24">
        <v>3.54</v>
      </c>
    </row>
    <row r="2184" s="24" customFormat="1" spans="1:6">
      <c r="A2184" s="24" t="s">
        <v>140</v>
      </c>
      <c r="B2184" s="24" t="str">
        <f>"603806"</f>
        <v>603806</v>
      </c>
      <c r="C2184" s="24" t="s">
        <v>2397</v>
      </c>
      <c r="D2184" s="24" t="s">
        <v>230</v>
      </c>
      <c r="E2184" s="24">
        <v>44.73</v>
      </c>
      <c r="F2184" s="24">
        <v>4.68</v>
      </c>
    </row>
    <row r="2185" s="24" customFormat="1" spans="1:6">
      <c r="A2185" s="24" t="s">
        <v>142</v>
      </c>
      <c r="B2185" s="24" t="str">
        <f>"300119"</f>
        <v>300119</v>
      </c>
      <c r="C2185" s="24" t="s">
        <v>2398</v>
      </c>
      <c r="D2185" s="24" t="s">
        <v>326</v>
      </c>
      <c r="E2185" s="24">
        <v>44.71</v>
      </c>
      <c r="F2185" s="24">
        <v>3.22</v>
      </c>
    </row>
    <row r="2186" s="24" customFormat="1" spans="1:6">
      <c r="A2186" s="24" t="s">
        <v>140</v>
      </c>
      <c r="B2186" s="24" t="str">
        <f>"603687"</f>
        <v>603687</v>
      </c>
      <c r="C2186" s="24" t="s">
        <v>2399</v>
      </c>
      <c r="D2186" s="24" t="s">
        <v>290</v>
      </c>
      <c r="E2186" s="24">
        <v>44.67</v>
      </c>
      <c r="F2186" s="24">
        <v>3.64</v>
      </c>
    </row>
    <row r="2187" s="24" customFormat="1" spans="1:6">
      <c r="A2187" s="24" t="s">
        <v>140</v>
      </c>
      <c r="B2187" s="24" t="str">
        <f>"600038"</f>
        <v>600038</v>
      </c>
      <c r="C2187" s="24" t="s">
        <v>2400</v>
      </c>
      <c r="D2187" s="24" t="s">
        <v>395</v>
      </c>
      <c r="E2187" s="24">
        <v>44.64</v>
      </c>
      <c r="F2187" s="24">
        <v>3.08</v>
      </c>
    </row>
    <row r="2188" s="24" customFormat="1" spans="1:6">
      <c r="A2188" s="24" t="s">
        <v>140</v>
      </c>
      <c r="B2188" s="24" t="str">
        <f>"600879"</f>
        <v>600879</v>
      </c>
      <c r="C2188" s="24" t="s">
        <v>2401</v>
      </c>
      <c r="D2188" s="24" t="s">
        <v>395</v>
      </c>
      <c r="E2188" s="24">
        <v>44.6</v>
      </c>
      <c r="F2188" s="24">
        <v>1.51</v>
      </c>
    </row>
    <row r="2189" s="24" customFormat="1" spans="1:6">
      <c r="A2189" s="24" t="s">
        <v>142</v>
      </c>
      <c r="B2189" s="24" t="str">
        <f>"300504"</f>
        <v>300504</v>
      </c>
      <c r="C2189" s="24" t="s">
        <v>2402</v>
      </c>
      <c r="D2189" s="24" t="s">
        <v>193</v>
      </c>
      <c r="E2189" s="24">
        <v>44.59</v>
      </c>
      <c r="F2189" s="24">
        <v>3.11</v>
      </c>
    </row>
    <row r="2190" s="24" customFormat="1" spans="1:6">
      <c r="A2190" s="24" t="s">
        <v>142</v>
      </c>
      <c r="B2190" s="24" t="str">
        <f>"000949"</f>
        <v>000949</v>
      </c>
      <c r="C2190" s="24" t="s">
        <v>2403</v>
      </c>
      <c r="D2190" s="24" t="s">
        <v>302</v>
      </c>
      <c r="E2190" s="24">
        <v>44.58</v>
      </c>
      <c r="F2190" s="24">
        <v>1.33</v>
      </c>
    </row>
    <row r="2191" s="24" customFormat="1" spans="1:6">
      <c r="A2191" s="24" t="s">
        <v>142</v>
      </c>
      <c r="B2191" s="24" t="str">
        <f>"002931"</f>
        <v>002931</v>
      </c>
      <c r="C2191" s="24" t="s">
        <v>2404</v>
      </c>
      <c r="D2191" s="24" t="s">
        <v>165</v>
      </c>
      <c r="E2191" s="24">
        <v>44.46</v>
      </c>
      <c r="F2191" s="24">
        <v>4.27</v>
      </c>
    </row>
    <row r="2192" s="24" customFormat="1" spans="1:6">
      <c r="A2192" s="24" t="s">
        <v>140</v>
      </c>
      <c r="B2192" s="24" t="str">
        <f>"600609"</f>
        <v>600609</v>
      </c>
      <c r="C2192" s="24" t="s">
        <v>2405</v>
      </c>
      <c r="D2192" s="24" t="s">
        <v>175</v>
      </c>
      <c r="E2192" s="24">
        <v>44.46</v>
      </c>
      <c r="F2192" s="24">
        <v>9.07</v>
      </c>
    </row>
    <row r="2193" s="24" customFormat="1" spans="1:6">
      <c r="A2193" s="24" t="s">
        <v>142</v>
      </c>
      <c r="B2193" s="24" t="str">
        <f>"300683"</f>
        <v>300683</v>
      </c>
      <c r="C2193" s="24" t="s">
        <v>2406</v>
      </c>
      <c r="D2193" s="24" t="s">
        <v>326</v>
      </c>
      <c r="E2193" s="24">
        <v>44.42</v>
      </c>
      <c r="F2193" s="24">
        <v>2.02</v>
      </c>
    </row>
    <row r="2194" s="24" customFormat="1" spans="1:6">
      <c r="A2194" s="24" t="s">
        <v>140</v>
      </c>
      <c r="B2194" s="24" t="str">
        <f>"601020"</f>
        <v>601020</v>
      </c>
      <c r="C2194" s="24" t="s">
        <v>2407</v>
      </c>
      <c r="D2194" s="24" t="s">
        <v>167</v>
      </c>
      <c r="E2194" s="24">
        <v>44.37</v>
      </c>
      <c r="F2194" s="24">
        <v>1.98</v>
      </c>
    </row>
    <row r="2195" s="24" customFormat="1" spans="1:6">
      <c r="A2195" s="24" t="s">
        <v>142</v>
      </c>
      <c r="B2195" s="24" t="str">
        <f>"300280"</f>
        <v>300280</v>
      </c>
      <c r="C2195" s="24" t="s">
        <v>2408</v>
      </c>
      <c r="D2195" s="24" t="s">
        <v>165</v>
      </c>
      <c r="E2195" s="24">
        <v>44.37</v>
      </c>
      <c r="F2195" s="24">
        <v>3.42</v>
      </c>
    </row>
    <row r="2196" s="24" customFormat="1" spans="1:6">
      <c r="A2196" s="24" t="s">
        <v>142</v>
      </c>
      <c r="B2196" s="24" t="str">
        <f>"300810"</f>
        <v>300810</v>
      </c>
      <c r="C2196" s="24" t="s">
        <v>2409</v>
      </c>
      <c r="D2196" s="24" t="s">
        <v>159</v>
      </c>
      <c r="E2196" s="24">
        <v>44.36</v>
      </c>
      <c r="F2196" s="24">
        <v>4.75</v>
      </c>
    </row>
    <row r="2197" s="24" customFormat="1" spans="1:6">
      <c r="A2197" s="24" t="s">
        <v>142</v>
      </c>
      <c r="B2197" s="24" t="str">
        <f>"300084"</f>
        <v>300084</v>
      </c>
      <c r="C2197" s="24" t="s">
        <v>2410</v>
      </c>
      <c r="D2197" s="24" t="s">
        <v>377</v>
      </c>
      <c r="E2197" s="24">
        <v>44.28</v>
      </c>
      <c r="F2197" s="24">
        <v>1.12</v>
      </c>
    </row>
    <row r="2198" s="24" customFormat="1" spans="1:6">
      <c r="A2198" s="24" t="s">
        <v>142</v>
      </c>
      <c r="B2198" s="24" t="str">
        <f>"002550"</f>
        <v>002550</v>
      </c>
      <c r="C2198" s="24" t="s">
        <v>2411</v>
      </c>
      <c r="D2198" s="24" t="s">
        <v>464</v>
      </c>
      <c r="E2198" s="24">
        <v>44.24</v>
      </c>
      <c r="F2198" s="24">
        <v>2.47</v>
      </c>
    </row>
    <row r="2199" s="24" customFormat="1" spans="1:6">
      <c r="A2199" s="24" t="s">
        <v>140</v>
      </c>
      <c r="B2199" s="24" t="str">
        <f>"603220"</f>
        <v>603220</v>
      </c>
      <c r="C2199" s="24" t="s">
        <v>2412</v>
      </c>
      <c r="D2199" s="24" t="s">
        <v>193</v>
      </c>
      <c r="E2199" s="24">
        <v>44.24</v>
      </c>
      <c r="F2199" s="24">
        <v>4.14</v>
      </c>
    </row>
    <row r="2200" s="24" customFormat="1" spans="1:6">
      <c r="A2200" s="24" t="s">
        <v>140</v>
      </c>
      <c r="B2200" s="24" t="str">
        <f>"603989"</f>
        <v>603989</v>
      </c>
      <c r="C2200" s="24" t="s">
        <v>2413</v>
      </c>
      <c r="D2200" s="24" t="s">
        <v>197</v>
      </c>
      <c r="E2200" s="24">
        <v>44.04</v>
      </c>
      <c r="F2200" s="24">
        <v>5.21</v>
      </c>
    </row>
    <row r="2201" s="24" customFormat="1" spans="1:6">
      <c r="A2201" s="24" t="s">
        <v>142</v>
      </c>
      <c r="B2201" s="24" t="str">
        <f>"300533"</f>
        <v>300533</v>
      </c>
      <c r="C2201" s="24" t="s">
        <v>2414</v>
      </c>
      <c r="D2201" s="24" t="s">
        <v>163</v>
      </c>
      <c r="E2201" s="24">
        <v>44</v>
      </c>
      <c r="F2201" s="24">
        <v>3.24</v>
      </c>
    </row>
    <row r="2202" s="24" customFormat="1" spans="1:6">
      <c r="A2202" s="24" t="s">
        <v>140</v>
      </c>
      <c r="B2202" s="24" t="str">
        <f>"600756"</f>
        <v>600756</v>
      </c>
      <c r="C2202" s="24" t="s">
        <v>2415</v>
      </c>
      <c r="D2202" s="24" t="s">
        <v>156</v>
      </c>
      <c r="E2202" s="24">
        <v>44</v>
      </c>
      <c r="F2202" s="24">
        <v>2.85</v>
      </c>
    </row>
    <row r="2203" s="24" customFormat="1" spans="1:6">
      <c r="A2203" s="24" t="s">
        <v>142</v>
      </c>
      <c r="B2203" s="24" t="str">
        <f>"300054"</f>
        <v>300054</v>
      </c>
      <c r="C2203" s="24" t="s">
        <v>2416</v>
      </c>
      <c r="D2203" s="24" t="s">
        <v>256</v>
      </c>
      <c r="E2203" s="24">
        <v>43.96</v>
      </c>
      <c r="F2203" s="24">
        <v>3.01</v>
      </c>
    </row>
    <row r="2204" s="24" customFormat="1" spans="1:6">
      <c r="A2204" s="24" t="s">
        <v>142</v>
      </c>
      <c r="B2204" s="24" t="str">
        <f>"002892"</f>
        <v>002892</v>
      </c>
      <c r="C2204" s="24" t="s">
        <v>2417</v>
      </c>
      <c r="D2204" s="24" t="s">
        <v>251</v>
      </c>
      <c r="E2204" s="24">
        <v>43.9</v>
      </c>
      <c r="F2204" s="24">
        <v>5.25</v>
      </c>
    </row>
    <row r="2205" s="24" customFormat="1" spans="1:6">
      <c r="A2205" s="24" t="s">
        <v>142</v>
      </c>
      <c r="B2205" s="24" t="str">
        <f>"002880"</f>
        <v>002880</v>
      </c>
      <c r="C2205" s="24" t="s">
        <v>2418</v>
      </c>
      <c r="D2205" s="24" t="s">
        <v>326</v>
      </c>
      <c r="E2205" s="24">
        <v>43.89</v>
      </c>
      <c r="F2205" s="24">
        <v>4.83</v>
      </c>
    </row>
    <row r="2206" s="24" customFormat="1" spans="1:6">
      <c r="A2206" s="24" t="s">
        <v>142</v>
      </c>
      <c r="B2206" s="24" t="str">
        <f>"300591"</f>
        <v>300591</v>
      </c>
      <c r="C2206" s="24" t="s">
        <v>2419</v>
      </c>
      <c r="D2206" s="24" t="s">
        <v>161</v>
      </c>
      <c r="E2206" s="24">
        <v>43.85</v>
      </c>
      <c r="F2206" s="24">
        <v>3.65</v>
      </c>
    </row>
    <row r="2207" s="24" customFormat="1" spans="1:6">
      <c r="A2207" s="24" t="s">
        <v>142</v>
      </c>
      <c r="B2207" s="24" t="str">
        <f>"300789"</f>
        <v>300789</v>
      </c>
      <c r="C2207" s="24" t="s">
        <v>2420</v>
      </c>
      <c r="D2207" s="24" t="s">
        <v>152</v>
      </c>
      <c r="E2207" s="24">
        <v>43.8</v>
      </c>
      <c r="F2207" s="24">
        <v>5.04</v>
      </c>
    </row>
    <row r="2208" s="24" customFormat="1" spans="1:6">
      <c r="A2208" s="24" t="s">
        <v>142</v>
      </c>
      <c r="B2208" s="24" t="str">
        <f>"000912"</f>
        <v>000912</v>
      </c>
      <c r="C2208" s="24" t="s">
        <v>2421</v>
      </c>
      <c r="D2208" s="24" t="s">
        <v>278</v>
      </c>
      <c r="E2208" s="24">
        <v>43.72</v>
      </c>
      <c r="F2208" s="24">
        <v>1.37</v>
      </c>
    </row>
    <row r="2209" s="24" customFormat="1" spans="1:6">
      <c r="A2209" s="24" t="s">
        <v>140</v>
      </c>
      <c r="B2209" s="24" t="str">
        <f>"601880"</f>
        <v>601880</v>
      </c>
      <c r="C2209" s="24" t="s">
        <v>2422</v>
      </c>
      <c r="D2209" s="24" t="s">
        <v>1016</v>
      </c>
      <c r="E2209" s="24">
        <v>43.71</v>
      </c>
      <c r="F2209" s="24">
        <v>1.25</v>
      </c>
    </row>
    <row r="2210" s="24" customFormat="1" spans="1:6">
      <c r="A2210" s="24" t="s">
        <v>142</v>
      </c>
      <c r="B2210" s="24" t="str">
        <f>"300244"</f>
        <v>300244</v>
      </c>
      <c r="C2210" s="24" t="s">
        <v>2423</v>
      </c>
      <c r="D2210" s="24" t="s">
        <v>348</v>
      </c>
      <c r="E2210" s="24">
        <v>43.69</v>
      </c>
      <c r="F2210" s="24">
        <v>7.79</v>
      </c>
    </row>
    <row r="2211" s="24" customFormat="1" spans="1:6">
      <c r="A2211" s="24" t="s">
        <v>140</v>
      </c>
      <c r="B2211" s="24" t="str">
        <f>"603982"</f>
        <v>603982</v>
      </c>
      <c r="C2211" s="24" t="s">
        <v>2424</v>
      </c>
      <c r="D2211" s="24" t="s">
        <v>204</v>
      </c>
      <c r="E2211" s="24">
        <v>43.6</v>
      </c>
      <c r="F2211" s="24">
        <v>2.29</v>
      </c>
    </row>
    <row r="2212" s="24" customFormat="1" spans="1:6">
      <c r="A2212" s="24" t="s">
        <v>140</v>
      </c>
      <c r="B2212" s="24" t="str">
        <f>"601500"</f>
        <v>601500</v>
      </c>
      <c r="C2212" s="24" t="s">
        <v>2425</v>
      </c>
      <c r="D2212" s="24" t="s">
        <v>204</v>
      </c>
      <c r="E2212" s="24">
        <v>43.55</v>
      </c>
      <c r="F2212" s="24">
        <v>1.35</v>
      </c>
    </row>
    <row r="2213" s="24" customFormat="1" spans="1:6">
      <c r="A2213" s="24" t="s">
        <v>140</v>
      </c>
      <c r="B2213" s="24" t="str">
        <f>"603908"</f>
        <v>603908</v>
      </c>
      <c r="C2213" s="24" t="s">
        <v>2426</v>
      </c>
      <c r="D2213" s="24" t="s">
        <v>161</v>
      </c>
      <c r="E2213" s="24">
        <v>43.54</v>
      </c>
      <c r="F2213" s="24">
        <v>3.33</v>
      </c>
    </row>
    <row r="2214" s="24" customFormat="1" spans="1:6">
      <c r="A2214" s="24" t="s">
        <v>140</v>
      </c>
      <c r="B2214" s="24" t="str">
        <f>"601113"</f>
        <v>601113</v>
      </c>
      <c r="C2214" s="24" t="s">
        <v>2427</v>
      </c>
      <c r="D2214" s="24" t="s">
        <v>302</v>
      </c>
      <c r="E2214" s="24">
        <v>43.53</v>
      </c>
      <c r="F2214" s="24">
        <v>0.74</v>
      </c>
    </row>
    <row r="2215" s="24" customFormat="1" spans="1:6">
      <c r="A2215" s="24" t="s">
        <v>140</v>
      </c>
      <c r="B2215" s="24" t="str">
        <f>"600370"</f>
        <v>600370</v>
      </c>
      <c r="C2215" s="24" t="s">
        <v>2428</v>
      </c>
      <c r="D2215" s="24" t="s">
        <v>253</v>
      </c>
      <c r="E2215" s="24">
        <v>43.52</v>
      </c>
      <c r="F2215" s="24">
        <v>1.62</v>
      </c>
    </row>
    <row r="2216" s="24" customFormat="1" spans="1:6">
      <c r="A2216" s="24" t="s">
        <v>142</v>
      </c>
      <c r="B2216" s="24" t="str">
        <f>"002651"</f>
        <v>002651</v>
      </c>
      <c r="C2216" s="24" t="s">
        <v>2429</v>
      </c>
      <c r="D2216" s="24" t="s">
        <v>173</v>
      </c>
      <c r="E2216" s="24">
        <v>43.52</v>
      </c>
      <c r="F2216" s="24">
        <v>2.42</v>
      </c>
    </row>
    <row r="2217" s="24" customFormat="1" spans="1:6">
      <c r="A2217" s="24" t="s">
        <v>140</v>
      </c>
      <c r="B2217" s="24" t="str">
        <f>"603090"</f>
        <v>603090</v>
      </c>
      <c r="C2217" s="24" t="s">
        <v>2430</v>
      </c>
      <c r="D2217" s="24" t="s">
        <v>165</v>
      </c>
      <c r="E2217" s="24">
        <v>43.35</v>
      </c>
      <c r="F2217" s="24">
        <v>3.47</v>
      </c>
    </row>
    <row r="2218" s="24" customFormat="1" spans="1:6">
      <c r="A2218" s="24" t="s">
        <v>142</v>
      </c>
      <c r="B2218" s="24" t="str">
        <f>"300622"</f>
        <v>300622</v>
      </c>
      <c r="C2218" s="24" t="s">
        <v>2431</v>
      </c>
      <c r="D2218" s="24" t="s">
        <v>207</v>
      </c>
      <c r="E2218" s="24">
        <v>43.27</v>
      </c>
      <c r="F2218" s="24">
        <v>4.05</v>
      </c>
    </row>
    <row r="2219" s="24" customFormat="1" spans="1:6">
      <c r="A2219" s="24" t="s">
        <v>142</v>
      </c>
      <c r="B2219" s="24" t="str">
        <f>"300559"</f>
        <v>300559</v>
      </c>
      <c r="C2219" s="24" t="s">
        <v>2432</v>
      </c>
      <c r="D2219" s="24" t="s">
        <v>156</v>
      </c>
      <c r="E2219" s="24">
        <v>43.18</v>
      </c>
      <c r="F2219" s="24">
        <v>9.97</v>
      </c>
    </row>
    <row r="2220" s="24" customFormat="1" spans="1:6">
      <c r="A2220" s="24" t="s">
        <v>142</v>
      </c>
      <c r="B2220" s="24" t="str">
        <f>"000819"</f>
        <v>000819</v>
      </c>
      <c r="C2220" s="24" t="s">
        <v>2433</v>
      </c>
      <c r="D2220" s="24" t="s">
        <v>256</v>
      </c>
      <c r="E2220" s="24">
        <v>43.08</v>
      </c>
      <c r="F2220" s="24">
        <v>3.15</v>
      </c>
    </row>
    <row r="2221" s="24" customFormat="1" spans="1:6">
      <c r="A2221" s="24" t="s">
        <v>142</v>
      </c>
      <c r="B2221" s="24" t="str">
        <f>"300517"</f>
        <v>300517</v>
      </c>
      <c r="C2221" s="24" t="s">
        <v>2434</v>
      </c>
      <c r="D2221" s="24" t="s">
        <v>315</v>
      </c>
      <c r="E2221" s="24">
        <v>43.06</v>
      </c>
      <c r="F2221" s="24">
        <v>2.11</v>
      </c>
    </row>
    <row r="2222" s="24" customFormat="1" spans="1:6">
      <c r="A2222" s="24" t="s">
        <v>140</v>
      </c>
      <c r="B2222" s="24" t="str">
        <f>"600885"</f>
        <v>600885</v>
      </c>
      <c r="C2222" s="24" t="s">
        <v>2435</v>
      </c>
      <c r="D2222" s="24" t="s">
        <v>251</v>
      </c>
      <c r="E2222" s="24">
        <v>43.06</v>
      </c>
      <c r="F2222" s="24">
        <v>5.59</v>
      </c>
    </row>
    <row r="2223" s="24" customFormat="1" spans="1:6">
      <c r="A2223" s="24" t="s">
        <v>142</v>
      </c>
      <c r="B2223" s="24" t="str">
        <f>"002546"</f>
        <v>002546</v>
      </c>
      <c r="C2223" s="24" t="s">
        <v>2436</v>
      </c>
      <c r="D2223" s="24" t="s">
        <v>251</v>
      </c>
      <c r="E2223" s="24">
        <v>43.03</v>
      </c>
      <c r="F2223" s="24">
        <v>1.09</v>
      </c>
    </row>
    <row r="2224" s="24" customFormat="1" spans="1:6">
      <c r="A2224" s="24" t="s">
        <v>142</v>
      </c>
      <c r="B2224" s="24" t="str">
        <f>"300535"</f>
        <v>300535</v>
      </c>
      <c r="C2224" s="24" t="s">
        <v>2437</v>
      </c>
      <c r="D2224" s="24" t="s">
        <v>228</v>
      </c>
      <c r="E2224" s="24">
        <v>42.95</v>
      </c>
      <c r="F2224" s="24">
        <v>1.71</v>
      </c>
    </row>
    <row r="2225" s="24" customFormat="1" spans="1:6">
      <c r="A2225" s="24" t="s">
        <v>142</v>
      </c>
      <c r="B2225" s="24" t="str">
        <f>"300586"</f>
        <v>300586</v>
      </c>
      <c r="C2225" s="24" t="s">
        <v>2438</v>
      </c>
      <c r="D2225" s="24" t="s">
        <v>228</v>
      </c>
      <c r="E2225" s="24">
        <v>42.95</v>
      </c>
      <c r="F2225" s="24">
        <v>7.3</v>
      </c>
    </row>
    <row r="2226" s="24" customFormat="1" spans="1:6">
      <c r="A2226" s="24" t="s">
        <v>142</v>
      </c>
      <c r="B2226" s="24" t="str">
        <f>"002692"</f>
        <v>002692</v>
      </c>
      <c r="C2226" s="24" t="s">
        <v>2439</v>
      </c>
      <c r="D2226" s="24" t="s">
        <v>251</v>
      </c>
      <c r="E2226" s="24">
        <v>42.88</v>
      </c>
      <c r="F2226" s="24">
        <v>2.69</v>
      </c>
    </row>
    <row r="2227" s="24" customFormat="1" spans="1:6">
      <c r="A2227" s="24" t="s">
        <v>142</v>
      </c>
      <c r="B2227" s="24" t="str">
        <f>"000545"</f>
        <v>000545</v>
      </c>
      <c r="C2227" s="24" t="s">
        <v>2440</v>
      </c>
      <c r="D2227" s="24" t="s">
        <v>256</v>
      </c>
      <c r="E2227" s="24">
        <v>42.86</v>
      </c>
      <c r="F2227" s="24">
        <v>1.26</v>
      </c>
    </row>
    <row r="2228" s="24" customFormat="1" spans="1:6">
      <c r="A2228" s="24" t="s">
        <v>142</v>
      </c>
      <c r="B2228" s="24" t="str">
        <f>"300476"</f>
        <v>300476</v>
      </c>
      <c r="C2228" s="24" t="s">
        <v>2441</v>
      </c>
      <c r="D2228" s="24" t="s">
        <v>197</v>
      </c>
      <c r="E2228" s="24">
        <v>42.85</v>
      </c>
      <c r="F2228" s="24">
        <v>5.94</v>
      </c>
    </row>
    <row r="2229" s="24" customFormat="1" spans="1:6">
      <c r="A2229" s="24" t="s">
        <v>142</v>
      </c>
      <c r="B2229" s="24" t="str">
        <f>"300536"</f>
        <v>300536</v>
      </c>
      <c r="C2229" s="24" t="s">
        <v>2442</v>
      </c>
      <c r="D2229" s="24" t="s">
        <v>315</v>
      </c>
      <c r="E2229" s="24">
        <v>42.85</v>
      </c>
      <c r="F2229" s="24">
        <v>3.9</v>
      </c>
    </row>
    <row r="2230" s="24" customFormat="1" spans="1:6">
      <c r="A2230" s="24" t="s">
        <v>140</v>
      </c>
      <c r="B2230" s="24" t="str">
        <f>"603662"</f>
        <v>603662</v>
      </c>
      <c r="C2230" s="24" t="s">
        <v>2443</v>
      </c>
      <c r="D2230" s="24" t="s">
        <v>165</v>
      </c>
      <c r="E2230" s="24">
        <v>42.79</v>
      </c>
      <c r="F2230" s="24">
        <v>3.31</v>
      </c>
    </row>
    <row r="2231" s="24" customFormat="1" spans="1:6">
      <c r="A2231" s="24" t="s">
        <v>142</v>
      </c>
      <c r="B2231" s="24" t="str">
        <f>"002975"</f>
        <v>002975</v>
      </c>
      <c r="C2231" s="24" t="s">
        <v>2444</v>
      </c>
      <c r="D2231" s="24"/>
      <c r="E2231" s="24">
        <v>42.79</v>
      </c>
      <c r="F2231" s="24">
        <v>5.49</v>
      </c>
    </row>
    <row r="2232" s="24" customFormat="1" spans="1:6">
      <c r="A2232" s="24" t="s">
        <v>142</v>
      </c>
      <c r="B2232" s="24" t="str">
        <f>"002366"</f>
        <v>002366</v>
      </c>
      <c r="C2232" s="24" t="s">
        <v>2445</v>
      </c>
      <c r="D2232" s="24" t="s">
        <v>173</v>
      </c>
      <c r="E2232" s="24">
        <v>42.7</v>
      </c>
      <c r="F2232" s="24">
        <v>1.66</v>
      </c>
    </row>
    <row r="2233" s="24" customFormat="1" spans="1:6">
      <c r="A2233" s="24" t="s">
        <v>142</v>
      </c>
      <c r="B2233" s="24" t="str">
        <f>"002037"</f>
        <v>002037</v>
      </c>
      <c r="C2233" s="24" t="s">
        <v>2446</v>
      </c>
      <c r="D2233" s="24" t="s">
        <v>228</v>
      </c>
      <c r="E2233" s="24">
        <v>42.7</v>
      </c>
      <c r="F2233" s="24">
        <v>0.94</v>
      </c>
    </row>
    <row r="2234" s="24" customFormat="1" spans="1:6">
      <c r="A2234" s="24" t="s">
        <v>142</v>
      </c>
      <c r="B2234" s="24" t="str">
        <f>"002566"</f>
        <v>002566</v>
      </c>
      <c r="C2234" s="24" t="s">
        <v>2447</v>
      </c>
      <c r="D2234" s="24" t="s">
        <v>388</v>
      </c>
      <c r="E2234" s="24">
        <v>42.66</v>
      </c>
      <c r="F2234" s="24">
        <v>1.25</v>
      </c>
    </row>
    <row r="2235" s="24" customFormat="1" spans="1:6">
      <c r="A2235" s="24" t="s">
        <v>142</v>
      </c>
      <c r="B2235" s="24" t="str">
        <f>"300341"</f>
        <v>300341</v>
      </c>
      <c r="C2235" s="24" t="s">
        <v>2448</v>
      </c>
      <c r="D2235" s="24" t="s">
        <v>251</v>
      </c>
      <c r="E2235" s="24">
        <v>42.62</v>
      </c>
      <c r="F2235" s="24">
        <v>7.11</v>
      </c>
    </row>
    <row r="2236" s="24" customFormat="1" spans="1:6">
      <c r="A2236" s="24" t="s">
        <v>142</v>
      </c>
      <c r="B2236" s="24" t="str">
        <f>"002126"</f>
        <v>002126</v>
      </c>
      <c r="C2236" s="24" t="s">
        <v>2449</v>
      </c>
      <c r="D2236" s="24" t="s">
        <v>204</v>
      </c>
      <c r="E2236" s="24">
        <v>42.6</v>
      </c>
      <c r="F2236" s="24">
        <v>2.52</v>
      </c>
    </row>
    <row r="2237" s="24" customFormat="1" spans="1:6">
      <c r="A2237" s="24" t="s">
        <v>142</v>
      </c>
      <c r="B2237" s="24" t="str">
        <f>"000636"</f>
        <v>000636</v>
      </c>
      <c r="C2237" s="24" t="s">
        <v>2450</v>
      </c>
      <c r="D2237" s="24" t="s">
        <v>197</v>
      </c>
      <c r="E2237" s="24">
        <v>42.47</v>
      </c>
      <c r="F2237" s="24">
        <v>3.11</v>
      </c>
    </row>
    <row r="2238" s="24" customFormat="1" spans="1:6">
      <c r="A2238" s="24" t="s">
        <v>142</v>
      </c>
      <c r="B2238" s="24" t="str">
        <f>"300261"</f>
        <v>300261</v>
      </c>
      <c r="C2238" s="24" t="s">
        <v>2451</v>
      </c>
      <c r="D2238" s="24" t="s">
        <v>278</v>
      </c>
      <c r="E2238" s="24">
        <v>42.4</v>
      </c>
      <c r="F2238" s="24">
        <v>3.47</v>
      </c>
    </row>
    <row r="2239" s="24" customFormat="1" spans="1:6">
      <c r="A2239" s="24" t="s">
        <v>140</v>
      </c>
      <c r="B2239" s="24" t="str">
        <f>"601899"</f>
        <v>601899</v>
      </c>
      <c r="C2239" s="24" t="s">
        <v>2452</v>
      </c>
      <c r="D2239" s="24" t="s">
        <v>167</v>
      </c>
      <c r="E2239" s="24">
        <v>42.38</v>
      </c>
      <c r="F2239" s="24">
        <v>2.48</v>
      </c>
    </row>
    <row r="2240" s="24" customFormat="1" spans="1:6">
      <c r="A2240" s="24" t="s">
        <v>142</v>
      </c>
      <c r="B2240" s="24" t="str">
        <f>"002877"</f>
        <v>002877</v>
      </c>
      <c r="C2240" s="24" t="s">
        <v>2453</v>
      </c>
      <c r="D2240" s="24" t="s">
        <v>165</v>
      </c>
      <c r="E2240" s="24">
        <v>42.35</v>
      </c>
      <c r="F2240" s="24">
        <v>3.67</v>
      </c>
    </row>
    <row r="2241" s="24" customFormat="1" spans="1:6">
      <c r="A2241" s="24" t="s">
        <v>140</v>
      </c>
      <c r="B2241" s="24" t="str">
        <f>"600969"</f>
        <v>600969</v>
      </c>
      <c r="C2241" s="24" t="s">
        <v>2454</v>
      </c>
      <c r="D2241" s="24" t="s">
        <v>188</v>
      </c>
      <c r="E2241" s="24">
        <v>42.32</v>
      </c>
      <c r="F2241" s="24">
        <v>0.63</v>
      </c>
    </row>
    <row r="2242" s="24" customFormat="1" spans="1:6">
      <c r="A2242" s="24" t="s">
        <v>142</v>
      </c>
      <c r="B2242" s="24" t="str">
        <f>"300037"</f>
        <v>300037</v>
      </c>
      <c r="C2242" s="24" t="s">
        <v>2455</v>
      </c>
      <c r="D2242" s="24" t="s">
        <v>256</v>
      </c>
      <c r="E2242" s="24">
        <v>42.31</v>
      </c>
      <c r="F2242" s="24">
        <v>5.42</v>
      </c>
    </row>
    <row r="2243" s="24" customFormat="1" spans="1:6">
      <c r="A2243" s="24" t="s">
        <v>142</v>
      </c>
      <c r="B2243" s="24" t="str">
        <f>"000681"</f>
        <v>000681</v>
      </c>
      <c r="C2243" s="24" t="s">
        <v>2456</v>
      </c>
      <c r="D2243" s="24" t="s">
        <v>170</v>
      </c>
      <c r="E2243" s="24">
        <v>42.29</v>
      </c>
      <c r="F2243" s="24">
        <v>7.06</v>
      </c>
    </row>
    <row r="2244" s="24" customFormat="1" spans="1:6">
      <c r="A2244" s="24" t="s">
        <v>142</v>
      </c>
      <c r="B2244" s="24" t="str">
        <f>"002825"</f>
        <v>002825</v>
      </c>
      <c r="C2244" s="24" t="s">
        <v>2457</v>
      </c>
      <c r="D2244" s="24" t="s">
        <v>214</v>
      </c>
      <c r="E2244" s="24">
        <v>42.28</v>
      </c>
      <c r="F2244" s="24">
        <v>2.6</v>
      </c>
    </row>
    <row r="2245" s="24" customFormat="1" spans="1:6">
      <c r="A2245" s="24" t="s">
        <v>140</v>
      </c>
      <c r="B2245" s="24" t="str">
        <f>"603197"</f>
        <v>603197</v>
      </c>
      <c r="C2245" s="24" t="s">
        <v>2458</v>
      </c>
      <c r="D2245" s="24" t="s">
        <v>204</v>
      </c>
      <c r="E2245" s="24">
        <v>42.27</v>
      </c>
      <c r="F2245" s="24">
        <v>6.26</v>
      </c>
    </row>
    <row r="2246" s="24" customFormat="1" spans="1:6">
      <c r="A2246" s="24" t="s">
        <v>142</v>
      </c>
      <c r="B2246" s="24" t="str">
        <f>"002397"</f>
        <v>002397</v>
      </c>
      <c r="C2246" s="24" t="s">
        <v>2459</v>
      </c>
      <c r="D2246" s="24" t="s">
        <v>253</v>
      </c>
      <c r="E2246" s="24">
        <v>42.24</v>
      </c>
      <c r="F2246" s="24">
        <v>1.81</v>
      </c>
    </row>
    <row r="2247" s="24" customFormat="1" spans="1:6">
      <c r="A2247" s="24" t="s">
        <v>142</v>
      </c>
      <c r="B2247" s="24" t="str">
        <f>"002858"</f>
        <v>002858</v>
      </c>
      <c r="C2247" s="24" t="s">
        <v>2460</v>
      </c>
      <c r="D2247" s="24" t="s">
        <v>453</v>
      </c>
      <c r="E2247" s="24">
        <v>42.24</v>
      </c>
      <c r="F2247" s="24">
        <v>5.89</v>
      </c>
    </row>
    <row r="2248" s="24" customFormat="1" spans="1:6">
      <c r="A2248" s="24" t="s">
        <v>140</v>
      </c>
      <c r="B2248" s="24" t="str">
        <f>"603883"</f>
        <v>603883</v>
      </c>
      <c r="C2248" s="24" t="s">
        <v>2461</v>
      </c>
      <c r="D2248" s="24" t="s">
        <v>584</v>
      </c>
      <c r="E2248" s="24">
        <v>42.24</v>
      </c>
      <c r="F2248" s="24">
        <v>17.18</v>
      </c>
    </row>
    <row r="2249" s="24" customFormat="1" spans="1:6">
      <c r="A2249" s="24" t="s">
        <v>142</v>
      </c>
      <c r="B2249" s="24" t="str">
        <f>"300272"</f>
        <v>300272</v>
      </c>
      <c r="C2249" s="24" t="s">
        <v>2462</v>
      </c>
      <c r="D2249" s="24" t="s">
        <v>184</v>
      </c>
      <c r="E2249" s="24">
        <v>42.23</v>
      </c>
      <c r="F2249" s="24">
        <v>2.71</v>
      </c>
    </row>
    <row r="2250" s="24" customFormat="1" spans="1:6">
      <c r="A2250" s="24" t="s">
        <v>142</v>
      </c>
      <c r="B2250" s="24" t="str">
        <f>"000012"</f>
        <v>000012</v>
      </c>
      <c r="C2250" s="24" t="s">
        <v>2463</v>
      </c>
      <c r="D2250" s="24" t="s">
        <v>644</v>
      </c>
      <c r="E2250" s="24">
        <v>42.23</v>
      </c>
      <c r="F2250" s="24">
        <v>1.69</v>
      </c>
    </row>
    <row r="2251" s="24" customFormat="1" spans="1:6">
      <c r="A2251" s="24" t="s">
        <v>142</v>
      </c>
      <c r="B2251" s="24" t="str">
        <f>"300786"</f>
        <v>300786</v>
      </c>
      <c r="C2251" s="24" t="s">
        <v>2464</v>
      </c>
      <c r="D2251" s="24" t="s">
        <v>173</v>
      </c>
      <c r="E2251" s="24">
        <v>42.17</v>
      </c>
      <c r="F2251" s="24">
        <v>3.75</v>
      </c>
    </row>
    <row r="2252" s="24" customFormat="1" spans="1:6">
      <c r="A2252" s="24" t="s">
        <v>140</v>
      </c>
      <c r="B2252" s="24" t="str">
        <f>"603396"</f>
        <v>603396</v>
      </c>
      <c r="C2252" s="24" t="s">
        <v>2465</v>
      </c>
      <c r="D2252" s="24" t="s">
        <v>173</v>
      </c>
      <c r="E2252" s="24">
        <v>42.14</v>
      </c>
      <c r="F2252" s="24">
        <v>3.14</v>
      </c>
    </row>
    <row r="2253" s="24" customFormat="1" spans="1:6">
      <c r="A2253" s="24" t="s">
        <v>140</v>
      </c>
      <c r="B2253" s="24" t="str">
        <f>"603320"</f>
        <v>603320</v>
      </c>
      <c r="C2253" s="24" t="s">
        <v>2466</v>
      </c>
      <c r="D2253" s="24" t="s">
        <v>165</v>
      </c>
      <c r="E2253" s="24">
        <v>42.11</v>
      </c>
      <c r="F2253" s="24">
        <v>2.38</v>
      </c>
    </row>
    <row r="2254" s="24" customFormat="1" spans="1:6">
      <c r="A2254" s="24" t="s">
        <v>142</v>
      </c>
      <c r="B2254" s="24" t="str">
        <f>"002363"</f>
        <v>002363</v>
      </c>
      <c r="C2254" s="24" t="s">
        <v>2467</v>
      </c>
      <c r="D2254" s="24" t="s">
        <v>204</v>
      </c>
      <c r="E2254" s="24">
        <v>41.97</v>
      </c>
      <c r="F2254" s="24">
        <v>1.08</v>
      </c>
    </row>
    <row r="2255" s="24" customFormat="1" spans="1:6">
      <c r="A2255" s="24" t="s">
        <v>140</v>
      </c>
      <c r="B2255" s="24" t="str">
        <f>"603333"</f>
        <v>603333</v>
      </c>
      <c r="C2255" s="24" t="s">
        <v>2468</v>
      </c>
      <c r="D2255" s="24" t="s">
        <v>251</v>
      </c>
      <c r="E2255" s="24">
        <v>41.92</v>
      </c>
      <c r="F2255" s="24">
        <v>2.5</v>
      </c>
    </row>
    <row r="2256" s="24" customFormat="1" spans="1:6">
      <c r="A2256" s="24" t="s">
        <v>142</v>
      </c>
      <c r="B2256" s="24" t="str">
        <f>"002022"</f>
        <v>002022</v>
      </c>
      <c r="C2256" s="24" t="s">
        <v>2469</v>
      </c>
      <c r="D2256" s="24" t="s">
        <v>326</v>
      </c>
      <c r="E2256" s="24">
        <v>41.91</v>
      </c>
      <c r="F2256" s="24">
        <v>5.06</v>
      </c>
    </row>
    <row r="2257" s="24" customFormat="1" spans="1:6">
      <c r="A2257" s="24" t="s">
        <v>140</v>
      </c>
      <c r="B2257" s="24" t="str">
        <f>"600223"</f>
        <v>600223</v>
      </c>
      <c r="C2257" s="24" t="s">
        <v>2470</v>
      </c>
      <c r="D2257" s="24" t="s">
        <v>244</v>
      </c>
      <c r="E2257" s="24">
        <v>41.9</v>
      </c>
      <c r="F2257" s="24">
        <v>3.42</v>
      </c>
    </row>
    <row r="2258" s="24" customFormat="1" spans="1:6">
      <c r="A2258" s="24" t="s">
        <v>140</v>
      </c>
      <c r="B2258" s="24" t="str">
        <f>"601808"</f>
        <v>601808</v>
      </c>
      <c r="C2258" s="24" t="s">
        <v>2471</v>
      </c>
      <c r="D2258" s="24" t="s">
        <v>377</v>
      </c>
      <c r="E2258" s="24">
        <v>41.86</v>
      </c>
      <c r="F2258" s="24">
        <v>2.4</v>
      </c>
    </row>
    <row r="2259" s="24" customFormat="1" spans="1:6">
      <c r="A2259" s="24" t="s">
        <v>140</v>
      </c>
      <c r="B2259" s="24" t="str">
        <f>"603578"</f>
        <v>603578</v>
      </c>
      <c r="C2259" s="24" t="s">
        <v>2472</v>
      </c>
      <c r="D2259" s="24" t="s">
        <v>644</v>
      </c>
      <c r="E2259" s="24">
        <v>41.79</v>
      </c>
      <c r="F2259" s="24">
        <v>3.49</v>
      </c>
    </row>
    <row r="2260" s="24" customFormat="1" spans="1:6">
      <c r="A2260" s="24" t="s">
        <v>142</v>
      </c>
      <c r="B2260" s="24" t="str">
        <f>"300387"</f>
        <v>300387</v>
      </c>
      <c r="C2260" s="24" t="s">
        <v>2473</v>
      </c>
      <c r="D2260" s="24" t="s">
        <v>256</v>
      </c>
      <c r="E2260" s="24">
        <v>41.78</v>
      </c>
      <c r="F2260" s="24">
        <v>3.68</v>
      </c>
    </row>
    <row r="2261" s="24" customFormat="1" spans="1:6">
      <c r="A2261" s="24" t="s">
        <v>140</v>
      </c>
      <c r="B2261" s="24" t="str">
        <f>"603920"</f>
        <v>603920</v>
      </c>
      <c r="C2261" s="24" t="s">
        <v>2474</v>
      </c>
      <c r="D2261" s="24" t="s">
        <v>197</v>
      </c>
      <c r="E2261" s="24">
        <v>41.78</v>
      </c>
      <c r="F2261" s="24">
        <v>4.49</v>
      </c>
    </row>
    <row r="2262" s="24" customFormat="1" spans="1:6">
      <c r="A2262" s="24" t="s">
        <v>142</v>
      </c>
      <c r="B2262" s="24" t="str">
        <f>"000860"</f>
        <v>000860</v>
      </c>
      <c r="C2262" s="24" t="s">
        <v>2475</v>
      </c>
      <c r="D2262" s="24" t="s">
        <v>309</v>
      </c>
      <c r="E2262" s="24">
        <v>41.78</v>
      </c>
      <c r="F2262" s="24">
        <v>5.18</v>
      </c>
    </row>
    <row r="2263" s="24" customFormat="1" spans="1:6">
      <c r="A2263" s="24" t="s">
        <v>140</v>
      </c>
      <c r="B2263" s="24" t="str">
        <f>"601377"</f>
        <v>601377</v>
      </c>
      <c r="C2263" s="24" t="s">
        <v>2476</v>
      </c>
      <c r="D2263" s="24" t="s">
        <v>714</v>
      </c>
      <c r="E2263" s="24">
        <v>41.74</v>
      </c>
      <c r="F2263" s="24">
        <v>1.26</v>
      </c>
    </row>
    <row r="2264" s="24" customFormat="1" spans="1:6">
      <c r="A2264" s="24" t="s">
        <v>140</v>
      </c>
      <c r="B2264" s="24" t="str">
        <f>"600361"</f>
        <v>600361</v>
      </c>
      <c r="C2264" s="24" t="s">
        <v>2477</v>
      </c>
      <c r="D2264" s="24" t="s">
        <v>361</v>
      </c>
      <c r="E2264" s="24">
        <v>41.58</v>
      </c>
      <c r="F2264" s="24">
        <v>0.97</v>
      </c>
    </row>
    <row r="2265" s="24" customFormat="1" spans="1:6">
      <c r="A2265" s="24" t="s">
        <v>142</v>
      </c>
      <c r="B2265" s="24" t="str">
        <f>"300329"</f>
        <v>300329</v>
      </c>
      <c r="C2265" s="24" t="s">
        <v>2478</v>
      </c>
      <c r="D2265" s="24" t="s">
        <v>283</v>
      </c>
      <c r="E2265" s="24">
        <v>41.57</v>
      </c>
      <c r="F2265" s="24">
        <v>2.05</v>
      </c>
    </row>
    <row r="2266" s="24" customFormat="1" spans="1:6">
      <c r="A2266" s="24" t="s">
        <v>142</v>
      </c>
      <c r="B2266" s="24" t="str">
        <f>"000987"</f>
        <v>000987</v>
      </c>
      <c r="C2266" s="24" t="s">
        <v>2479</v>
      </c>
      <c r="D2266" s="24" t="s">
        <v>714</v>
      </c>
      <c r="E2266" s="24">
        <v>41.57</v>
      </c>
      <c r="F2266" s="24">
        <v>1.31</v>
      </c>
    </row>
    <row r="2267" s="24" customFormat="1" spans="1:6">
      <c r="A2267" s="24" t="s">
        <v>140</v>
      </c>
      <c r="B2267" s="24" t="str">
        <f>"603489"</f>
        <v>603489</v>
      </c>
      <c r="C2267" s="24" t="s">
        <v>2480</v>
      </c>
      <c r="D2267" s="24" t="s">
        <v>251</v>
      </c>
      <c r="E2267" s="24">
        <v>41.53</v>
      </c>
      <c r="F2267" s="24">
        <v>6.39</v>
      </c>
    </row>
    <row r="2268" s="24" customFormat="1" spans="1:6">
      <c r="A2268" s="24" t="s">
        <v>142</v>
      </c>
      <c r="B2268" s="24" t="str">
        <f>"002222"</f>
        <v>002222</v>
      </c>
      <c r="C2268" s="24" t="s">
        <v>2481</v>
      </c>
      <c r="D2268" s="24" t="s">
        <v>230</v>
      </c>
      <c r="E2268" s="24">
        <v>41.48</v>
      </c>
      <c r="F2268" s="24">
        <v>5.5</v>
      </c>
    </row>
    <row r="2269" s="24" customFormat="1" spans="1:6">
      <c r="A2269" s="24" t="s">
        <v>140</v>
      </c>
      <c r="B2269" s="24" t="str">
        <f>"600706"</f>
        <v>600706</v>
      </c>
      <c r="C2269" s="24" t="s">
        <v>2482</v>
      </c>
      <c r="D2269" s="24" t="s">
        <v>453</v>
      </c>
      <c r="E2269" s="24">
        <v>41.48</v>
      </c>
      <c r="F2269" s="24">
        <v>1.42</v>
      </c>
    </row>
    <row r="2270" s="24" customFormat="1" spans="1:6">
      <c r="A2270" s="24" t="s">
        <v>140</v>
      </c>
      <c r="B2270" s="24" t="str">
        <f>"600378"</f>
        <v>600378</v>
      </c>
      <c r="C2270" s="24" t="s">
        <v>2483</v>
      </c>
      <c r="D2270" s="24" t="s">
        <v>214</v>
      </c>
      <c r="E2270" s="24">
        <v>41.41</v>
      </c>
      <c r="F2270" s="24">
        <v>2.25</v>
      </c>
    </row>
    <row r="2271" s="24" customFormat="1" spans="1:6">
      <c r="A2271" s="24" t="s">
        <v>142</v>
      </c>
      <c r="B2271" s="24" t="str">
        <f>"300776"</f>
        <v>300776</v>
      </c>
      <c r="C2271" s="24" t="s">
        <v>2484</v>
      </c>
      <c r="D2271" s="24" t="s">
        <v>173</v>
      </c>
      <c r="E2271" s="24">
        <v>41.31</v>
      </c>
      <c r="F2271" s="24">
        <v>7.15</v>
      </c>
    </row>
    <row r="2272" s="24" customFormat="1" spans="1:6">
      <c r="A2272" s="24" t="s">
        <v>140</v>
      </c>
      <c r="B2272" s="24" t="str">
        <f>"600824"</f>
        <v>600824</v>
      </c>
      <c r="C2272" s="24" t="s">
        <v>2485</v>
      </c>
      <c r="D2272" s="24" t="s">
        <v>148</v>
      </c>
      <c r="E2272" s="24">
        <v>41.26</v>
      </c>
      <c r="F2272" s="24">
        <v>1.29</v>
      </c>
    </row>
    <row r="2273" s="24" customFormat="1" spans="1:6">
      <c r="A2273" s="24" t="s">
        <v>142</v>
      </c>
      <c r="B2273" s="24" t="str">
        <f>"002557"</f>
        <v>002557</v>
      </c>
      <c r="C2273" s="24" t="s">
        <v>2486</v>
      </c>
      <c r="D2273" s="24" t="s">
        <v>190</v>
      </c>
      <c r="E2273" s="24">
        <v>41.24</v>
      </c>
      <c r="F2273" s="24">
        <v>4.99</v>
      </c>
    </row>
    <row r="2274" s="24" customFormat="1" spans="1:6">
      <c r="A2274" s="24" t="s">
        <v>142</v>
      </c>
      <c r="B2274" s="24" t="str">
        <f>"002661"</f>
        <v>002661</v>
      </c>
      <c r="C2274" s="24" t="s">
        <v>2487</v>
      </c>
      <c r="D2274" s="24" t="s">
        <v>190</v>
      </c>
      <c r="E2274" s="24">
        <v>41.23</v>
      </c>
      <c r="F2274" s="24">
        <v>2.08</v>
      </c>
    </row>
    <row r="2275" s="24" customFormat="1" spans="1:6">
      <c r="A2275" s="24" t="s">
        <v>142</v>
      </c>
      <c r="B2275" s="24" t="str">
        <f>"000551"</f>
        <v>000551</v>
      </c>
      <c r="C2275" s="24" t="s">
        <v>2488</v>
      </c>
      <c r="D2275" s="24" t="s">
        <v>165</v>
      </c>
      <c r="E2275" s="24">
        <v>41.19</v>
      </c>
      <c r="F2275" s="24">
        <v>1.73</v>
      </c>
    </row>
    <row r="2276" s="24" customFormat="1" spans="1:6">
      <c r="A2276" s="24" t="s">
        <v>140</v>
      </c>
      <c r="B2276" s="24" t="str">
        <f>"603166"</f>
        <v>603166</v>
      </c>
      <c r="C2276" s="24" t="s">
        <v>2489</v>
      </c>
      <c r="D2276" s="24" t="s">
        <v>204</v>
      </c>
      <c r="E2276" s="24">
        <v>41.14</v>
      </c>
      <c r="F2276" s="24">
        <v>1.54</v>
      </c>
    </row>
    <row r="2277" s="24" customFormat="1" spans="1:6">
      <c r="A2277" s="24" t="s">
        <v>142</v>
      </c>
      <c r="B2277" s="24" t="str">
        <f>"002053"</f>
        <v>002053</v>
      </c>
      <c r="C2277" s="24" t="s">
        <v>2490</v>
      </c>
      <c r="D2277" s="24" t="s">
        <v>256</v>
      </c>
      <c r="E2277" s="24">
        <v>41.13</v>
      </c>
      <c r="F2277" s="24">
        <v>1.28</v>
      </c>
    </row>
    <row r="2278" s="24" customFormat="1" spans="1:6">
      <c r="A2278" s="24" t="s">
        <v>142</v>
      </c>
      <c r="B2278" s="24" t="str">
        <f>"300605"</f>
        <v>300605</v>
      </c>
      <c r="C2278" s="24" t="s">
        <v>2491</v>
      </c>
      <c r="D2278" s="24" t="s">
        <v>159</v>
      </c>
      <c r="E2278" s="24">
        <v>41.12</v>
      </c>
      <c r="F2278" s="24">
        <v>4.45</v>
      </c>
    </row>
    <row r="2279" s="24" customFormat="1" spans="1:6">
      <c r="A2279" s="24" t="s">
        <v>140</v>
      </c>
      <c r="B2279" s="24" t="str">
        <f>"603267"</f>
        <v>603267</v>
      </c>
      <c r="C2279" s="24" t="s">
        <v>2492</v>
      </c>
      <c r="D2279" s="24" t="s">
        <v>197</v>
      </c>
      <c r="E2279" s="24">
        <v>41.12</v>
      </c>
      <c r="F2279" s="24">
        <v>4.9</v>
      </c>
    </row>
    <row r="2280" s="24" customFormat="1" spans="1:6">
      <c r="A2280" s="24" t="s">
        <v>140</v>
      </c>
      <c r="B2280" s="24" t="str">
        <f>"603045"</f>
        <v>603045</v>
      </c>
      <c r="C2280" s="24" t="s">
        <v>2493</v>
      </c>
      <c r="D2280" s="24" t="s">
        <v>167</v>
      </c>
      <c r="E2280" s="24">
        <v>41.11</v>
      </c>
      <c r="F2280" s="24">
        <v>2.34</v>
      </c>
    </row>
    <row r="2281" s="24" customFormat="1" spans="1:6">
      <c r="A2281" s="24" t="s">
        <v>142</v>
      </c>
      <c r="B2281" s="24" t="str">
        <f>"002896"</f>
        <v>002896</v>
      </c>
      <c r="C2281" s="24" t="s">
        <v>2494</v>
      </c>
      <c r="D2281" s="24" t="s">
        <v>165</v>
      </c>
      <c r="E2281" s="24">
        <v>41.07</v>
      </c>
      <c r="F2281" s="24">
        <v>2.83</v>
      </c>
    </row>
    <row r="2282" s="24" customFormat="1" spans="1:6">
      <c r="A2282" s="24" t="s">
        <v>142</v>
      </c>
      <c r="B2282" s="24" t="str">
        <f>"300374"</f>
        <v>300374</v>
      </c>
      <c r="C2282" s="24" t="s">
        <v>2495</v>
      </c>
      <c r="D2282" s="24" t="s">
        <v>573</v>
      </c>
      <c r="E2282" s="24">
        <v>41.03</v>
      </c>
      <c r="F2282" s="24">
        <v>1.33</v>
      </c>
    </row>
    <row r="2283" s="24" customFormat="1" spans="1:6">
      <c r="A2283" s="24" t="s">
        <v>142</v>
      </c>
      <c r="B2283" s="24" t="str">
        <f>"002152"</f>
        <v>002152</v>
      </c>
      <c r="C2283" s="24" t="s">
        <v>2496</v>
      </c>
      <c r="D2283" s="24" t="s">
        <v>352</v>
      </c>
      <c r="E2283" s="24">
        <v>40.99</v>
      </c>
      <c r="F2283" s="24">
        <v>3.06</v>
      </c>
    </row>
    <row r="2284" s="24" customFormat="1" spans="1:6">
      <c r="A2284" s="24" t="s">
        <v>142</v>
      </c>
      <c r="B2284" s="24" t="str">
        <f>"002520"</f>
        <v>002520</v>
      </c>
      <c r="C2284" s="24" t="s">
        <v>2497</v>
      </c>
      <c r="D2284" s="24" t="s">
        <v>165</v>
      </c>
      <c r="E2284" s="24">
        <v>40.91</v>
      </c>
      <c r="F2284" s="24">
        <v>2.52</v>
      </c>
    </row>
    <row r="2285" s="24" customFormat="1" spans="1:6">
      <c r="A2285" s="24" t="s">
        <v>142</v>
      </c>
      <c r="B2285" s="24" t="str">
        <f>"002952"</f>
        <v>002952</v>
      </c>
      <c r="C2285" s="24" t="s">
        <v>2498</v>
      </c>
      <c r="D2285" s="24" t="s">
        <v>230</v>
      </c>
      <c r="E2285" s="24">
        <v>40.86</v>
      </c>
      <c r="F2285" s="24">
        <v>4.44</v>
      </c>
    </row>
    <row r="2286" s="24" customFormat="1" spans="1:6">
      <c r="A2286" s="24" t="s">
        <v>140</v>
      </c>
      <c r="B2286" s="24" t="str">
        <f>"603679"</f>
        <v>603679</v>
      </c>
      <c r="C2286" s="24" t="s">
        <v>2499</v>
      </c>
      <c r="D2286" s="24" t="s">
        <v>251</v>
      </c>
      <c r="E2286" s="24">
        <v>40.82</v>
      </c>
      <c r="F2286" s="24">
        <v>6.24</v>
      </c>
    </row>
    <row r="2287" s="24" customFormat="1" spans="1:6">
      <c r="A2287" s="24" t="s">
        <v>142</v>
      </c>
      <c r="B2287" s="24" t="str">
        <f>"300677"</f>
        <v>300677</v>
      </c>
      <c r="C2287" s="24" t="s">
        <v>2500</v>
      </c>
      <c r="D2287" s="24" t="s">
        <v>618</v>
      </c>
      <c r="E2287" s="24">
        <v>40.8</v>
      </c>
      <c r="F2287" s="24">
        <v>5.06</v>
      </c>
    </row>
    <row r="2288" s="24" customFormat="1" spans="1:6">
      <c r="A2288" s="24" t="s">
        <v>140</v>
      </c>
      <c r="B2288" s="24" t="str">
        <f>"603767"</f>
        <v>603767</v>
      </c>
      <c r="C2288" s="24" t="s">
        <v>2501</v>
      </c>
      <c r="D2288" s="24" t="s">
        <v>204</v>
      </c>
      <c r="E2288" s="24">
        <v>40.77</v>
      </c>
      <c r="F2288" s="24">
        <v>1.49</v>
      </c>
    </row>
    <row r="2289" s="24" customFormat="1" spans="1:6">
      <c r="A2289" s="24" t="s">
        <v>142</v>
      </c>
      <c r="B2289" s="24" t="str">
        <f>"002250"</f>
        <v>002250</v>
      </c>
      <c r="C2289" s="24" t="s">
        <v>2502</v>
      </c>
      <c r="D2289" s="24" t="s">
        <v>256</v>
      </c>
      <c r="E2289" s="24">
        <v>40.76</v>
      </c>
      <c r="F2289" s="24">
        <v>2.85</v>
      </c>
    </row>
    <row r="2290" s="24" customFormat="1" spans="1:6">
      <c r="A2290" s="24" t="s">
        <v>142</v>
      </c>
      <c r="B2290" s="24" t="str">
        <f>"002485"</f>
        <v>002485</v>
      </c>
      <c r="C2290" s="24" t="s">
        <v>2503</v>
      </c>
      <c r="D2290" s="24" t="s">
        <v>161</v>
      </c>
      <c r="E2290" s="24">
        <v>40.69</v>
      </c>
      <c r="F2290" s="24">
        <v>1.31</v>
      </c>
    </row>
    <row r="2291" s="24" customFormat="1" spans="1:6">
      <c r="A2291" s="24" t="s">
        <v>142</v>
      </c>
      <c r="B2291" s="24" t="str">
        <f>"000920"</f>
        <v>000920</v>
      </c>
      <c r="C2291" s="24" t="s">
        <v>2504</v>
      </c>
      <c r="D2291" s="24" t="s">
        <v>228</v>
      </c>
      <c r="E2291" s="24">
        <v>40.66</v>
      </c>
      <c r="F2291" s="24">
        <v>2.25</v>
      </c>
    </row>
    <row r="2292" s="24" customFormat="1" spans="1:6">
      <c r="A2292" s="24" t="s">
        <v>140</v>
      </c>
      <c r="B2292" s="24" t="str">
        <f>"603577"</f>
        <v>603577</v>
      </c>
      <c r="C2292" s="24" t="s">
        <v>2505</v>
      </c>
      <c r="D2292" s="24" t="s">
        <v>573</v>
      </c>
      <c r="E2292" s="24">
        <v>40.66</v>
      </c>
      <c r="F2292" s="24">
        <v>1.67</v>
      </c>
    </row>
    <row r="2293" s="24" customFormat="1" spans="1:6">
      <c r="A2293" s="24" t="s">
        <v>142</v>
      </c>
      <c r="B2293" s="24" t="str">
        <f>"002951"</f>
        <v>002951</v>
      </c>
      <c r="C2293" s="24" t="s">
        <v>2506</v>
      </c>
      <c r="D2293" s="24" t="s">
        <v>214</v>
      </c>
      <c r="E2293" s="24">
        <v>40.64</v>
      </c>
      <c r="F2293" s="24">
        <v>4.88</v>
      </c>
    </row>
    <row r="2294" s="24" customFormat="1" spans="1:6">
      <c r="A2294" s="24" t="s">
        <v>140</v>
      </c>
      <c r="B2294" s="24" t="str">
        <f>"603398"</f>
        <v>603398</v>
      </c>
      <c r="C2294" s="24" t="s">
        <v>2507</v>
      </c>
      <c r="D2294" s="24" t="s">
        <v>283</v>
      </c>
      <c r="E2294" s="24">
        <v>40.59</v>
      </c>
      <c r="F2294" s="24">
        <v>6.75</v>
      </c>
    </row>
    <row r="2295" s="24" customFormat="1" spans="1:6">
      <c r="A2295" s="24" t="s">
        <v>140</v>
      </c>
      <c r="B2295" s="24" t="str">
        <f>"600433"</f>
        <v>600433</v>
      </c>
      <c r="C2295" s="24" t="s">
        <v>2508</v>
      </c>
      <c r="D2295" s="24" t="s">
        <v>509</v>
      </c>
      <c r="E2295" s="24">
        <v>40.58</v>
      </c>
      <c r="F2295" s="24">
        <v>1.52</v>
      </c>
    </row>
    <row r="2296" s="24" customFormat="1" spans="1:6">
      <c r="A2296" s="24" t="s">
        <v>140</v>
      </c>
      <c r="B2296" s="24" t="str">
        <f>"600809"</f>
        <v>600809</v>
      </c>
      <c r="C2296" s="24" t="s">
        <v>2509</v>
      </c>
      <c r="D2296" s="24" t="s">
        <v>309</v>
      </c>
      <c r="E2296" s="24">
        <v>40.53</v>
      </c>
      <c r="F2296" s="24">
        <v>10.56</v>
      </c>
    </row>
    <row r="2297" s="24" customFormat="1" spans="1:6">
      <c r="A2297" s="24" t="s">
        <v>142</v>
      </c>
      <c r="B2297" s="24" t="str">
        <f>"002015"</f>
        <v>002015</v>
      </c>
      <c r="C2297" s="24" t="s">
        <v>2510</v>
      </c>
      <c r="D2297" s="24" t="s">
        <v>253</v>
      </c>
      <c r="E2297" s="24">
        <v>40.5</v>
      </c>
      <c r="F2297" s="24">
        <v>1.8</v>
      </c>
    </row>
    <row r="2298" s="24" customFormat="1" spans="1:6">
      <c r="A2298" s="24" t="s">
        <v>140</v>
      </c>
      <c r="B2298" s="24" t="str">
        <f>"603668"</f>
        <v>603668</v>
      </c>
      <c r="C2298" s="24" t="s">
        <v>2511</v>
      </c>
      <c r="D2298" s="24" t="s">
        <v>145</v>
      </c>
      <c r="E2298" s="24">
        <v>40.49</v>
      </c>
      <c r="F2298" s="24">
        <v>2.27</v>
      </c>
    </row>
    <row r="2299" s="24" customFormat="1" spans="1:6">
      <c r="A2299" s="24" t="s">
        <v>142</v>
      </c>
      <c r="B2299" s="24" t="str">
        <f>"002350"</f>
        <v>002350</v>
      </c>
      <c r="C2299" s="24" t="s">
        <v>2512</v>
      </c>
      <c r="D2299" s="24" t="s">
        <v>251</v>
      </c>
      <c r="E2299" s="24">
        <v>40.48</v>
      </c>
      <c r="F2299" s="24">
        <v>1.73</v>
      </c>
    </row>
    <row r="2300" s="24" customFormat="1" spans="1:6">
      <c r="A2300" s="24" t="s">
        <v>140</v>
      </c>
      <c r="B2300" s="24" t="str">
        <f>"603266"</f>
        <v>603266</v>
      </c>
      <c r="C2300" s="24" t="s">
        <v>2513</v>
      </c>
      <c r="D2300" s="24" t="s">
        <v>204</v>
      </c>
      <c r="E2300" s="24">
        <v>40.47</v>
      </c>
      <c r="F2300" s="24">
        <v>2.52</v>
      </c>
    </row>
    <row r="2301" s="24" customFormat="1" spans="1:6">
      <c r="A2301" s="24" t="s">
        <v>140</v>
      </c>
      <c r="B2301" s="24" t="str">
        <f>"603959"</f>
        <v>603959</v>
      </c>
      <c r="C2301" s="24" t="s">
        <v>2514</v>
      </c>
      <c r="D2301" s="24" t="s">
        <v>315</v>
      </c>
      <c r="E2301" s="24">
        <v>40.44</v>
      </c>
      <c r="F2301" s="24">
        <v>4.53</v>
      </c>
    </row>
    <row r="2302" s="24" customFormat="1" spans="1:6">
      <c r="A2302" s="24" t="s">
        <v>142</v>
      </c>
      <c r="B2302" s="24" t="str">
        <f>"300408"</f>
        <v>300408</v>
      </c>
      <c r="C2302" s="24" t="s">
        <v>2515</v>
      </c>
      <c r="D2302" s="24" t="s">
        <v>197</v>
      </c>
      <c r="E2302" s="24">
        <v>40.41</v>
      </c>
      <c r="F2302" s="24">
        <v>5.89</v>
      </c>
    </row>
    <row r="2303" s="24" customFormat="1" spans="1:6">
      <c r="A2303" s="24" t="s">
        <v>140</v>
      </c>
      <c r="B2303" s="24" t="str">
        <f>"600990"</f>
        <v>600990</v>
      </c>
      <c r="C2303" s="24" t="s">
        <v>2516</v>
      </c>
      <c r="D2303" s="24" t="s">
        <v>193</v>
      </c>
      <c r="E2303" s="24">
        <v>40.37</v>
      </c>
      <c r="F2303" s="24">
        <v>2.98</v>
      </c>
    </row>
    <row r="2304" s="24" customFormat="1" spans="1:6">
      <c r="A2304" s="24" t="s">
        <v>142</v>
      </c>
      <c r="B2304" s="24" t="str">
        <f>"300815"</f>
        <v>300815</v>
      </c>
      <c r="C2304" s="24" t="s">
        <v>2517</v>
      </c>
      <c r="D2304" s="24"/>
      <c r="E2304" s="24">
        <v>40.28</v>
      </c>
      <c r="F2304" s="24">
        <v>5.53</v>
      </c>
    </row>
    <row r="2305" s="24" customFormat="1" spans="1:6">
      <c r="A2305" s="24" t="s">
        <v>140</v>
      </c>
      <c r="B2305" s="24" t="str">
        <f>"603936"</f>
        <v>603936</v>
      </c>
      <c r="C2305" s="24" t="s">
        <v>2518</v>
      </c>
      <c r="D2305" s="24" t="s">
        <v>197</v>
      </c>
      <c r="E2305" s="24">
        <v>40.25</v>
      </c>
      <c r="F2305" s="24">
        <v>5.07</v>
      </c>
    </row>
    <row r="2306" s="24" customFormat="1" spans="1:6">
      <c r="A2306" s="24" t="s">
        <v>142</v>
      </c>
      <c r="B2306" s="24" t="str">
        <f>"300112"</f>
        <v>300112</v>
      </c>
      <c r="C2306" s="24" t="s">
        <v>2519</v>
      </c>
      <c r="D2306" s="24" t="s">
        <v>152</v>
      </c>
      <c r="E2306" s="24">
        <v>40.21</v>
      </c>
      <c r="F2306" s="24">
        <v>2.89</v>
      </c>
    </row>
    <row r="2307" s="24" customFormat="1" spans="1:6">
      <c r="A2307" s="24" t="s">
        <v>142</v>
      </c>
      <c r="B2307" s="24" t="str">
        <f>"002295"</f>
        <v>002295</v>
      </c>
      <c r="C2307" s="24" t="s">
        <v>2520</v>
      </c>
      <c r="D2307" s="24" t="s">
        <v>167</v>
      </c>
      <c r="E2307" s="24">
        <v>40.19</v>
      </c>
      <c r="F2307" s="24">
        <v>1.39</v>
      </c>
    </row>
    <row r="2308" s="24" customFormat="1" spans="1:6">
      <c r="A2308" s="24" t="s">
        <v>140</v>
      </c>
      <c r="B2308" s="24" t="str">
        <f>"900927"</f>
        <v>900927</v>
      </c>
      <c r="C2308" s="24" t="s">
        <v>2521</v>
      </c>
      <c r="D2308" s="24"/>
      <c r="E2308" s="24">
        <v>40.18</v>
      </c>
      <c r="F2308" s="24">
        <v>2.43</v>
      </c>
    </row>
    <row r="2309" s="24" customFormat="1" spans="1:6">
      <c r="A2309" s="24" t="s">
        <v>142</v>
      </c>
      <c r="B2309" s="24" t="str">
        <f>"002539"</f>
        <v>002539</v>
      </c>
      <c r="C2309" s="24" t="s">
        <v>2522</v>
      </c>
      <c r="D2309" s="24" t="s">
        <v>278</v>
      </c>
      <c r="E2309" s="24">
        <v>40.18</v>
      </c>
      <c r="F2309" s="24">
        <v>1.45</v>
      </c>
    </row>
    <row r="2310" s="24" customFormat="1" spans="1:6">
      <c r="A2310" s="24" t="s">
        <v>140</v>
      </c>
      <c r="B2310" s="24" t="str">
        <f>"601011"</f>
        <v>601011</v>
      </c>
      <c r="C2310" s="24" t="s">
        <v>2523</v>
      </c>
      <c r="D2310" s="24" t="s">
        <v>401</v>
      </c>
      <c r="E2310" s="24">
        <v>40.17</v>
      </c>
      <c r="F2310" s="24">
        <v>0.97</v>
      </c>
    </row>
    <row r="2311" s="24" customFormat="1" spans="1:6">
      <c r="A2311" s="24" t="s">
        <v>140</v>
      </c>
      <c r="B2311" s="24" t="str">
        <f>"600059"</f>
        <v>600059</v>
      </c>
      <c r="C2311" s="24" t="s">
        <v>2524</v>
      </c>
      <c r="D2311" s="24" t="s">
        <v>309</v>
      </c>
      <c r="E2311" s="24">
        <v>40.14</v>
      </c>
      <c r="F2311" s="24">
        <v>1.51</v>
      </c>
    </row>
    <row r="2312" s="24" customFormat="1" spans="1:6">
      <c r="A2312" s="24" t="s">
        <v>140</v>
      </c>
      <c r="B2312" s="24" t="str">
        <f>"601179"</f>
        <v>601179</v>
      </c>
      <c r="C2312" s="24" t="s">
        <v>2525</v>
      </c>
      <c r="D2312" s="24" t="s">
        <v>293</v>
      </c>
      <c r="E2312" s="24">
        <v>40.12</v>
      </c>
      <c r="F2312" s="24">
        <v>0.84</v>
      </c>
    </row>
    <row r="2313" s="24" customFormat="1" spans="1:6">
      <c r="A2313" s="24" t="s">
        <v>142</v>
      </c>
      <c r="B2313" s="24" t="str">
        <f>"002801"</f>
        <v>002801</v>
      </c>
      <c r="C2313" s="24" t="s">
        <v>2526</v>
      </c>
      <c r="D2313" s="24" t="s">
        <v>251</v>
      </c>
      <c r="E2313" s="24">
        <v>40.06</v>
      </c>
      <c r="F2313" s="24">
        <v>4.2</v>
      </c>
    </row>
    <row r="2314" s="24" customFormat="1" spans="1:6">
      <c r="A2314" s="24" t="s">
        <v>140</v>
      </c>
      <c r="B2314" s="24" t="str">
        <f>"603838"</f>
        <v>603838</v>
      </c>
      <c r="C2314" s="24" t="s">
        <v>2527</v>
      </c>
      <c r="D2314" s="24" t="s">
        <v>644</v>
      </c>
      <c r="E2314" s="24">
        <v>40.05</v>
      </c>
      <c r="F2314" s="24">
        <v>2.58</v>
      </c>
    </row>
    <row r="2315" s="24" customFormat="1" spans="1:6">
      <c r="A2315" s="24" t="s">
        <v>142</v>
      </c>
      <c r="B2315" s="24" t="str">
        <f>"002841"</f>
        <v>002841</v>
      </c>
      <c r="C2315" s="24" t="s">
        <v>2528</v>
      </c>
      <c r="D2315" s="24" t="s">
        <v>197</v>
      </c>
      <c r="E2315" s="24">
        <v>40.02</v>
      </c>
      <c r="F2315" s="24">
        <v>13.2</v>
      </c>
    </row>
    <row r="2316" s="24" customFormat="1" spans="1:6">
      <c r="A2316" s="24" t="s">
        <v>140</v>
      </c>
      <c r="B2316" s="24" t="str">
        <f>"600287"</f>
        <v>600287</v>
      </c>
      <c r="C2316" s="24" t="s">
        <v>2529</v>
      </c>
      <c r="D2316" s="24" t="s">
        <v>267</v>
      </c>
      <c r="E2316" s="24">
        <v>39.99</v>
      </c>
      <c r="F2316" s="24">
        <v>1.11</v>
      </c>
    </row>
    <row r="2317" s="24" customFormat="1" spans="1:6">
      <c r="A2317" s="24" t="s">
        <v>140</v>
      </c>
      <c r="B2317" s="24" t="str">
        <f>"601799"</f>
        <v>601799</v>
      </c>
      <c r="C2317" s="24" t="s">
        <v>2530</v>
      </c>
      <c r="D2317" s="24" t="s">
        <v>204</v>
      </c>
      <c r="E2317" s="24">
        <v>39.96</v>
      </c>
      <c r="F2317" s="24">
        <v>5.61</v>
      </c>
    </row>
    <row r="2318" s="24" customFormat="1" spans="1:6">
      <c r="A2318" s="24" t="s">
        <v>140</v>
      </c>
      <c r="B2318" s="24" t="str">
        <f>"601888"</f>
        <v>601888</v>
      </c>
      <c r="C2318" s="24" t="s">
        <v>2531</v>
      </c>
      <c r="D2318" s="24" t="s">
        <v>453</v>
      </c>
      <c r="E2318" s="24">
        <v>39.96</v>
      </c>
      <c r="F2318" s="24">
        <v>8.28</v>
      </c>
    </row>
    <row r="2319" s="24" customFormat="1" spans="1:6">
      <c r="A2319" s="24" t="s">
        <v>140</v>
      </c>
      <c r="B2319" s="24" t="str">
        <f>"600262"</f>
        <v>600262</v>
      </c>
      <c r="C2319" s="24" t="s">
        <v>2532</v>
      </c>
      <c r="D2319" s="24" t="s">
        <v>173</v>
      </c>
      <c r="E2319" s="24">
        <v>39.95</v>
      </c>
      <c r="F2319" s="24">
        <v>2.33</v>
      </c>
    </row>
    <row r="2320" s="24" customFormat="1" spans="1:6">
      <c r="A2320" s="24" t="s">
        <v>140</v>
      </c>
      <c r="B2320" s="24" t="str">
        <f>"601727"</f>
        <v>601727</v>
      </c>
      <c r="C2320" s="24" t="s">
        <v>2533</v>
      </c>
      <c r="D2320" s="24" t="s">
        <v>293</v>
      </c>
      <c r="E2320" s="24">
        <v>39.94</v>
      </c>
      <c r="F2320" s="24">
        <v>1.21</v>
      </c>
    </row>
    <row r="2321" s="24" customFormat="1" spans="1:6">
      <c r="A2321" s="24" t="s">
        <v>142</v>
      </c>
      <c r="B2321" s="24" t="str">
        <f>"002238"</f>
        <v>002238</v>
      </c>
      <c r="C2321" s="24" t="s">
        <v>2534</v>
      </c>
      <c r="D2321" s="24" t="s">
        <v>170</v>
      </c>
      <c r="E2321" s="24">
        <v>39.91</v>
      </c>
      <c r="F2321" s="24">
        <v>1.9</v>
      </c>
    </row>
    <row r="2322" s="24" customFormat="1" spans="1:6">
      <c r="A2322" s="24" t="s">
        <v>142</v>
      </c>
      <c r="B2322" s="24" t="str">
        <f>"300795"</f>
        <v>300795</v>
      </c>
      <c r="C2322" s="24" t="s">
        <v>2535</v>
      </c>
      <c r="D2322" s="24" t="s">
        <v>214</v>
      </c>
      <c r="E2322" s="24">
        <v>39.89</v>
      </c>
      <c r="F2322" s="24">
        <v>4.11</v>
      </c>
    </row>
    <row r="2323" s="24" customFormat="1" spans="1:6">
      <c r="A2323" s="24" t="s">
        <v>142</v>
      </c>
      <c r="B2323" s="24" t="str">
        <f>"300752"</f>
        <v>300752</v>
      </c>
      <c r="C2323" s="24" t="s">
        <v>2536</v>
      </c>
      <c r="D2323" s="24" t="s">
        <v>230</v>
      </c>
      <c r="E2323" s="24">
        <v>39.88</v>
      </c>
      <c r="F2323" s="24">
        <v>3.76</v>
      </c>
    </row>
    <row r="2324" s="24" customFormat="1" spans="1:6">
      <c r="A2324" s="24" t="s">
        <v>140</v>
      </c>
      <c r="B2324" s="24" t="str">
        <f>"603938"</f>
        <v>603938</v>
      </c>
      <c r="C2324" s="24" t="s">
        <v>2537</v>
      </c>
      <c r="D2324" s="24" t="s">
        <v>256</v>
      </c>
      <c r="E2324" s="24">
        <v>39.87</v>
      </c>
      <c r="F2324" s="24">
        <v>3.61</v>
      </c>
    </row>
    <row r="2325" s="24" customFormat="1" spans="1:6">
      <c r="A2325" s="24" t="s">
        <v>140</v>
      </c>
      <c r="B2325" s="24" t="str">
        <f>"600673"</f>
        <v>600673</v>
      </c>
      <c r="C2325" s="24" t="s">
        <v>2538</v>
      </c>
      <c r="D2325" s="24" t="s">
        <v>167</v>
      </c>
      <c r="E2325" s="24">
        <v>39.87</v>
      </c>
      <c r="F2325" s="24">
        <v>3.9</v>
      </c>
    </row>
    <row r="2326" s="24" customFormat="1" spans="1:6">
      <c r="A2326" s="24" t="s">
        <v>142</v>
      </c>
      <c r="B2326" s="24" t="str">
        <f>"002875"</f>
        <v>002875</v>
      </c>
      <c r="C2326" s="24" t="s">
        <v>2539</v>
      </c>
      <c r="D2326" s="24" t="s">
        <v>161</v>
      </c>
      <c r="E2326" s="24">
        <v>39.85</v>
      </c>
      <c r="F2326" s="24">
        <v>2.02</v>
      </c>
    </row>
    <row r="2327" s="24" customFormat="1" spans="1:6">
      <c r="A2327" s="24" t="s">
        <v>140</v>
      </c>
      <c r="B2327" s="24" t="str">
        <f>"603238"</f>
        <v>603238</v>
      </c>
      <c r="C2327" s="24" t="s">
        <v>2540</v>
      </c>
      <c r="D2327" s="24" t="s">
        <v>253</v>
      </c>
      <c r="E2327" s="24">
        <v>39.82</v>
      </c>
      <c r="F2327" s="24">
        <v>3.93</v>
      </c>
    </row>
    <row r="2328" s="24" customFormat="1" spans="1:6">
      <c r="A2328" s="24" t="s">
        <v>142</v>
      </c>
      <c r="B2328" s="24" t="str">
        <f>"000657"</f>
        <v>000657</v>
      </c>
      <c r="C2328" s="24" t="s">
        <v>2541</v>
      </c>
      <c r="D2328" s="24" t="s">
        <v>1003</v>
      </c>
      <c r="E2328" s="24">
        <v>39.82</v>
      </c>
      <c r="F2328" s="24">
        <v>1.67</v>
      </c>
    </row>
    <row r="2329" s="24" customFormat="1" spans="1:6">
      <c r="A2329" s="24" t="s">
        <v>142</v>
      </c>
      <c r="B2329" s="24" t="str">
        <f>"000505"</f>
        <v>000505</v>
      </c>
      <c r="C2329" s="24" t="s">
        <v>2542</v>
      </c>
      <c r="D2329" s="24" t="s">
        <v>190</v>
      </c>
      <c r="E2329" s="24">
        <v>39.69</v>
      </c>
      <c r="F2329" s="24">
        <v>1.77</v>
      </c>
    </row>
    <row r="2330" s="24" customFormat="1" spans="1:6">
      <c r="A2330" s="24" t="s">
        <v>142</v>
      </c>
      <c r="B2330" s="24" t="str">
        <f>"002361"</f>
        <v>002361</v>
      </c>
      <c r="C2330" s="24" t="s">
        <v>2543</v>
      </c>
      <c r="D2330" s="24" t="s">
        <v>228</v>
      </c>
      <c r="E2330" s="24">
        <v>39.68</v>
      </c>
      <c r="F2330" s="24">
        <v>2.38</v>
      </c>
    </row>
    <row r="2331" s="24" customFormat="1" spans="1:6">
      <c r="A2331" s="24" t="s">
        <v>140</v>
      </c>
      <c r="B2331" s="24" t="str">
        <f>"600315"</f>
        <v>600315</v>
      </c>
      <c r="C2331" s="24" t="s">
        <v>2544</v>
      </c>
      <c r="D2331" s="24" t="s">
        <v>333</v>
      </c>
      <c r="E2331" s="24">
        <v>39.67</v>
      </c>
      <c r="F2331" s="24">
        <v>4.33</v>
      </c>
    </row>
    <row r="2332" s="24" customFormat="1" spans="1:6">
      <c r="A2332" s="24" t="s">
        <v>140</v>
      </c>
      <c r="B2332" s="24" t="str">
        <f>"600965"</f>
        <v>600965</v>
      </c>
      <c r="C2332" s="24" t="s">
        <v>2545</v>
      </c>
      <c r="D2332" s="24" t="s">
        <v>145</v>
      </c>
      <c r="E2332" s="24">
        <v>39.54</v>
      </c>
      <c r="F2332" s="24">
        <v>3</v>
      </c>
    </row>
    <row r="2333" s="24" customFormat="1" spans="1:6">
      <c r="A2333" s="24" t="s">
        <v>140</v>
      </c>
      <c r="B2333" s="24" t="str">
        <f>"601878"</f>
        <v>601878</v>
      </c>
      <c r="C2333" s="24" t="s">
        <v>2546</v>
      </c>
      <c r="D2333" s="24" t="s">
        <v>714</v>
      </c>
      <c r="E2333" s="24">
        <v>39.54</v>
      </c>
      <c r="F2333" s="24">
        <v>2.41</v>
      </c>
    </row>
    <row r="2334" s="24" customFormat="1" spans="1:6">
      <c r="A2334" s="24" t="s">
        <v>140</v>
      </c>
      <c r="B2334" s="24" t="str">
        <f>"603638"</f>
        <v>603638</v>
      </c>
      <c r="C2334" s="24" t="s">
        <v>2547</v>
      </c>
      <c r="D2334" s="24" t="s">
        <v>173</v>
      </c>
      <c r="E2334" s="24">
        <v>39.51</v>
      </c>
      <c r="F2334" s="24">
        <v>6.14</v>
      </c>
    </row>
    <row r="2335" s="24" customFormat="1" spans="1:6">
      <c r="A2335" s="24" t="s">
        <v>140</v>
      </c>
      <c r="B2335" s="24" t="str">
        <f>"688101"</f>
        <v>688101</v>
      </c>
      <c r="C2335" s="24" t="s">
        <v>2548</v>
      </c>
      <c r="D2335" s="24" t="s">
        <v>214</v>
      </c>
      <c r="E2335" s="24">
        <v>39.48</v>
      </c>
      <c r="F2335" s="24">
        <v>2.47</v>
      </c>
    </row>
    <row r="2336" s="24" customFormat="1" spans="1:6">
      <c r="A2336" s="24" t="s">
        <v>142</v>
      </c>
      <c r="B2336" s="24" t="str">
        <f>"002396"</f>
        <v>002396</v>
      </c>
      <c r="C2336" s="24" t="s">
        <v>2549</v>
      </c>
      <c r="D2336" s="24" t="s">
        <v>193</v>
      </c>
      <c r="E2336" s="24">
        <v>39.45</v>
      </c>
      <c r="F2336" s="24">
        <v>5.85</v>
      </c>
    </row>
    <row r="2337" s="24" customFormat="1" spans="1:6">
      <c r="A2337" s="24" t="s">
        <v>142</v>
      </c>
      <c r="B2337" s="24" t="str">
        <f>"000930"</f>
        <v>000930</v>
      </c>
      <c r="C2337" s="24" t="s">
        <v>2550</v>
      </c>
      <c r="D2337" s="24" t="s">
        <v>2551</v>
      </c>
      <c r="E2337" s="24">
        <v>39.44</v>
      </c>
      <c r="F2337" s="24">
        <v>1.51</v>
      </c>
    </row>
    <row r="2338" s="24" customFormat="1" spans="1:6">
      <c r="A2338" s="24" t="s">
        <v>142</v>
      </c>
      <c r="B2338" s="24" t="str">
        <f>"000990"</f>
        <v>000990</v>
      </c>
      <c r="C2338" s="24" t="s">
        <v>2552</v>
      </c>
      <c r="D2338" s="24" t="s">
        <v>228</v>
      </c>
      <c r="E2338" s="24">
        <v>39.43</v>
      </c>
      <c r="F2338" s="24">
        <v>1.69</v>
      </c>
    </row>
    <row r="2339" s="24" customFormat="1" spans="1:6">
      <c r="A2339" s="24" t="s">
        <v>142</v>
      </c>
      <c r="B2339" s="24" t="str">
        <f>"300218"</f>
        <v>300218</v>
      </c>
      <c r="C2339" s="24" t="s">
        <v>2553</v>
      </c>
      <c r="D2339" s="24" t="s">
        <v>228</v>
      </c>
      <c r="E2339" s="24">
        <v>39.31</v>
      </c>
      <c r="F2339" s="24">
        <v>1.53</v>
      </c>
    </row>
    <row r="2340" s="24" customFormat="1" spans="1:6">
      <c r="A2340" s="24" t="s">
        <v>142</v>
      </c>
      <c r="B2340" s="24" t="str">
        <f>"002938"</f>
        <v>002938</v>
      </c>
      <c r="C2340" s="24" t="s">
        <v>2554</v>
      </c>
      <c r="D2340" s="24" t="s">
        <v>197</v>
      </c>
      <c r="E2340" s="24">
        <v>39.29</v>
      </c>
      <c r="F2340" s="24">
        <v>5.86</v>
      </c>
    </row>
    <row r="2341" s="24" customFormat="1" spans="1:6">
      <c r="A2341" s="24" t="s">
        <v>142</v>
      </c>
      <c r="B2341" s="24" t="str">
        <f>"300259"</f>
        <v>300259</v>
      </c>
      <c r="C2341" s="24" t="s">
        <v>2555</v>
      </c>
      <c r="D2341" s="24" t="s">
        <v>152</v>
      </c>
      <c r="E2341" s="24">
        <v>39.29</v>
      </c>
      <c r="F2341" s="24">
        <v>3.25</v>
      </c>
    </row>
    <row r="2342" s="24" customFormat="1" spans="1:6">
      <c r="A2342" s="24" t="s">
        <v>142</v>
      </c>
      <c r="B2342" s="24" t="str">
        <f>"002730"</f>
        <v>002730</v>
      </c>
      <c r="C2342" s="24" t="s">
        <v>2556</v>
      </c>
      <c r="D2342" s="24" t="s">
        <v>251</v>
      </c>
      <c r="E2342" s="24">
        <v>39.26</v>
      </c>
      <c r="F2342" s="24">
        <v>3.08</v>
      </c>
    </row>
    <row r="2343" s="24" customFormat="1" spans="1:6">
      <c r="A2343" s="24" t="s">
        <v>142</v>
      </c>
      <c r="B2343" s="24" t="str">
        <f>"300607"</f>
        <v>300607</v>
      </c>
      <c r="C2343" s="24" t="s">
        <v>2557</v>
      </c>
      <c r="D2343" s="24" t="s">
        <v>173</v>
      </c>
      <c r="E2343" s="24">
        <v>39.23</v>
      </c>
      <c r="F2343" s="24">
        <v>4.67</v>
      </c>
    </row>
    <row r="2344" s="24" customFormat="1" spans="1:6">
      <c r="A2344" s="24" t="s">
        <v>140</v>
      </c>
      <c r="B2344" s="24" t="str">
        <f>"603036"</f>
        <v>603036</v>
      </c>
      <c r="C2344" s="24" t="s">
        <v>2558</v>
      </c>
      <c r="D2344" s="24" t="s">
        <v>377</v>
      </c>
      <c r="E2344" s="24">
        <v>39.21</v>
      </c>
      <c r="F2344" s="24">
        <v>1.82</v>
      </c>
    </row>
    <row r="2345" s="24" customFormat="1" spans="1:6">
      <c r="A2345" s="24" t="s">
        <v>140</v>
      </c>
      <c r="B2345" s="24" t="str">
        <f>"603976"</f>
        <v>603976</v>
      </c>
      <c r="C2345" s="24" t="s">
        <v>2559</v>
      </c>
      <c r="D2345" s="24" t="s">
        <v>618</v>
      </c>
      <c r="E2345" s="24">
        <v>39.21</v>
      </c>
      <c r="F2345" s="24">
        <v>2.33</v>
      </c>
    </row>
    <row r="2346" s="24" customFormat="1" spans="1:6">
      <c r="A2346" s="24" t="s">
        <v>140</v>
      </c>
      <c r="B2346" s="24" t="str">
        <f>"600600"</f>
        <v>600600</v>
      </c>
      <c r="C2346" s="24" t="s">
        <v>2560</v>
      </c>
      <c r="D2346" s="24" t="s">
        <v>309</v>
      </c>
      <c r="E2346" s="24">
        <v>39.2</v>
      </c>
      <c r="F2346" s="24">
        <v>3.27</v>
      </c>
    </row>
    <row r="2347" s="24" customFormat="1" spans="1:6">
      <c r="A2347" s="24" t="s">
        <v>142</v>
      </c>
      <c r="B2347" s="24" t="str">
        <f>"002463"</f>
        <v>002463</v>
      </c>
      <c r="C2347" s="24" t="s">
        <v>2561</v>
      </c>
      <c r="D2347" s="24" t="s">
        <v>276</v>
      </c>
      <c r="E2347" s="24">
        <v>39.13</v>
      </c>
      <c r="F2347" s="24">
        <v>8.09</v>
      </c>
    </row>
    <row r="2348" s="24" customFormat="1" spans="1:6">
      <c r="A2348" s="24" t="s">
        <v>140</v>
      </c>
      <c r="B2348" s="24" t="str">
        <f>"603269"</f>
        <v>603269</v>
      </c>
      <c r="C2348" s="24" t="s">
        <v>2562</v>
      </c>
      <c r="D2348" s="24" t="s">
        <v>165</v>
      </c>
      <c r="E2348" s="24">
        <v>39.05</v>
      </c>
      <c r="F2348" s="24">
        <v>1.86</v>
      </c>
    </row>
    <row r="2349" s="24" customFormat="1" spans="1:6">
      <c r="A2349" s="24" t="s">
        <v>140</v>
      </c>
      <c r="B2349" s="24" t="str">
        <f>"603726"</f>
        <v>603726</v>
      </c>
      <c r="C2349" s="24" t="s">
        <v>2563</v>
      </c>
      <c r="D2349" s="24" t="s">
        <v>165</v>
      </c>
      <c r="E2349" s="24">
        <v>39.05</v>
      </c>
      <c r="F2349" s="24">
        <v>4.27</v>
      </c>
    </row>
    <row r="2350" s="24" customFormat="1" spans="1:6">
      <c r="A2350" s="24" t="s">
        <v>142</v>
      </c>
      <c r="B2350" s="24" t="str">
        <f>"300262"</f>
        <v>300262</v>
      </c>
      <c r="C2350" s="24" t="s">
        <v>2564</v>
      </c>
      <c r="D2350" s="24" t="s">
        <v>214</v>
      </c>
      <c r="E2350" s="24">
        <v>38.95</v>
      </c>
      <c r="F2350" s="24">
        <v>1.34</v>
      </c>
    </row>
    <row r="2351" s="24" customFormat="1" spans="1:6">
      <c r="A2351" s="24" t="s">
        <v>140</v>
      </c>
      <c r="B2351" s="24" t="str">
        <f>"603139"</f>
        <v>603139</v>
      </c>
      <c r="C2351" s="24" t="s">
        <v>2565</v>
      </c>
      <c r="D2351" s="24" t="s">
        <v>388</v>
      </c>
      <c r="E2351" s="24">
        <v>38.93</v>
      </c>
      <c r="F2351" s="24">
        <v>1.8</v>
      </c>
    </row>
    <row r="2352" s="24" customFormat="1" spans="1:6">
      <c r="A2352" s="24" t="s">
        <v>142</v>
      </c>
      <c r="B2352" s="24" t="str">
        <f>"000510"</f>
        <v>000510</v>
      </c>
      <c r="C2352" s="24" t="s">
        <v>2566</v>
      </c>
      <c r="D2352" s="24" t="s">
        <v>228</v>
      </c>
      <c r="E2352" s="24">
        <v>38.88</v>
      </c>
      <c r="F2352" s="24">
        <v>2.43</v>
      </c>
    </row>
    <row r="2353" s="24" customFormat="1" spans="1:6">
      <c r="A2353" s="24" t="s">
        <v>142</v>
      </c>
      <c r="B2353" s="24" t="str">
        <f>"002179"</f>
        <v>002179</v>
      </c>
      <c r="C2353" s="24" t="s">
        <v>2567</v>
      </c>
      <c r="D2353" s="24" t="s">
        <v>197</v>
      </c>
      <c r="E2353" s="24">
        <v>38.81</v>
      </c>
      <c r="F2353" s="24">
        <v>5.55</v>
      </c>
    </row>
    <row r="2354" s="24" customFormat="1" spans="1:6">
      <c r="A2354" s="24" t="s">
        <v>140</v>
      </c>
      <c r="B2354" s="24" t="str">
        <f>"603866"</f>
        <v>603866</v>
      </c>
      <c r="C2354" s="24" t="s">
        <v>2568</v>
      </c>
      <c r="D2354" s="24" t="s">
        <v>190</v>
      </c>
      <c r="E2354" s="24">
        <v>38.79</v>
      </c>
      <c r="F2354" s="24">
        <v>7.41</v>
      </c>
    </row>
    <row r="2355" s="24" customFormat="1" spans="1:6">
      <c r="A2355" s="24" t="s">
        <v>140</v>
      </c>
      <c r="B2355" s="24" t="str">
        <f>"600976"</f>
        <v>600976</v>
      </c>
      <c r="C2355" s="24" t="s">
        <v>2569</v>
      </c>
      <c r="D2355" s="24" t="s">
        <v>388</v>
      </c>
      <c r="E2355" s="24">
        <v>38.7</v>
      </c>
      <c r="F2355" s="24">
        <v>2.12</v>
      </c>
    </row>
    <row r="2356" s="24" customFormat="1" spans="1:6">
      <c r="A2356" s="24" t="s">
        <v>142</v>
      </c>
      <c r="B2356" s="24" t="str">
        <f>"000400"</f>
        <v>000400</v>
      </c>
      <c r="C2356" s="24" t="s">
        <v>2570</v>
      </c>
      <c r="D2356" s="24" t="s">
        <v>293</v>
      </c>
      <c r="E2356" s="24">
        <v>38.67</v>
      </c>
      <c r="F2356" s="24">
        <v>1.35</v>
      </c>
    </row>
    <row r="2357" s="24" customFormat="1" spans="1:6">
      <c r="A2357" s="24" t="s">
        <v>140</v>
      </c>
      <c r="B2357" s="24" t="str">
        <f>"600895"</f>
        <v>600895</v>
      </c>
      <c r="C2357" s="24" t="s">
        <v>2571</v>
      </c>
      <c r="D2357" s="24" t="s">
        <v>1076</v>
      </c>
      <c r="E2357" s="24">
        <v>38.66</v>
      </c>
      <c r="F2357" s="24">
        <v>2.28</v>
      </c>
    </row>
    <row r="2358" s="24" customFormat="1" spans="1:6">
      <c r="A2358" s="24" t="s">
        <v>142</v>
      </c>
      <c r="B2358" s="24" t="str">
        <f>"002237"</f>
        <v>002237</v>
      </c>
      <c r="C2358" s="24" t="s">
        <v>2572</v>
      </c>
      <c r="D2358" s="24" t="s">
        <v>167</v>
      </c>
      <c r="E2358" s="24">
        <v>38.66</v>
      </c>
      <c r="F2358" s="24">
        <v>2.84</v>
      </c>
    </row>
    <row r="2359" s="24" customFormat="1" spans="1:6">
      <c r="A2359" s="24" t="s">
        <v>142</v>
      </c>
      <c r="B2359" s="24" t="str">
        <f>"300035"</f>
        <v>300035</v>
      </c>
      <c r="C2359" s="24" t="s">
        <v>2573</v>
      </c>
      <c r="D2359" s="24" t="s">
        <v>173</v>
      </c>
      <c r="E2359" s="24">
        <v>38.59</v>
      </c>
      <c r="F2359" s="24">
        <v>4.21</v>
      </c>
    </row>
    <row r="2360" s="24" customFormat="1" spans="1:6">
      <c r="A2360" s="24" t="s">
        <v>142</v>
      </c>
      <c r="B2360" s="24" t="str">
        <f>"300808"</f>
        <v>300808</v>
      </c>
      <c r="C2360" s="24" t="s">
        <v>2574</v>
      </c>
      <c r="D2360" s="24" t="s">
        <v>251</v>
      </c>
      <c r="E2360" s="24">
        <v>38.52</v>
      </c>
      <c r="F2360" s="24">
        <v>3.12</v>
      </c>
    </row>
    <row r="2361" s="24" customFormat="1" spans="1:6">
      <c r="A2361" s="24" t="s">
        <v>140</v>
      </c>
      <c r="B2361" s="24" t="str">
        <f>"603988"</f>
        <v>603988</v>
      </c>
      <c r="C2361" s="24" t="s">
        <v>2575</v>
      </c>
      <c r="D2361" s="24" t="s">
        <v>251</v>
      </c>
      <c r="E2361" s="24">
        <v>38.51</v>
      </c>
      <c r="F2361" s="24">
        <v>3.35</v>
      </c>
    </row>
    <row r="2362" s="24" customFormat="1" spans="1:6">
      <c r="A2362" s="24" t="s">
        <v>142</v>
      </c>
      <c r="B2362" s="24" t="str">
        <f>"300729"</f>
        <v>300729</v>
      </c>
      <c r="C2362" s="24" t="s">
        <v>2576</v>
      </c>
      <c r="D2362" s="24" t="s">
        <v>200</v>
      </c>
      <c r="E2362" s="24">
        <v>38.46</v>
      </c>
      <c r="F2362" s="24">
        <v>2.37</v>
      </c>
    </row>
    <row r="2363" s="24" customFormat="1" spans="1:6">
      <c r="A2363" s="24" t="s">
        <v>140</v>
      </c>
      <c r="B2363" s="24" t="str">
        <f>"603559"</f>
        <v>603559</v>
      </c>
      <c r="C2363" s="24" t="s">
        <v>2577</v>
      </c>
      <c r="D2363" s="24" t="s">
        <v>193</v>
      </c>
      <c r="E2363" s="24">
        <v>38.44</v>
      </c>
      <c r="F2363" s="24">
        <v>4.01</v>
      </c>
    </row>
    <row r="2364" s="24" customFormat="1" spans="1:6">
      <c r="A2364" s="24" t="s">
        <v>140</v>
      </c>
      <c r="B2364" s="24" t="str">
        <f>"600929"</f>
        <v>600929</v>
      </c>
      <c r="C2364" s="24" t="s">
        <v>2578</v>
      </c>
      <c r="D2364" s="24" t="s">
        <v>190</v>
      </c>
      <c r="E2364" s="24">
        <v>38.4</v>
      </c>
      <c r="F2364" s="24">
        <v>2.27</v>
      </c>
    </row>
    <row r="2365" s="24" customFormat="1" spans="1:6">
      <c r="A2365" s="24" t="s">
        <v>140</v>
      </c>
      <c r="B2365" s="24" t="str">
        <f>"600667"</f>
        <v>600667</v>
      </c>
      <c r="C2365" s="24" t="s">
        <v>2579</v>
      </c>
      <c r="D2365" s="24" t="s">
        <v>276</v>
      </c>
      <c r="E2365" s="24">
        <v>38.39</v>
      </c>
      <c r="F2365" s="24">
        <v>3.77</v>
      </c>
    </row>
    <row r="2366" s="24" customFormat="1" spans="1:6">
      <c r="A2366" s="24" t="s">
        <v>142</v>
      </c>
      <c r="B2366" s="24" t="str">
        <f>"002223"</f>
        <v>002223</v>
      </c>
      <c r="C2366" s="24" t="s">
        <v>2580</v>
      </c>
      <c r="D2366" s="24" t="s">
        <v>618</v>
      </c>
      <c r="E2366" s="24">
        <v>38.37</v>
      </c>
      <c r="F2366" s="24">
        <v>5.25</v>
      </c>
    </row>
    <row r="2367" s="24" customFormat="1" spans="1:6">
      <c r="A2367" s="24" t="s">
        <v>140</v>
      </c>
      <c r="B2367" s="24" t="str">
        <f>"601958"</f>
        <v>601958</v>
      </c>
      <c r="C2367" s="24" t="s">
        <v>2581</v>
      </c>
      <c r="D2367" s="24" t="s">
        <v>167</v>
      </c>
      <c r="E2367" s="24">
        <v>38.33</v>
      </c>
      <c r="F2367" s="24">
        <v>1.72</v>
      </c>
    </row>
    <row r="2368" s="24" customFormat="1" spans="1:6">
      <c r="A2368" s="24" t="s">
        <v>140</v>
      </c>
      <c r="B2368" s="24" t="str">
        <f>"603660"</f>
        <v>603660</v>
      </c>
      <c r="C2368" s="24" t="s">
        <v>2582</v>
      </c>
      <c r="D2368" s="24" t="s">
        <v>152</v>
      </c>
      <c r="E2368" s="24">
        <v>38.32</v>
      </c>
      <c r="F2368" s="24">
        <v>3.82</v>
      </c>
    </row>
    <row r="2369" s="24" customFormat="1" spans="1:6">
      <c r="A2369" s="24" t="s">
        <v>142</v>
      </c>
      <c r="B2369" s="24" t="str">
        <f>"000606"</f>
        <v>000606</v>
      </c>
      <c r="C2369" s="24" t="s">
        <v>2583</v>
      </c>
      <c r="D2369" s="24" t="s">
        <v>163</v>
      </c>
      <c r="E2369" s="24">
        <v>38.29</v>
      </c>
      <c r="F2369" s="24">
        <v>-569.99</v>
      </c>
    </row>
    <row r="2370" s="24" customFormat="1" spans="1:6">
      <c r="A2370" s="24" t="s">
        <v>140</v>
      </c>
      <c r="B2370" s="24" t="str">
        <f>"603228"</f>
        <v>603228</v>
      </c>
      <c r="C2370" s="24" t="s">
        <v>2584</v>
      </c>
      <c r="D2370" s="24" t="s">
        <v>197</v>
      </c>
      <c r="E2370" s="24">
        <v>38.28</v>
      </c>
      <c r="F2370" s="24">
        <v>5.32</v>
      </c>
    </row>
    <row r="2371" s="24" customFormat="1" spans="1:6">
      <c r="A2371" s="24" t="s">
        <v>142</v>
      </c>
      <c r="B2371" s="24" t="str">
        <f>"002549"</f>
        <v>002549</v>
      </c>
      <c r="C2371" s="24" t="s">
        <v>2585</v>
      </c>
      <c r="D2371" s="24" t="s">
        <v>256</v>
      </c>
      <c r="E2371" s="24">
        <v>38.22</v>
      </c>
      <c r="F2371" s="24">
        <v>4.04</v>
      </c>
    </row>
    <row r="2372" s="24" customFormat="1" spans="1:6">
      <c r="A2372" s="24" t="s">
        <v>140</v>
      </c>
      <c r="B2372" s="24" t="str">
        <f>"603200"</f>
        <v>603200</v>
      </c>
      <c r="C2372" s="24" t="s">
        <v>2586</v>
      </c>
      <c r="D2372" s="24" t="s">
        <v>214</v>
      </c>
      <c r="E2372" s="24">
        <v>38.18</v>
      </c>
      <c r="F2372" s="24">
        <v>2.91</v>
      </c>
    </row>
    <row r="2373" s="24" customFormat="1" spans="1:6">
      <c r="A2373" s="24" t="s">
        <v>140</v>
      </c>
      <c r="B2373" s="24" t="str">
        <f>"603803"</f>
        <v>603803</v>
      </c>
      <c r="C2373" s="24" t="s">
        <v>2587</v>
      </c>
      <c r="D2373" s="24" t="s">
        <v>193</v>
      </c>
      <c r="E2373" s="24">
        <v>38.18</v>
      </c>
      <c r="F2373" s="24">
        <v>2.12</v>
      </c>
    </row>
    <row r="2374" s="24" customFormat="1" spans="1:6">
      <c r="A2374" s="24" t="s">
        <v>142</v>
      </c>
      <c r="B2374" s="24" t="str">
        <f>"300246"</f>
        <v>300246</v>
      </c>
      <c r="C2374" s="24" t="s">
        <v>2588</v>
      </c>
      <c r="D2374" s="24" t="s">
        <v>618</v>
      </c>
      <c r="E2374" s="24">
        <v>38.12</v>
      </c>
      <c r="F2374" s="24">
        <v>5.72</v>
      </c>
    </row>
    <row r="2375" s="24" customFormat="1" spans="1:6">
      <c r="A2375" s="24" t="s">
        <v>142</v>
      </c>
      <c r="B2375" s="24" t="str">
        <f>"002421"</f>
        <v>002421</v>
      </c>
      <c r="C2375" s="24" t="s">
        <v>2589</v>
      </c>
      <c r="D2375" s="24" t="s">
        <v>159</v>
      </c>
      <c r="E2375" s="24">
        <v>38.12</v>
      </c>
      <c r="F2375" s="24">
        <v>2.35</v>
      </c>
    </row>
    <row r="2376" s="24" customFormat="1" spans="1:6">
      <c r="A2376" s="24" t="s">
        <v>142</v>
      </c>
      <c r="B2376" s="24" t="str">
        <f>"002937"</f>
        <v>002937</v>
      </c>
      <c r="C2376" s="24" t="s">
        <v>2590</v>
      </c>
      <c r="D2376" s="24" t="s">
        <v>197</v>
      </c>
      <c r="E2376" s="24">
        <v>38.02</v>
      </c>
      <c r="F2376" s="24">
        <v>5.18</v>
      </c>
    </row>
    <row r="2377" s="24" customFormat="1" spans="1:6">
      <c r="A2377" s="24" t="s">
        <v>140</v>
      </c>
      <c r="B2377" s="24" t="str">
        <f>"600572"</f>
        <v>600572</v>
      </c>
      <c r="C2377" s="24" t="s">
        <v>2591</v>
      </c>
      <c r="D2377" s="24" t="s">
        <v>388</v>
      </c>
      <c r="E2377" s="24">
        <v>37.98</v>
      </c>
      <c r="F2377" s="24">
        <v>3.65</v>
      </c>
    </row>
    <row r="2378" s="24" customFormat="1" spans="1:6">
      <c r="A2378" s="24" t="s">
        <v>140</v>
      </c>
      <c r="B2378" s="24" t="str">
        <f>"600850"</f>
        <v>600850</v>
      </c>
      <c r="C2378" s="24" t="s">
        <v>2592</v>
      </c>
      <c r="D2378" s="24" t="s">
        <v>159</v>
      </c>
      <c r="E2378" s="24">
        <v>37.98</v>
      </c>
      <c r="F2378" s="24">
        <v>4.65</v>
      </c>
    </row>
    <row r="2379" s="24" customFormat="1" spans="1:6">
      <c r="A2379" s="24" t="s">
        <v>142</v>
      </c>
      <c r="B2379" s="24" t="str">
        <f>"002422"</f>
        <v>002422</v>
      </c>
      <c r="C2379" s="24" t="s">
        <v>2593</v>
      </c>
      <c r="D2379" s="24" t="s">
        <v>464</v>
      </c>
      <c r="E2379" s="24">
        <v>37.93</v>
      </c>
      <c r="F2379" s="24">
        <v>2.79</v>
      </c>
    </row>
    <row r="2380" s="24" customFormat="1" spans="1:6">
      <c r="A2380" s="24" t="s">
        <v>142</v>
      </c>
      <c r="B2380" s="24" t="str">
        <f>"000705"</f>
        <v>000705</v>
      </c>
      <c r="C2380" s="24" t="s">
        <v>2594</v>
      </c>
      <c r="D2380" s="24" t="s">
        <v>584</v>
      </c>
      <c r="E2380" s="24">
        <v>37.89</v>
      </c>
      <c r="F2380" s="24">
        <v>1.63</v>
      </c>
    </row>
    <row r="2381" s="24" customFormat="1" spans="1:6">
      <c r="A2381" s="24" t="s">
        <v>142</v>
      </c>
      <c r="B2381" s="24" t="str">
        <f>"300376"</f>
        <v>300376</v>
      </c>
      <c r="C2381" s="24" t="s">
        <v>2595</v>
      </c>
      <c r="D2381" s="24" t="s">
        <v>251</v>
      </c>
      <c r="E2381" s="24">
        <v>37.87</v>
      </c>
      <c r="F2381" s="24">
        <v>2.07</v>
      </c>
    </row>
    <row r="2382" s="24" customFormat="1" spans="1:6">
      <c r="A2382" s="24" t="s">
        <v>142</v>
      </c>
      <c r="B2382" s="24" t="str">
        <f>"002534"</f>
        <v>002534</v>
      </c>
      <c r="C2382" s="24" t="s">
        <v>2596</v>
      </c>
      <c r="D2382" s="24" t="s">
        <v>165</v>
      </c>
      <c r="E2382" s="24">
        <v>37.86</v>
      </c>
      <c r="F2382" s="24">
        <v>1.69</v>
      </c>
    </row>
    <row r="2383" s="24" customFormat="1" spans="1:6">
      <c r="A2383" s="24" t="s">
        <v>142</v>
      </c>
      <c r="B2383" s="24" t="str">
        <f>"002521"</f>
        <v>002521</v>
      </c>
      <c r="C2383" s="24" t="s">
        <v>2597</v>
      </c>
      <c r="D2383" s="24" t="s">
        <v>509</v>
      </c>
      <c r="E2383" s="24">
        <v>37.82</v>
      </c>
      <c r="F2383" s="24">
        <v>0.78</v>
      </c>
    </row>
    <row r="2384" s="24" customFormat="1" spans="1:6">
      <c r="A2384" s="24" t="s">
        <v>142</v>
      </c>
      <c r="B2384" s="24" t="str">
        <f>"300694"</f>
        <v>300694</v>
      </c>
      <c r="C2384" s="24" t="s">
        <v>2598</v>
      </c>
      <c r="D2384" s="24" t="s">
        <v>204</v>
      </c>
      <c r="E2384" s="24">
        <v>37.8</v>
      </c>
      <c r="F2384" s="24">
        <v>2.4</v>
      </c>
    </row>
    <row r="2385" s="24" customFormat="1" spans="1:6">
      <c r="A2385" s="24" t="s">
        <v>142</v>
      </c>
      <c r="B2385" s="24" t="str">
        <f>"002489"</f>
        <v>002489</v>
      </c>
      <c r="C2385" s="24" t="s">
        <v>2599</v>
      </c>
      <c r="D2385" s="24" t="s">
        <v>283</v>
      </c>
      <c r="E2385" s="24">
        <v>37.79</v>
      </c>
      <c r="F2385" s="24">
        <v>2.82</v>
      </c>
    </row>
    <row r="2386" s="24" customFormat="1" spans="1:6">
      <c r="A2386" s="24" t="s">
        <v>142</v>
      </c>
      <c r="B2386" s="24" t="str">
        <f>"002893"</f>
        <v>002893</v>
      </c>
      <c r="C2386" s="24" t="s">
        <v>2600</v>
      </c>
      <c r="D2386" s="24" t="s">
        <v>450</v>
      </c>
      <c r="E2386" s="24">
        <v>37.74</v>
      </c>
      <c r="F2386" s="24">
        <v>2.68</v>
      </c>
    </row>
    <row r="2387" s="24" customFormat="1" spans="1:6">
      <c r="A2387" s="24" t="s">
        <v>142</v>
      </c>
      <c r="B2387" s="24" t="str">
        <f>"000766"</f>
        <v>000766</v>
      </c>
      <c r="C2387" s="24" t="s">
        <v>2601</v>
      </c>
      <c r="D2387" s="24" t="s">
        <v>388</v>
      </c>
      <c r="E2387" s="24">
        <v>37.65</v>
      </c>
      <c r="F2387" s="24">
        <v>2.32</v>
      </c>
    </row>
    <row r="2388" s="24" customFormat="1" spans="1:6">
      <c r="A2388" s="24" t="s">
        <v>140</v>
      </c>
      <c r="B2388" s="24" t="str">
        <f>"603528"</f>
        <v>603528</v>
      </c>
      <c r="C2388" s="24" t="s">
        <v>2602</v>
      </c>
      <c r="D2388" s="24" t="s">
        <v>156</v>
      </c>
      <c r="E2388" s="24">
        <v>37.56</v>
      </c>
      <c r="F2388" s="24">
        <v>2.81</v>
      </c>
    </row>
    <row r="2389" s="24" customFormat="1" spans="1:6">
      <c r="A2389" s="24" t="s">
        <v>142</v>
      </c>
      <c r="B2389" s="24" t="str">
        <f>"002429"</f>
        <v>002429</v>
      </c>
      <c r="C2389" s="24" t="s">
        <v>2603</v>
      </c>
      <c r="D2389" s="24" t="s">
        <v>184</v>
      </c>
      <c r="E2389" s="24">
        <v>37.48</v>
      </c>
      <c r="F2389" s="24">
        <v>2.32</v>
      </c>
    </row>
    <row r="2390" s="24" customFormat="1" spans="1:6">
      <c r="A2390" s="24" t="s">
        <v>142</v>
      </c>
      <c r="B2390" s="24" t="str">
        <f>"300649"</f>
        <v>300649</v>
      </c>
      <c r="C2390" s="24" t="s">
        <v>2604</v>
      </c>
      <c r="D2390" s="24" t="s">
        <v>315</v>
      </c>
      <c r="E2390" s="24">
        <v>37.41</v>
      </c>
      <c r="F2390" s="24">
        <v>5.95</v>
      </c>
    </row>
    <row r="2391" s="24" customFormat="1" spans="1:6">
      <c r="A2391" s="24" t="s">
        <v>142</v>
      </c>
      <c r="B2391" s="24" t="str">
        <f>"002484"</f>
        <v>002484</v>
      </c>
      <c r="C2391" s="24" t="s">
        <v>2605</v>
      </c>
      <c r="D2391" s="24" t="s">
        <v>197</v>
      </c>
      <c r="E2391" s="24">
        <v>37.4</v>
      </c>
      <c r="F2391" s="24">
        <v>2.23</v>
      </c>
    </row>
    <row r="2392" s="24" customFormat="1" spans="1:6">
      <c r="A2392" s="24" t="s">
        <v>142</v>
      </c>
      <c r="B2392" s="24" t="str">
        <f>"000903"</f>
        <v>000903</v>
      </c>
      <c r="C2392" s="24" t="s">
        <v>2606</v>
      </c>
      <c r="D2392" s="24" t="s">
        <v>165</v>
      </c>
      <c r="E2392" s="24">
        <v>37.36</v>
      </c>
      <c r="F2392" s="24">
        <v>1.02</v>
      </c>
    </row>
    <row r="2393" s="24" customFormat="1" spans="1:6">
      <c r="A2393" s="24" t="s">
        <v>142</v>
      </c>
      <c r="B2393" s="24" t="str">
        <f>"000538"</f>
        <v>000538</v>
      </c>
      <c r="C2393" s="24" t="s">
        <v>2607</v>
      </c>
      <c r="D2393" s="24" t="s">
        <v>388</v>
      </c>
      <c r="E2393" s="24">
        <v>37.35</v>
      </c>
      <c r="F2393" s="24">
        <v>2.81</v>
      </c>
    </row>
    <row r="2394" s="24" customFormat="1" spans="1:6">
      <c r="A2394" s="24" t="s">
        <v>140</v>
      </c>
      <c r="B2394" s="24" t="str">
        <f>"600085"</f>
        <v>600085</v>
      </c>
      <c r="C2394" s="24" t="s">
        <v>2608</v>
      </c>
      <c r="D2394" s="24" t="s">
        <v>388</v>
      </c>
      <c r="E2394" s="24">
        <v>37.32</v>
      </c>
      <c r="F2394" s="24">
        <v>4.14</v>
      </c>
    </row>
    <row r="2395" s="24" customFormat="1" spans="1:6">
      <c r="A2395" s="24" t="s">
        <v>142</v>
      </c>
      <c r="B2395" s="24" t="str">
        <f>"300664"</f>
        <v>300664</v>
      </c>
      <c r="C2395" s="24" t="s">
        <v>2609</v>
      </c>
      <c r="D2395" s="24" t="s">
        <v>214</v>
      </c>
      <c r="E2395" s="24">
        <v>37.28</v>
      </c>
      <c r="F2395" s="24">
        <v>2.03</v>
      </c>
    </row>
    <row r="2396" s="24" customFormat="1" spans="1:6">
      <c r="A2396" s="24" t="s">
        <v>142</v>
      </c>
      <c r="B2396" s="24" t="str">
        <f>"300295"</f>
        <v>300295</v>
      </c>
      <c r="C2396" s="24" t="s">
        <v>2610</v>
      </c>
      <c r="D2396" s="24" t="s">
        <v>163</v>
      </c>
      <c r="E2396" s="24">
        <v>37.26</v>
      </c>
      <c r="F2396" s="24">
        <v>2.02</v>
      </c>
    </row>
    <row r="2397" s="24" customFormat="1" spans="1:6">
      <c r="A2397" s="24" t="s">
        <v>140</v>
      </c>
      <c r="B2397" s="24" t="str">
        <f>"603822"</f>
        <v>603822</v>
      </c>
      <c r="C2397" s="24" t="s">
        <v>2611</v>
      </c>
      <c r="D2397" s="24" t="s">
        <v>256</v>
      </c>
      <c r="E2397" s="24">
        <v>37.26</v>
      </c>
      <c r="F2397" s="24">
        <v>3.1</v>
      </c>
    </row>
    <row r="2398" s="24" customFormat="1" spans="1:6">
      <c r="A2398" s="24" t="s">
        <v>142</v>
      </c>
      <c r="B2398" s="24" t="str">
        <f>"300309"</f>
        <v>300309</v>
      </c>
      <c r="C2398" s="24" t="s">
        <v>2612</v>
      </c>
      <c r="D2398" s="24" t="s">
        <v>377</v>
      </c>
      <c r="E2398" s="24">
        <v>37.22</v>
      </c>
      <c r="F2398" s="24">
        <v>1.52</v>
      </c>
    </row>
    <row r="2399" s="24" customFormat="1" spans="1:6">
      <c r="A2399" s="24" t="s">
        <v>142</v>
      </c>
      <c r="B2399" s="24" t="str">
        <f>"300583"</f>
        <v>300583</v>
      </c>
      <c r="C2399" s="24" t="s">
        <v>2613</v>
      </c>
      <c r="D2399" s="24" t="s">
        <v>997</v>
      </c>
      <c r="E2399" s="24">
        <v>37.09</v>
      </c>
      <c r="F2399" s="24">
        <v>1.82</v>
      </c>
    </row>
    <row r="2400" s="24" customFormat="1" spans="1:6">
      <c r="A2400" s="24" t="s">
        <v>142</v>
      </c>
      <c r="B2400" s="24" t="str">
        <f>"002840"</f>
        <v>002840</v>
      </c>
      <c r="C2400" s="24" t="s">
        <v>2614</v>
      </c>
      <c r="D2400" s="24" t="s">
        <v>190</v>
      </c>
      <c r="E2400" s="24">
        <v>37.06</v>
      </c>
      <c r="F2400" s="24">
        <v>2.88</v>
      </c>
    </row>
    <row r="2401" s="24" customFormat="1" spans="1:6">
      <c r="A2401" s="24" t="s">
        <v>140</v>
      </c>
      <c r="B2401" s="24" t="str">
        <f>"600482"</f>
        <v>600482</v>
      </c>
      <c r="C2401" s="24" t="s">
        <v>2615</v>
      </c>
      <c r="D2401" s="24" t="s">
        <v>204</v>
      </c>
      <c r="E2401" s="24">
        <v>37.06</v>
      </c>
      <c r="F2401" s="24">
        <v>1.13</v>
      </c>
    </row>
    <row r="2402" s="24" customFormat="1" spans="1:6">
      <c r="A2402" s="24" t="s">
        <v>140</v>
      </c>
      <c r="B2402" s="24" t="str">
        <f>"600760"</f>
        <v>600760</v>
      </c>
      <c r="C2402" s="24" t="s">
        <v>2616</v>
      </c>
      <c r="D2402" s="24" t="s">
        <v>395</v>
      </c>
      <c r="E2402" s="24">
        <v>37.04</v>
      </c>
      <c r="F2402" s="24">
        <v>4.43</v>
      </c>
    </row>
    <row r="2403" s="24" customFormat="1" spans="1:6">
      <c r="A2403" s="24" t="s">
        <v>142</v>
      </c>
      <c r="B2403" s="24" t="str">
        <f>"002340"</f>
        <v>002340</v>
      </c>
      <c r="C2403" s="24" t="s">
        <v>2617</v>
      </c>
      <c r="D2403" s="24" t="s">
        <v>167</v>
      </c>
      <c r="E2403" s="24">
        <v>36.99</v>
      </c>
      <c r="F2403" s="24">
        <v>2.56</v>
      </c>
    </row>
    <row r="2404" s="24" customFormat="1" spans="1:6">
      <c r="A2404" s="24" t="s">
        <v>142</v>
      </c>
      <c r="B2404" s="24" t="str">
        <f>"300127"</f>
        <v>300127</v>
      </c>
      <c r="C2404" s="24" t="s">
        <v>2618</v>
      </c>
      <c r="D2404" s="24" t="s">
        <v>197</v>
      </c>
      <c r="E2404" s="24">
        <v>36.97</v>
      </c>
      <c r="F2404" s="24">
        <v>4.33</v>
      </c>
    </row>
    <row r="2405" s="24" customFormat="1" spans="1:6">
      <c r="A2405" s="24" t="s">
        <v>142</v>
      </c>
      <c r="B2405" s="24" t="str">
        <f>"002913"</f>
        <v>002913</v>
      </c>
      <c r="C2405" s="24" t="s">
        <v>2619</v>
      </c>
      <c r="D2405" s="24" t="s">
        <v>197</v>
      </c>
      <c r="E2405" s="24">
        <v>36.94</v>
      </c>
      <c r="F2405" s="24">
        <v>3.65</v>
      </c>
    </row>
    <row r="2406" s="24" customFormat="1" spans="1:6">
      <c r="A2406" s="24" t="s">
        <v>140</v>
      </c>
      <c r="B2406" s="24" t="str">
        <f>"603665"</f>
        <v>603665</v>
      </c>
      <c r="C2406" s="24" t="s">
        <v>2620</v>
      </c>
      <c r="D2406" s="24" t="s">
        <v>253</v>
      </c>
      <c r="E2406" s="24">
        <v>36.88</v>
      </c>
      <c r="F2406" s="24">
        <v>2.14</v>
      </c>
    </row>
    <row r="2407" s="24" customFormat="1" spans="1:6">
      <c r="A2407" s="24" t="s">
        <v>142</v>
      </c>
      <c r="B2407" s="24" t="str">
        <f>"002287"</f>
        <v>002287</v>
      </c>
      <c r="C2407" s="24" t="s">
        <v>2621</v>
      </c>
      <c r="D2407" s="24" t="s">
        <v>388</v>
      </c>
      <c r="E2407" s="24">
        <v>36.85</v>
      </c>
      <c r="F2407" s="24">
        <v>5.14</v>
      </c>
    </row>
    <row r="2408" s="24" customFormat="1" spans="1:6">
      <c r="A2408" s="24" t="s">
        <v>140</v>
      </c>
      <c r="B2408" s="24" t="str">
        <f>"601599"</f>
        <v>601599</v>
      </c>
      <c r="C2408" s="24" t="s">
        <v>2622</v>
      </c>
      <c r="D2408" s="24" t="s">
        <v>253</v>
      </c>
      <c r="E2408" s="24">
        <v>36.8</v>
      </c>
      <c r="F2408" s="24">
        <v>1.11</v>
      </c>
    </row>
    <row r="2409" s="24" customFormat="1" spans="1:6">
      <c r="A2409" s="24" t="s">
        <v>140</v>
      </c>
      <c r="B2409" s="24" t="str">
        <f>"603860"</f>
        <v>603860</v>
      </c>
      <c r="C2409" s="24" t="s">
        <v>2623</v>
      </c>
      <c r="D2409" s="24" t="s">
        <v>214</v>
      </c>
      <c r="E2409" s="24">
        <v>36.74</v>
      </c>
      <c r="F2409" s="24">
        <v>2.69</v>
      </c>
    </row>
    <row r="2410" s="24" customFormat="1" spans="1:6">
      <c r="A2410" s="24" t="s">
        <v>142</v>
      </c>
      <c r="B2410" s="24" t="str">
        <f>"002624"</f>
        <v>002624</v>
      </c>
      <c r="C2410" s="24" t="s">
        <v>2624</v>
      </c>
      <c r="D2410" s="24" t="s">
        <v>156</v>
      </c>
      <c r="E2410" s="24">
        <v>36.72</v>
      </c>
      <c r="F2410" s="24">
        <v>7.55</v>
      </c>
    </row>
    <row r="2411" s="24" customFormat="1" spans="1:6">
      <c r="A2411" s="24" t="s">
        <v>140</v>
      </c>
      <c r="B2411" s="24" t="str">
        <f>"600050"</f>
        <v>600050</v>
      </c>
      <c r="C2411" s="24" t="s">
        <v>2625</v>
      </c>
      <c r="D2411" s="24" t="s">
        <v>2626</v>
      </c>
      <c r="E2411" s="24">
        <v>36.7</v>
      </c>
      <c r="F2411" s="24">
        <v>1.16</v>
      </c>
    </row>
    <row r="2412" s="24" customFormat="1" spans="1:6">
      <c r="A2412" s="24" t="s">
        <v>140</v>
      </c>
      <c r="B2412" s="24" t="str">
        <f>"603195"</f>
        <v>603195</v>
      </c>
      <c r="C2412" s="24" t="s">
        <v>2627</v>
      </c>
      <c r="D2412" s="24"/>
      <c r="E2412" s="24">
        <v>36.69</v>
      </c>
      <c r="F2412" s="24">
        <v>9.66</v>
      </c>
    </row>
    <row r="2413" s="24" customFormat="1" spans="1:6">
      <c r="A2413" s="24" t="s">
        <v>140</v>
      </c>
      <c r="B2413" s="24" t="str">
        <f>"603077"</f>
        <v>603077</v>
      </c>
      <c r="C2413" s="24" t="s">
        <v>2628</v>
      </c>
      <c r="D2413" s="24" t="s">
        <v>256</v>
      </c>
      <c r="E2413" s="24">
        <v>36.64</v>
      </c>
      <c r="F2413" s="24">
        <v>1.48</v>
      </c>
    </row>
    <row r="2414" s="24" customFormat="1" spans="1:6">
      <c r="A2414" s="24" t="s">
        <v>142</v>
      </c>
      <c r="B2414" s="24" t="str">
        <f>"300393"</f>
        <v>300393</v>
      </c>
      <c r="C2414" s="24" t="s">
        <v>2629</v>
      </c>
      <c r="D2414" s="24" t="s">
        <v>197</v>
      </c>
      <c r="E2414" s="24">
        <v>36.6</v>
      </c>
      <c r="F2414" s="24">
        <v>2.42</v>
      </c>
    </row>
    <row r="2415" s="24" customFormat="1" spans="1:6">
      <c r="A2415" s="24" t="s">
        <v>142</v>
      </c>
      <c r="B2415" s="24" t="str">
        <f>"002365"</f>
        <v>002365</v>
      </c>
      <c r="C2415" s="24" t="s">
        <v>2630</v>
      </c>
      <c r="D2415" s="24" t="s">
        <v>997</v>
      </c>
      <c r="E2415" s="24">
        <v>36.59</v>
      </c>
      <c r="F2415" s="24">
        <v>1.83</v>
      </c>
    </row>
    <row r="2416" s="24" customFormat="1" spans="1:6">
      <c r="A2416" s="24" t="s">
        <v>142</v>
      </c>
      <c r="B2416" s="24" t="str">
        <f>"300440"</f>
        <v>300440</v>
      </c>
      <c r="C2416" s="24" t="s">
        <v>2631</v>
      </c>
      <c r="D2416" s="24" t="s">
        <v>156</v>
      </c>
      <c r="E2416" s="24">
        <v>36.57</v>
      </c>
      <c r="F2416" s="24">
        <v>3.18</v>
      </c>
    </row>
    <row r="2417" s="24" customFormat="1" spans="1:6">
      <c r="A2417" s="24" t="s">
        <v>142</v>
      </c>
      <c r="B2417" s="24" t="str">
        <f>"002698"</f>
        <v>002698</v>
      </c>
      <c r="C2417" s="24" t="s">
        <v>2632</v>
      </c>
      <c r="D2417" s="24" t="s">
        <v>173</v>
      </c>
      <c r="E2417" s="24">
        <v>36.56</v>
      </c>
      <c r="F2417" s="24">
        <v>4.71</v>
      </c>
    </row>
    <row r="2418" s="24" customFormat="1" spans="1:6">
      <c r="A2418" s="24" t="s">
        <v>142</v>
      </c>
      <c r="B2418" s="24" t="str">
        <f>"002479"</f>
        <v>002479</v>
      </c>
      <c r="C2418" s="24" t="s">
        <v>2633</v>
      </c>
      <c r="D2418" s="24" t="s">
        <v>450</v>
      </c>
      <c r="E2418" s="24">
        <v>36.49</v>
      </c>
      <c r="F2418" s="24">
        <v>1.6</v>
      </c>
    </row>
    <row r="2419" s="24" customFormat="1" spans="1:6">
      <c r="A2419" s="24" t="s">
        <v>142</v>
      </c>
      <c r="B2419" s="24" t="str">
        <f>"300582"</f>
        <v>300582</v>
      </c>
      <c r="C2419" s="24" t="s">
        <v>2634</v>
      </c>
      <c r="D2419" s="24" t="s">
        <v>197</v>
      </c>
      <c r="E2419" s="24">
        <v>36.45</v>
      </c>
      <c r="F2419" s="24">
        <v>2.76</v>
      </c>
    </row>
    <row r="2420" s="24" customFormat="1" spans="1:6">
      <c r="A2420" s="24" t="s">
        <v>142</v>
      </c>
      <c r="B2420" s="24" t="str">
        <f>"300818"</f>
        <v>300818</v>
      </c>
      <c r="C2420" s="24" t="s">
        <v>2635</v>
      </c>
      <c r="D2420" s="24"/>
      <c r="E2420" s="24">
        <v>36.4</v>
      </c>
      <c r="F2420" s="24">
        <v>2.77</v>
      </c>
    </row>
    <row r="2421" s="24" customFormat="1" spans="1:6">
      <c r="A2421" s="24" t="s">
        <v>140</v>
      </c>
      <c r="B2421" s="24" t="str">
        <f>"603978"</f>
        <v>603978</v>
      </c>
      <c r="C2421" s="24" t="s">
        <v>2636</v>
      </c>
      <c r="D2421" s="24" t="s">
        <v>167</v>
      </c>
      <c r="E2421" s="24">
        <v>36.37</v>
      </c>
      <c r="F2421" s="24">
        <v>2.39</v>
      </c>
    </row>
    <row r="2422" s="24" customFormat="1" spans="1:6">
      <c r="A2422" s="24" t="s">
        <v>142</v>
      </c>
      <c r="B2422" s="24" t="str">
        <f>"300375"</f>
        <v>300375</v>
      </c>
      <c r="C2422" s="24" t="s">
        <v>2637</v>
      </c>
      <c r="D2422" s="24" t="s">
        <v>204</v>
      </c>
      <c r="E2422" s="24">
        <v>36.25</v>
      </c>
      <c r="F2422" s="24">
        <v>1.88</v>
      </c>
    </row>
    <row r="2423" s="24" customFormat="1" spans="1:6">
      <c r="A2423" s="24" t="s">
        <v>140</v>
      </c>
      <c r="B2423" s="24" t="str">
        <f>"600498"</f>
        <v>600498</v>
      </c>
      <c r="C2423" s="24" t="s">
        <v>2638</v>
      </c>
      <c r="D2423" s="24" t="s">
        <v>193</v>
      </c>
      <c r="E2423" s="24">
        <v>36.22</v>
      </c>
      <c r="F2423" s="24">
        <v>2.77</v>
      </c>
    </row>
    <row r="2424" s="24" customFormat="1" spans="1:6">
      <c r="A2424" s="24" t="s">
        <v>142</v>
      </c>
      <c r="B2424" s="24" t="str">
        <f>"300594"</f>
        <v>300594</v>
      </c>
      <c r="C2424" s="24" t="s">
        <v>2639</v>
      </c>
      <c r="D2424" s="24" t="s">
        <v>165</v>
      </c>
      <c r="E2424" s="24">
        <v>36.17</v>
      </c>
      <c r="F2424" s="24">
        <v>3.28</v>
      </c>
    </row>
    <row r="2425" s="24" customFormat="1" spans="1:6">
      <c r="A2425" s="24" t="s">
        <v>142</v>
      </c>
      <c r="B2425" s="24" t="str">
        <f>"300577"</f>
        <v>300577</v>
      </c>
      <c r="C2425" s="24" t="s">
        <v>2640</v>
      </c>
      <c r="D2425" s="24" t="s">
        <v>253</v>
      </c>
      <c r="E2425" s="24">
        <v>36.15</v>
      </c>
      <c r="F2425" s="24">
        <v>10.69</v>
      </c>
    </row>
    <row r="2426" s="24" customFormat="1" spans="1:6">
      <c r="A2426" s="24" t="s">
        <v>142</v>
      </c>
      <c r="B2426" s="24" t="str">
        <f>"002871"</f>
        <v>002871</v>
      </c>
      <c r="C2426" s="24" t="s">
        <v>2641</v>
      </c>
      <c r="D2426" s="24" t="s">
        <v>165</v>
      </c>
      <c r="E2426" s="24">
        <v>36.1</v>
      </c>
      <c r="F2426" s="24">
        <v>3.21</v>
      </c>
    </row>
    <row r="2427" s="24" customFormat="1" spans="1:6">
      <c r="A2427" s="24" t="s">
        <v>142</v>
      </c>
      <c r="B2427" s="24" t="str">
        <f>"001872"</f>
        <v>001872</v>
      </c>
      <c r="C2427" s="24" t="s">
        <v>2642</v>
      </c>
      <c r="D2427" s="24" t="s">
        <v>1016</v>
      </c>
      <c r="E2427" s="24">
        <v>36.08</v>
      </c>
      <c r="F2427" s="24">
        <v>1.05</v>
      </c>
    </row>
    <row r="2428" s="24" customFormat="1" spans="1:6">
      <c r="A2428" s="24" t="s">
        <v>140</v>
      </c>
      <c r="B2428" s="24" t="str">
        <f>"603096"</f>
        <v>603096</v>
      </c>
      <c r="C2428" s="24" t="s">
        <v>2643</v>
      </c>
      <c r="D2428" s="24" t="s">
        <v>170</v>
      </c>
      <c r="E2428" s="24">
        <v>36.07</v>
      </c>
      <c r="F2428" s="24">
        <v>3.96</v>
      </c>
    </row>
    <row r="2429" s="24" customFormat="1" spans="1:6">
      <c r="A2429" s="24" t="s">
        <v>140</v>
      </c>
      <c r="B2429" s="24" t="str">
        <f>"603444"</f>
        <v>603444</v>
      </c>
      <c r="C2429" s="24" t="s">
        <v>2644</v>
      </c>
      <c r="D2429" s="24" t="s">
        <v>156</v>
      </c>
      <c r="E2429" s="24">
        <v>36.06</v>
      </c>
      <c r="F2429" s="24">
        <v>10.21</v>
      </c>
    </row>
    <row r="2430" s="24" customFormat="1" spans="1:6">
      <c r="A2430" s="24" t="s">
        <v>142</v>
      </c>
      <c r="B2430" s="24" t="str">
        <f>"300570"</f>
        <v>300570</v>
      </c>
      <c r="C2430" s="24" t="s">
        <v>2645</v>
      </c>
      <c r="D2430" s="24" t="s">
        <v>193</v>
      </c>
      <c r="E2430" s="24">
        <v>36.06</v>
      </c>
      <c r="F2430" s="24">
        <v>4.97</v>
      </c>
    </row>
    <row r="2431" s="24" customFormat="1" spans="1:6">
      <c r="A2431" s="24" t="s">
        <v>142</v>
      </c>
      <c r="B2431" s="24" t="str">
        <f>"300339"</f>
        <v>300339</v>
      </c>
      <c r="C2431" s="24" t="s">
        <v>2646</v>
      </c>
      <c r="D2431" s="24" t="s">
        <v>159</v>
      </c>
      <c r="E2431" s="24">
        <v>36.06</v>
      </c>
      <c r="F2431" s="24">
        <v>4.55</v>
      </c>
    </row>
    <row r="2432" s="24" customFormat="1" spans="1:6">
      <c r="A2432" s="24" t="s">
        <v>142</v>
      </c>
      <c r="B2432" s="24" t="str">
        <f>"002100"</f>
        <v>002100</v>
      </c>
      <c r="C2432" s="24" t="s">
        <v>2647</v>
      </c>
      <c r="D2432" s="24" t="s">
        <v>145</v>
      </c>
      <c r="E2432" s="24">
        <v>36.04</v>
      </c>
      <c r="F2432" s="24">
        <v>3.19</v>
      </c>
    </row>
    <row r="2433" s="24" customFormat="1" spans="1:6">
      <c r="A2433" s="24" t="s">
        <v>142</v>
      </c>
      <c r="B2433" s="24" t="str">
        <f>"002331"</f>
        <v>002331</v>
      </c>
      <c r="C2433" s="24" t="s">
        <v>2648</v>
      </c>
      <c r="D2433" s="24" t="s">
        <v>159</v>
      </c>
      <c r="E2433" s="24">
        <v>36.04</v>
      </c>
      <c r="F2433" s="24">
        <v>2.15</v>
      </c>
    </row>
    <row r="2434" s="24" customFormat="1" spans="1:6">
      <c r="A2434" s="24" t="s">
        <v>142</v>
      </c>
      <c r="B2434" s="24" t="str">
        <f>"002380"</f>
        <v>002380</v>
      </c>
      <c r="C2434" s="24" t="s">
        <v>2649</v>
      </c>
      <c r="D2434" s="24" t="s">
        <v>251</v>
      </c>
      <c r="E2434" s="24">
        <v>36</v>
      </c>
      <c r="F2434" s="24">
        <v>1.47</v>
      </c>
    </row>
    <row r="2435" s="24" customFormat="1" spans="1:6">
      <c r="A2435" s="24" t="s">
        <v>142</v>
      </c>
      <c r="B2435" s="24" t="str">
        <f>"300303"</f>
        <v>300303</v>
      </c>
      <c r="C2435" s="24" t="s">
        <v>2650</v>
      </c>
      <c r="D2435" s="24" t="s">
        <v>230</v>
      </c>
      <c r="E2435" s="24">
        <v>35.99</v>
      </c>
      <c r="F2435" s="24">
        <v>4.18</v>
      </c>
    </row>
    <row r="2436" s="24" customFormat="1" spans="1:6">
      <c r="A2436" s="24" t="s">
        <v>140</v>
      </c>
      <c r="B2436" s="24" t="str">
        <f>"600120"</f>
        <v>600120</v>
      </c>
      <c r="C2436" s="24" t="s">
        <v>2651</v>
      </c>
      <c r="D2436" s="24" t="s">
        <v>267</v>
      </c>
      <c r="E2436" s="24">
        <v>35.99</v>
      </c>
      <c r="F2436" s="24">
        <v>1.36</v>
      </c>
    </row>
    <row r="2437" s="24" customFormat="1" spans="1:6">
      <c r="A2437" s="24" t="s">
        <v>140</v>
      </c>
      <c r="B2437" s="24" t="str">
        <f>"601231"</f>
        <v>601231</v>
      </c>
      <c r="C2437" s="24" t="s">
        <v>2652</v>
      </c>
      <c r="D2437" s="24" t="s">
        <v>152</v>
      </c>
      <c r="E2437" s="24">
        <v>35.99</v>
      </c>
      <c r="F2437" s="24">
        <v>4.24</v>
      </c>
    </row>
    <row r="2438" s="24" customFormat="1" spans="1:6">
      <c r="A2438" s="24" t="s">
        <v>140</v>
      </c>
      <c r="B2438" s="24" t="str">
        <f>"601330"</f>
        <v>601330</v>
      </c>
      <c r="C2438" s="24" t="s">
        <v>2653</v>
      </c>
      <c r="D2438" s="24" t="s">
        <v>188</v>
      </c>
      <c r="E2438" s="24">
        <v>35.98</v>
      </c>
      <c r="F2438" s="24">
        <v>3.71</v>
      </c>
    </row>
    <row r="2439" s="24" customFormat="1" spans="1:6">
      <c r="A2439" s="24" t="s">
        <v>140</v>
      </c>
      <c r="B2439" s="24" t="str">
        <f>"600633"</f>
        <v>600633</v>
      </c>
      <c r="C2439" s="24" t="s">
        <v>2654</v>
      </c>
      <c r="D2439" s="24" t="s">
        <v>163</v>
      </c>
      <c r="E2439" s="24">
        <v>35.94</v>
      </c>
      <c r="F2439" s="24">
        <v>3.3</v>
      </c>
    </row>
    <row r="2440" s="24" customFormat="1" spans="1:6">
      <c r="A2440" s="24" t="s">
        <v>140</v>
      </c>
      <c r="B2440" s="24" t="str">
        <f>"603227"</f>
        <v>603227</v>
      </c>
      <c r="C2440" s="24" t="s">
        <v>2655</v>
      </c>
      <c r="D2440" s="24" t="s">
        <v>228</v>
      </c>
      <c r="E2440" s="24">
        <v>35.92</v>
      </c>
      <c r="F2440" s="24">
        <v>2.33</v>
      </c>
    </row>
    <row r="2441" s="24" customFormat="1" spans="1:6">
      <c r="A2441" s="24" t="s">
        <v>142</v>
      </c>
      <c r="B2441" s="24" t="str">
        <f>"300608"</f>
        <v>300608</v>
      </c>
      <c r="C2441" s="24" t="s">
        <v>2656</v>
      </c>
      <c r="D2441" s="24" t="s">
        <v>159</v>
      </c>
      <c r="E2441" s="24">
        <v>35.88</v>
      </c>
      <c r="F2441" s="24">
        <v>4.32</v>
      </c>
    </row>
    <row r="2442" s="24" customFormat="1" spans="1:6">
      <c r="A2442" s="24" t="s">
        <v>140</v>
      </c>
      <c r="B2442" s="24" t="str">
        <f>"603708"</f>
        <v>603708</v>
      </c>
      <c r="C2442" s="24" t="s">
        <v>2657</v>
      </c>
      <c r="D2442" s="24" t="s">
        <v>361</v>
      </c>
      <c r="E2442" s="24">
        <v>35.87</v>
      </c>
      <c r="F2442" s="24">
        <v>6.02</v>
      </c>
    </row>
    <row r="2443" s="24" customFormat="1" spans="1:6">
      <c r="A2443" s="24" t="s">
        <v>142</v>
      </c>
      <c r="B2443" s="24" t="str">
        <f>"300645"</f>
        <v>300645</v>
      </c>
      <c r="C2443" s="24" t="s">
        <v>2658</v>
      </c>
      <c r="D2443" s="24" t="s">
        <v>159</v>
      </c>
      <c r="E2443" s="24">
        <v>35.86</v>
      </c>
      <c r="F2443" s="24">
        <v>3.19</v>
      </c>
    </row>
    <row r="2444" s="24" customFormat="1" spans="1:6">
      <c r="A2444" s="24" t="s">
        <v>140</v>
      </c>
      <c r="B2444" s="24" t="str">
        <f>"601816"</f>
        <v>601816</v>
      </c>
      <c r="C2444" s="24" t="s">
        <v>2659</v>
      </c>
      <c r="D2444" s="24"/>
      <c r="E2444" s="24">
        <v>35.75</v>
      </c>
      <c r="F2444" s="24">
        <v>1.92</v>
      </c>
    </row>
    <row r="2445" s="24" customFormat="1" spans="1:6">
      <c r="A2445" s="24" t="s">
        <v>140</v>
      </c>
      <c r="B2445" s="24" t="str">
        <f>"603025"</f>
        <v>603025</v>
      </c>
      <c r="C2445" s="24" t="s">
        <v>2660</v>
      </c>
      <c r="D2445" s="24" t="s">
        <v>352</v>
      </c>
      <c r="E2445" s="24">
        <v>35.75</v>
      </c>
      <c r="F2445" s="24">
        <v>4.77</v>
      </c>
    </row>
    <row r="2446" s="24" customFormat="1" spans="1:6">
      <c r="A2446" s="24" t="s">
        <v>142</v>
      </c>
      <c r="B2446" s="24" t="str">
        <f>"002669"</f>
        <v>002669</v>
      </c>
      <c r="C2446" s="24" t="s">
        <v>2661</v>
      </c>
      <c r="D2446" s="24" t="s">
        <v>228</v>
      </c>
      <c r="E2446" s="24">
        <v>35.75</v>
      </c>
      <c r="F2446" s="24">
        <v>2.1</v>
      </c>
    </row>
    <row r="2447" s="24" customFormat="1" spans="1:6">
      <c r="A2447" s="24" t="s">
        <v>140</v>
      </c>
      <c r="B2447" s="24" t="str">
        <f>"603669"</f>
        <v>603669</v>
      </c>
      <c r="C2447" s="24" t="s">
        <v>2662</v>
      </c>
      <c r="D2447" s="24" t="s">
        <v>464</v>
      </c>
      <c r="E2447" s="24">
        <v>35.65</v>
      </c>
      <c r="F2447" s="24">
        <v>3.16</v>
      </c>
    </row>
    <row r="2448" s="24" customFormat="1" spans="1:6">
      <c r="A2448" s="24" t="s">
        <v>142</v>
      </c>
      <c r="B2448" s="24" t="str">
        <f>"300294"</f>
        <v>300294</v>
      </c>
      <c r="C2448" s="24" t="s">
        <v>2663</v>
      </c>
      <c r="D2448" s="24" t="s">
        <v>326</v>
      </c>
      <c r="E2448" s="24">
        <v>35.65</v>
      </c>
      <c r="F2448" s="24">
        <v>5.32</v>
      </c>
    </row>
    <row r="2449" s="24" customFormat="1" spans="1:6">
      <c r="A2449" s="24" t="s">
        <v>142</v>
      </c>
      <c r="B2449" s="24" t="str">
        <f>"300360"</f>
        <v>300360</v>
      </c>
      <c r="C2449" s="24" t="s">
        <v>2664</v>
      </c>
      <c r="D2449" s="24" t="s">
        <v>251</v>
      </c>
      <c r="E2449" s="24">
        <v>35.63</v>
      </c>
      <c r="F2449" s="24">
        <v>2.24</v>
      </c>
    </row>
    <row r="2450" s="24" customFormat="1" spans="1:6">
      <c r="A2450" s="24" t="s">
        <v>142</v>
      </c>
      <c r="B2450" s="24" t="str">
        <f>"002585"</f>
        <v>002585</v>
      </c>
      <c r="C2450" s="24" t="s">
        <v>2665</v>
      </c>
      <c r="D2450" s="24" t="s">
        <v>228</v>
      </c>
      <c r="E2450" s="24">
        <v>35.62</v>
      </c>
      <c r="F2450" s="24">
        <v>0.64</v>
      </c>
    </row>
    <row r="2451" s="24" customFormat="1" spans="1:6">
      <c r="A2451" s="24" t="s">
        <v>142</v>
      </c>
      <c r="B2451" s="24" t="str">
        <f>"300179"</f>
        <v>300179</v>
      </c>
      <c r="C2451" s="24" t="s">
        <v>2666</v>
      </c>
      <c r="D2451" s="24" t="s">
        <v>644</v>
      </c>
      <c r="E2451" s="24">
        <v>35.57</v>
      </c>
      <c r="F2451" s="24">
        <v>3.45</v>
      </c>
    </row>
    <row r="2452" s="24" customFormat="1" spans="1:6">
      <c r="A2452" s="24" t="s">
        <v>142</v>
      </c>
      <c r="B2452" s="24" t="str">
        <f>"300716"</f>
        <v>300716</v>
      </c>
      <c r="C2452" s="24" t="s">
        <v>2667</v>
      </c>
      <c r="D2452" s="24" t="s">
        <v>228</v>
      </c>
      <c r="E2452" s="24">
        <v>35.56</v>
      </c>
      <c r="F2452" s="24">
        <v>1.68</v>
      </c>
    </row>
    <row r="2453" s="24" customFormat="1" spans="1:6">
      <c r="A2453" s="24" t="s">
        <v>142</v>
      </c>
      <c r="B2453" s="24" t="str">
        <f>"300140"</f>
        <v>300140</v>
      </c>
      <c r="C2453" s="24" t="s">
        <v>2668</v>
      </c>
      <c r="D2453" s="24" t="s">
        <v>251</v>
      </c>
      <c r="E2453" s="24">
        <v>35.51</v>
      </c>
      <c r="F2453" s="24">
        <v>2.06</v>
      </c>
    </row>
    <row r="2454" s="24" customFormat="1" spans="1:6">
      <c r="A2454" s="24" t="s">
        <v>140</v>
      </c>
      <c r="B2454" s="24" t="str">
        <f>"600637"</f>
        <v>600637</v>
      </c>
      <c r="C2454" s="24" t="s">
        <v>2669</v>
      </c>
      <c r="D2454" s="24" t="s">
        <v>170</v>
      </c>
      <c r="E2454" s="24">
        <v>35.51</v>
      </c>
      <c r="F2454" s="24">
        <v>1.3</v>
      </c>
    </row>
    <row r="2455" s="24" customFormat="1" spans="1:6">
      <c r="A2455" s="24" t="s">
        <v>140</v>
      </c>
      <c r="B2455" s="24" t="str">
        <f>"600589"</f>
        <v>600589</v>
      </c>
      <c r="C2455" s="24" t="s">
        <v>2670</v>
      </c>
      <c r="D2455" s="24" t="s">
        <v>256</v>
      </c>
      <c r="E2455" s="24">
        <v>35.47</v>
      </c>
      <c r="F2455" s="24">
        <v>1.54</v>
      </c>
    </row>
    <row r="2456" s="24" customFormat="1" spans="1:6">
      <c r="A2456" s="24" t="s">
        <v>142</v>
      </c>
      <c r="B2456" s="24" t="str">
        <f>"002695"</f>
        <v>002695</v>
      </c>
      <c r="C2456" s="24" t="s">
        <v>2671</v>
      </c>
      <c r="D2456" s="24" t="s">
        <v>190</v>
      </c>
      <c r="E2456" s="24">
        <v>35.46</v>
      </c>
      <c r="F2456" s="24">
        <v>3.52</v>
      </c>
    </row>
    <row r="2457" s="24" customFormat="1" spans="1:6">
      <c r="A2457" s="24" t="s">
        <v>142</v>
      </c>
      <c r="B2457" s="24" t="str">
        <f>"002171"</f>
        <v>002171</v>
      </c>
      <c r="C2457" s="24" t="s">
        <v>2672</v>
      </c>
      <c r="D2457" s="24" t="s">
        <v>167</v>
      </c>
      <c r="E2457" s="24">
        <v>35.45</v>
      </c>
      <c r="F2457" s="24">
        <v>2.18</v>
      </c>
    </row>
    <row r="2458" s="24" customFormat="1" spans="1:6">
      <c r="A2458" s="24" t="s">
        <v>140</v>
      </c>
      <c r="B2458" s="24" t="str">
        <f>"600597"</f>
        <v>600597</v>
      </c>
      <c r="C2458" s="24" t="s">
        <v>2673</v>
      </c>
      <c r="D2458" s="24" t="s">
        <v>190</v>
      </c>
      <c r="E2458" s="24">
        <v>35.35</v>
      </c>
      <c r="F2458" s="24">
        <v>2.66</v>
      </c>
    </row>
    <row r="2459" s="24" customFormat="1" spans="1:6">
      <c r="A2459" s="24" t="s">
        <v>142</v>
      </c>
      <c r="B2459" s="24" t="str">
        <f>"002940"</f>
        <v>002940</v>
      </c>
      <c r="C2459" s="24" t="s">
        <v>2674</v>
      </c>
      <c r="D2459" s="24" t="s">
        <v>464</v>
      </c>
      <c r="E2459" s="24">
        <v>35.33</v>
      </c>
      <c r="F2459" s="24">
        <v>3.4</v>
      </c>
    </row>
    <row r="2460" s="24" customFormat="1" spans="1:6">
      <c r="A2460" s="24" t="s">
        <v>140</v>
      </c>
      <c r="B2460" s="24" t="str">
        <f>"600732"</f>
        <v>600732</v>
      </c>
      <c r="C2460" s="24" t="s">
        <v>2675</v>
      </c>
      <c r="D2460" s="24" t="s">
        <v>244</v>
      </c>
      <c r="E2460" s="24">
        <v>35.29</v>
      </c>
      <c r="F2460" s="24">
        <v>8.45</v>
      </c>
    </row>
    <row r="2461" s="24" customFormat="1" spans="1:6">
      <c r="A2461" s="24" t="s">
        <v>140</v>
      </c>
      <c r="B2461" s="24" t="str">
        <f>"603787"</f>
        <v>603787</v>
      </c>
      <c r="C2461" s="24" t="s">
        <v>2676</v>
      </c>
      <c r="D2461" s="24" t="s">
        <v>283</v>
      </c>
      <c r="E2461" s="24">
        <v>35.25</v>
      </c>
      <c r="F2461" s="24">
        <v>2.49</v>
      </c>
    </row>
    <row r="2462" s="24" customFormat="1" spans="1:6">
      <c r="A2462" s="24" t="s">
        <v>142</v>
      </c>
      <c r="B2462" s="24" t="str">
        <f>"300215"</f>
        <v>300215</v>
      </c>
      <c r="C2462" s="24" t="s">
        <v>2677</v>
      </c>
      <c r="D2462" s="24" t="s">
        <v>214</v>
      </c>
      <c r="E2462" s="24">
        <v>35.23</v>
      </c>
      <c r="F2462" s="24">
        <v>2.29</v>
      </c>
    </row>
    <row r="2463" s="24" customFormat="1" spans="1:6">
      <c r="A2463" s="24" t="s">
        <v>142</v>
      </c>
      <c r="B2463" s="24" t="str">
        <f>"002511"</f>
        <v>002511</v>
      </c>
      <c r="C2463" s="24" t="s">
        <v>2678</v>
      </c>
      <c r="D2463" s="24" t="s">
        <v>616</v>
      </c>
      <c r="E2463" s="24">
        <v>35.23</v>
      </c>
      <c r="F2463" s="24">
        <v>4.9</v>
      </c>
    </row>
    <row r="2464" s="24" customFormat="1" spans="1:6">
      <c r="A2464" s="24" t="s">
        <v>140</v>
      </c>
      <c r="B2464" s="24" t="str">
        <f>"603583"</f>
        <v>603583</v>
      </c>
      <c r="C2464" s="24" t="s">
        <v>2679</v>
      </c>
      <c r="D2464" s="24" t="s">
        <v>251</v>
      </c>
      <c r="E2464" s="24">
        <v>35.22</v>
      </c>
      <c r="F2464" s="24">
        <v>5.67</v>
      </c>
    </row>
    <row r="2465" s="24" customFormat="1" spans="1:6">
      <c r="A2465" s="24" t="s">
        <v>142</v>
      </c>
      <c r="B2465" s="24" t="str">
        <f>"002603"</f>
        <v>002603</v>
      </c>
      <c r="C2465" s="24" t="s">
        <v>2680</v>
      </c>
      <c r="D2465" s="24" t="s">
        <v>388</v>
      </c>
      <c r="E2465" s="24">
        <v>35.2</v>
      </c>
      <c r="F2465" s="24">
        <v>2.54</v>
      </c>
    </row>
    <row r="2466" s="24" customFormat="1" spans="1:6">
      <c r="A2466" s="24" t="s">
        <v>142</v>
      </c>
      <c r="B2466" s="24" t="str">
        <f>"002864"</f>
        <v>002864</v>
      </c>
      <c r="C2466" s="24" t="s">
        <v>2681</v>
      </c>
      <c r="D2466" s="24" t="s">
        <v>388</v>
      </c>
      <c r="E2466" s="24">
        <v>35.16</v>
      </c>
      <c r="F2466" s="24">
        <v>3.71</v>
      </c>
    </row>
    <row r="2467" s="24" customFormat="1" spans="1:6">
      <c r="A2467" s="24" t="s">
        <v>140</v>
      </c>
      <c r="B2467" s="24" t="str">
        <f>"688178"</f>
        <v>688178</v>
      </c>
      <c r="C2467" s="24" t="s">
        <v>2682</v>
      </c>
      <c r="D2467" s="24"/>
      <c r="E2467" s="24">
        <v>35.09</v>
      </c>
      <c r="F2467" s="24">
        <v>4.13</v>
      </c>
    </row>
    <row r="2468" s="24" customFormat="1" spans="1:6">
      <c r="A2468" s="24" t="s">
        <v>142</v>
      </c>
      <c r="B2468" s="24" t="str">
        <f>"002965"</f>
        <v>002965</v>
      </c>
      <c r="C2468" s="24" t="s">
        <v>2683</v>
      </c>
      <c r="D2468" s="24" t="s">
        <v>204</v>
      </c>
      <c r="E2468" s="24">
        <v>35.06</v>
      </c>
      <c r="F2468" s="24">
        <v>3.17</v>
      </c>
    </row>
    <row r="2469" s="24" customFormat="1" spans="1:6">
      <c r="A2469" s="24" t="s">
        <v>140</v>
      </c>
      <c r="B2469" s="24" t="str">
        <f>"603869"</f>
        <v>603869</v>
      </c>
      <c r="C2469" s="24" t="s">
        <v>2684</v>
      </c>
      <c r="D2469" s="24" t="s">
        <v>453</v>
      </c>
      <c r="E2469" s="24">
        <v>35.05</v>
      </c>
      <c r="F2469" s="24">
        <v>1.63</v>
      </c>
    </row>
    <row r="2470" s="24" customFormat="1" spans="1:6">
      <c r="A2470" s="24" t="s">
        <v>142</v>
      </c>
      <c r="B2470" s="24" t="str">
        <f>"300384"</f>
        <v>300384</v>
      </c>
      <c r="C2470" s="24" t="s">
        <v>2685</v>
      </c>
      <c r="D2470" s="24" t="s">
        <v>214</v>
      </c>
      <c r="E2470" s="24">
        <v>35.05</v>
      </c>
      <c r="F2470" s="24">
        <v>3.53</v>
      </c>
    </row>
    <row r="2471" s="24" customFormat="1" spans="1:6">
      <c r="A2471" s="24" t="s">
        <v>140</v>
      </c>
      <c r="B2471" s="24" t="str">
        <f>"603617"</f>
        <v>603617</v>
      </c>
      <c r="C2471" s="24" t="s">
        <v>2686</v>
      </c>
      <c r="D2471" s="24" t="s">
        <v>165</v>
      </c>
      <c r="E2471" s="24">
        <v>35.02</v>
      </c>
      <c r="F2471" s="24">
        <v>3.7</v>
      </c>
    </row>
    <row r="2472" s="24" customFormat="1" spans="1:6">
      <c r="A2472" s="24" t="s">
        <v>142</v>
      </c>
      <c r="B2472" s="24" t="str">
        <f>"000751"</f>
        <v>000751</v>
      </c>
      <c r="C2472" s="24" t="s">
        <v>2687</v>
      </c>
      <c r="D2472" s="24" t="s">
        <v>167</v>
      </c>
      <c r="E2472" s="24">
        <v>34.97</v>
      </c>
      <c r="F2472" s="24">
        <v>1.61</v>
      </c>
    </row>
    <row r="2473" s="24" customFormat="1" spans="1:6">
      <c r="A2473" s="24" t="s">
        <v>140</v>
      </c>
      <c r="B2473" s="24" t="str">
        <f>"600488"</f>
        <v>600488</v>
      </c>
      <c r="C2473" s="24" t="s">
        <v>2688</v>
      </c>
      <c r="D2473" s="24" t="s">
        <v>997</v>
      </c>
      <c r="E2473" s="24">
        <v>34.96</v>
      </c>
      <c r="F2473" s="24">
        <v>1.87</v>
      </c>
    </row>
    <row r="2474" s="24" customFormat="1" spans="1:6">
      <c r="A2474" s="24" t="s">
        <v>140</v>
      </c>
      <c r="B2474" s="24" t="str">
        <f>"603203"</f>
        <v>603203</v>
      </c>
      <c r="C2474" s="24" t="s">
        <v>2689</v>
      </c>
      <c r="D2474" s="24" t="s">
        <v>173</v>
      </c>
      <c r="E2474" s="24">
        <v>34.95</v>
      </c>
      <c r="F2474" s="24">
        <v>5.25</v>
      </c>
    </row>
    <row r="2475" s="24" customFormat="1" spans="1:6">
      <c r="A2475" s="24" t="s">
        <v>140</v>
      </c>
      <c r="B2475" s="24" t="str">
        <f>"600699"</f>
        <v>600699</v>
      </c>
      <c r="C2475" s="24" t="s">
        <v>2690</v>
      </c>
      <c r="D2475" s="24" t="s">
        <v>204</v>
      </c>
      <c r="E2475" s="24">
        <v>34.94</v>
      </c>
      <c r="F2475" s="24">
        <v>7.56</v>
      </c>
    </row>
    <row r="2476" s="24" customFormat="1" spans="1:6">
      <c r="A2476" s="24" t="s">
        <v>140</v>
      </c>
      <c r="B2476" s="24" t="str">
        <f>"600220"</f>
        <v>600220</v>
      </c>
      <c r="C2476" s="24" t="s">
        <v>2691</v>
      </c>
      <c r="D2476" s="24" t="s">
        <v>253</v>
      </c>
      <c r="E2476" s="24">
        <v>34.9</v>
      </c>
      <c r="F2476" s="24">
        <v>1.91</v>
      </c>
    </row>
    <row r="2477" s="24" customFormat="1" spans="1:6">
      <c r="A2477" s="24" t="s">
        <v>140</v>
      </c>
      <c r="B2477" s="24" t="str">
        <f>"601991"</f>
        <v>601991</v>
      </c>
      <c r="C2477" s="24" t="s">
        <v>2692</v>
      </c>
      <c r="D2477" s="24" t="s">
        <v>188</v>
      </c>
      <c r="E2477" s="24">
        <v>34.87</v>
      </c>
      <c r="F2477" s="24">
        <v>0.94</v>
      </c>
    </row>
    <row r="2478" s="24" customFormat="1" spans="1:6">
      <c r="A2478" s="24" t="s">
        <v>142</v>
      </c>
      <c r="B2478" s="24" t="str">
        <f>"300717"</f>
        <v>300717</v>
      </c>
      <c r="C2478" s="24" t="s">
        <v>2693</v>
      </c>
      <c r="D2478" s="24" t="s">
        <v>228</v>
      </c>
      <c r="E2478" s="24">
        <v>34.87</v>
      </c>
      <c r="F2478" s="24">
        <v>2.54</v>
      </c>
    </row>
    <row r="2479" s="24" customFormat="1" spans="1:6">
      <c r="A2479" s="24" t="s">
        <v>142</v>
      </c>
      <c r="B2479" s="24" t="str">
        <f>"300715"</f>
        <v>300715</v>
      </c>
      <c r="C2479" s="24" t="s">
        <v>2694</v>
      </c>
      <c r="D2479" s="24" t="s">
        <v>667</v>
      </c>
      <c r="E2479" s="24">
        <v>34.85</v>
      </c>
      <c r="F2479" s="24">
        <v>3.18</v>
      </c>
    </row>
    <row r="2480" s="24" customFormat="1" spans="1:6">
      <c r="A2480" s="24" t="s">
        <v>142</v>
      </c>
      <c r="B2480" s="24" t="str">
        <f>"300584"</f>
        <v>300584</v>
      </c>
      <c r="C2480" s="24" t="s">
        <v>2695</v>
      </c>
      <c r="D2480" s="24" t="s">
        <v>464</v>
      </c>
      <c r="E2480" s="24">
        <v>34.81</v>
      </c>
      <c r="F2480" s="24">
        <v>5.27</v>
      </c>
    </row>
    <row r="2481" s="24" customFormat="1" spans="1:6">
      <c r="A2481" s="24" t="s">
        <v>142</v>
      </c>
      <c r="B2481" s="24" t="str">
        <f>"300712"</f>
        <v>300712</v>
      </c>
      <c r="C2481" s="24" t="s">
        <v>2696</v>
      </c>
      <c r="D2481" s="24" t="s">
        <v>214</v>
      </c>
      <c r="E2481" s="24">
        <v>34.81</v>
      </c>
      <c r="F2481" s="24">
        <v>2.08</v>
      </c>
    </row>
    <row r="2482" s="24" customFormat="1" spans="1:6">
      <c r="A2482" s="24" t="s">
        <v>142</v>
      </c>
      <c r="B2482" s="24" t="str">
        <f>"002650"</f>
        <v>002650</v>
      </c>
      <c r="C2482" s="24" t="s">
        <v>2697</v>
      </c>
      <c r="D2482" s="24" t="s">
        <v>190</v>
      </c>
      <c r="E2482" s="24">
        <v>34.81</v>
      </c>
      <c r="F2482" s="24">
        <v>1.7</v>
      </c>
    </row>
    <row r="2483" s="24" customFormat="1" spans="1:6">
      <c r="A2483" s="24" t="s">
        <v>142</v>
      </c>
      <c r="B2483" s="24" t="str">
        <f>"300720"</f>
        <v>300720</v>
      </c>
      <c r="C2483" s="24" t="s">
        <v>2698</v>
      </c>
      <c r="D2483" s="24" t="s">
        <v>165</v>
      </c>
      <c r="E2483" s="24">
        <v>34.74</v>
      </c>
      <c r="F2483" s="24">
        <v>3.19</v>
      </c>
    </row>
    <row r="2484" s="24" customFormat="1" spans="1:6">
      <c r="A2484" s="24" t="s">
        <v>140</v>
      </c>
      <c r="B2484" s="24" t="str">
        <f>"600021"</f>
        <v>600021</v>
      </c>
      <c r="C2484" s="24" t="s">
        <v>2699</v>
      </c>
      <c r="D2484" s="24" t="s">
        <v>188</v>
      </c>
      <c r="E2484" s="24">
        <v>34.7</v>
      </c>
      <c r="F2484" s="24">
        <v>1.18</v>
      </c>
    </row>
    <row r="2485" s="24" customFormat="1" spans="1:6">
      <c r="A2485" s="24" t="s">
        <v>142</v>
      </c>
      <c r="B2485" s="24" t="str">
        <f>"000408"</f>
        <v>000408</v>
      </c>
      <c r="C2485" s="24" t="s">
        <v>2700</v>
      </c>
      <c r="D2485" s="24" t="s">
        <v>278</v>
      </c>
      <c r="E2485" s="24">
        <v>34.7</v>
      </c>
      <c r="F2485" s="24">
        <v>1.73</v>
      </c>
    </row>
    <row r="2486" s="24" customFormat="1" spans="1:6">
      <c r="A2486" s="24" t="s">
        <v>142</v>
      </c>
      <c r="B2486" s="24" t="str">
        <f>"002316"</f>
        <v>002316</v>
      </c>
      <c r="C2486" s="24" t="s">
        <v>2701</v>
      </c>
      <c r="D2486" s="24" t="s">
        <v>179</v>
      </c>
      <c r="E2486" s="24">
        <v>34.69</v>
      </c>
      <c r="F2486" s="24">
        <v>59.52</v>
      </c>
    </row>
    <row r="2487" s="24" customFormat="1" spans="1:6">
      <c r="A2487" s="24" t="s">
        <v>142</v>
      </c>
      <c r="B2487" s="24" t="str">
        <f>"002032"</f>
        <v>002032</v>
      </c>
      <c r="C2487" s="24" t="s">
        <v>105</v>
      </c>
      <c r="D2487" s="24" t="s">
        <v>184</v>
      </c>
      <c r="E2487" s="24">
        <v>34.69</v>
      </c>
      <c r="F2487" s="24">
        <v>9.48</v>
      </c>
    </row>
    <row r="2488" s="24" customFormat="1" spans="1:6">
      <c r="A2488" s="24" t="s">
        <v>142</v>
      </c>
      <c r="B2488" s="24" t="str">
        <f>"300631"</f>
        <v>300631</v>
      </c>
      <c r="C2488" s="24" t="s">
        <v>2702</v>
      </c>
      <c r="D2488" s="24" t="s">
        <v>173</v>
      </c>
      <c r="E2488" s="24">
        <v>34.63</v>
      </c>
      <c r="F2488" s="24">
        <v>2.6</v>
      </c>
    </row>
    <row r="2489" s="24" customFormat="1" spans="1:6">
      <c r="A2489" s="24" t="s">
        <v>142</v>
      </c>
      <c r="B2489" s="24" t="str">
        <f>"002899"</f>
        <v>002899</v>
      </c>
      <c r="C2489" s="24" t="s">
        <v>2703</v>
      </c>
      <c r="D2489" s="24" t="s">
        <v>283</v>
      </c>
      <c r="E2489" s="24">
        <v>34.59</v>
      </c>
      <c r="F2489" s="24">
        <v>1.49</v>
      </c>
    </row>
    <row r="2490" s="24" customFormat="1" spans="1:6">
      <c r="A2490" s="24" t="s">
        <v>142</v>
      </c>
      <c r="B2490" s="24" t="str">
        <f>"000777"</f>
        <v>000777</v>
      </c>
      <c r="C2490" s="24" t="s">
        <v>2704</v>
      </c>
      <c r="D2490" s="24" t="s">
        <v>165</v>
      </c>
      <c r="E2490" s="24">
        <v>34.56</v>
      </c>
      <c r="F2490" s="24">
        <v>3.01</v>
      </c>
    </row>
    <row r="2491" s="24" customFormat="1" spans="1:6">
      <c r="A2491" s="24" t="s">
        <v>142</v>
      </c>
      <c r="B2491" s="24" t="str">
        <f>"300780"</f>
        <v>300780</v>
      </c>
      <c r="C2491" s="24" t="s">
        <v>2705</v>
      </c>
      <c r="D2491" s="24" t="s">
        <v>165</v>
      </c>
      <c r="E2491" s="24">
        <v>34.55</v>
      </c>
      <c r="F2491" s="24">
        <v>2.73</v>
      </c>
    </row>
    <row r="2492" s="24" customFormat="1" spans="1:6">
      <c r="A2492" s="24" t="s">
        <v>142</v>
      </c>
      <c r="B2492" s="24" t="str">
        <f>"002500"</f>
        <v>002500</v>
      </c>
      <c r="C2492" s="24" t="s">
        <v>2706</v>
      </c>
      <c r="D2492" s="24" t="s">
        <v>714</v>
      </c>
      <c r="E2492" s="24">
        <v>34.52</v>
      </c>
      <c r="F2492" s="24">
        <v>1.7</v>
      </c>
    </row>
    <row r="2493" s="24" customFormat="1" spans="1:6">
      <c r="A2493" s="24" t="s">
        <v>140</v>
      </c>
      <c r="B2493" s="24" t="str">
        <f>"603629"</f>
        <v>603629</v>
      </c>
      <c r="C2493" s="24" t="s">
        <v>2707</v>
      </c>
      <c r="D2493" s="24" t="s">
        <v>197</v>
      </c>
      <c r="E2493" s="24">
        <v>34.48</v>
      </c>
      <c r="F2493" s="24">
        <v>2.45</v>
      </c>
    </row>
    <row r="2494" s="24" customFormat="1" spans="1:6">
      <c r="A2494" s="24" t="s">
        <v>142</v>
      </c>
      <c r="B2494" s="24" t="str">
        <f>"002217"</f>
        <v>002217</v>
      </c>
      <c r="C2494" s="24" t="s">
        <v>2708</v>
      </c>
      <c r="D2494" s="24" t="s">
        <v>230</v>
      </c>
      <c r="E2494" s="24">
        <v>34.45</v>
      </c>
      <c r="F2494" s="24">
        <v>1.79</v>
      </c>
    </row>
    <row r="2495" s="24" customFormat="1" spans="1:6">
      <c r="A2495" s="24" t="s">
        <v>142</v>
      </c>
      <c r="B2495" s="24" t="str">
        <f>"002353"</f>
        <v>002353</v>
      </c>
      <c r="C2495" s="24" t="s">
        <v>2709</v>
      </c>
      <c r="D2495" s="24" t="s">
        <v>377</v>
      </c>
      <c r="E2495" s="24">
        <v>34.44</v>
      </c>
      <c r="F2495" s="24">
        <v>4.22</v>
      </c>
    </row>
    <row r="2496" s="24" customFormat="1" spans="1:6">
      <c r="A2496" s="24" t="s">
        <v>142</v>
      </c>
      <c r="B2496" s="24" t="str">
        <f>"002836"</f>
        <v>002836</v>
      </c>
      <c r="C2496" s="24" t="s">
        <v>2710</v>
      </c>
      <c r="D2496" s="24" t="s">
        <v>214</v>
      </c>
      <c r="E2496" s="24">
        <v>34.43</v>
      </c>
      <c r="F2496" s="24">
        <v>6.11</v>
      </c>
    </row>
    <row r="2497" s="24" customFormat="1" spans="1:6">
      <c r="A2497" s="24" t="s">
        <v>142</v>
      </c>
      <c r="B2497" s="24" t="str">
        <f>"002311"</f>
        <v>002311</v>
      </c>
      <c r="C2497" s="24" t="s">
        <v>2711</v>
      </c>
      <c r="D2497" s="24" t="s">
        <v>145</v>
      </c>
      <c r="E2497" s="24">
        <v>34.42</v>
      </c>
      <c r="F2497" s="24">
        <v>6.21</v>
      </c>
    </row>
    <row r="2498" s="24" customFormat="1" spans="1:6">
      <c r="A2498" s="24" t="s">
        <v>140</v>
      </c>
      <c r="B2498" s="24" t="str">
        <f>"603713"</f>
        <v>603713</v>
      </c>
      <c r="C2498" s="24" t="s">
        <v>2712</v>
      </c>
      <c r="D2498" s="24" t="s">
        <v>177</v>
      </c>
      <c r="E2498" s="24">
        <v>34.4</v>
      </c>
      <c r="F2498" s="24">
        <v>5.63</v>
      </c>
    </row>
    <row r="2499" s="24" customFormat="1" spans="1:6">
      <c r="A2499" s="24" t="s">
        <v>142</v>
      </c>
      <c r="B2499" s="24" t="str">
        <f>"002933"</f>
        <v>002933</v>
      </c>
      <c r="C2499" s="24" t="s">
        <v>2713</v>
      </c>
      <c r="D2499" s="24" t="s">
        <v>395</v>
      </c>
      <c r="E2499" s="24">
        <v>34.38</v>
      </c>
      <c r="F2499" s="24">
        <v>2.91</v>
      </c>
    </row>
    <row r="2500" s="24" customFormat="1" spans="1:6">
      <c r="A2500" s="24" t="s">
        <v>142</v>
      </c>
      <c r="B2500" s="24" t="str">
        <f>"000548"</f>
        <v>000548</v>
      </c>
      <c r="C2500" s="24" t="s">
        <v>2714</v>
      </c>
      <c r="D2500" s="24" t="s">
        <v>1016</v>
      </c>
      <c r="E2500" s="24">
        <v>34.34</v>
      </c>
      <c r="F2500" s="24">
        <v>1.09</v>
      </c>
    </row>
    <row r="2501" s="24" customFormat="1" spans="1:6">
      <c r="A2501" s="24" t="s">
        <v>140</v>
      </c>
      <c r="B2501" s="24" t="str">
        <f>"600866"</f>
        <v>600866</v>
      </c>
      <c r="C2501" s="24" t="s">
        <v>2715</v>
      </c>
      <c r="D2501" s="24" t="s">
        <v>190</v>
      </c>
      <c r="E2501" s="24">
        <v>34.26</v>
      </c>
      <c r="F2501" s="24">
        <v>3.33</v>
      </c>
    </row>
    <row r="2502" s="24" customFormat="1" spans="1:6">
      <c r="A2502" s="24" t="s">
        <v>140</v>
      </c>
      <c r="B2502" s="24" t="str">
        <f>"603887"</f>
        <v>603887</v>
      </c>
      <c r="C2502" s="24" t="s">
        <v>2716</v>
      </c>
      <c r="D2502" s="24" t="s">
        <v>315</v>
      </c>
      <c r="E2502" s="24">
        <v>34.22</v>
      </c>
      <c r="F2502" s="24">
        <v>4.72</v>
      </c>
    </row>
    <row r="2503" s="24" customFormat="1" spans="1:6">
      <c r="A2503" s="24" t="s">
        <v>142</v>
      </c>
      <c r="B2503" s="24" t="str">
        <f>"000559"</f>
        <v>000559</v>
      </c>
      <c r="C2503" s="24" t="s">
        <v>2717</v>
      </c>
      <c r="D2503" s="24" t="s">
        <v>204</v>
      </c>
      <c r="E2503" s="24">
        <v>34.17</v>
      </c>
      <c r="F2503" s="24">
        <v>3.02</v>
      </c>
    </row>
    <row r="2504" s="24" customFormat="1" spans="1:6">
      <c r="A2504" s="24" t="s">
        <v>140</v>
      </c>
      <c r="B2504" s="24" t="str">
        <f>"600143"</f>
        <v>600143</v>
      </c>
      <c r="C2504" s="24" t="s">
        <v>2718</v>
      </c>
      <c r="D2504" s="24" t="s">
        <v>228</v>
      </c>
      <c r="E2504" s="24">
        <v>34.17</v>
      </c>
      <c r="F2504" s="24">
        <v>2.38</v>
      </c>
    </row>
    <row r="2505" s="24" customFormat="1" spans="1:6">
      <c r="A2505" s="24" t="s">
        <v>142</v>
      </c>
      <c r="B2505" s="24" t="str">
        <f>"002518"</f>
        <v>002518</v>
      </c>
      <c r="C2505" s="24" t="s">
        <v>2719</v>
      </c>
      <c r="D2505" s="24" t="s">
        <v>251</v>
      </c>
      <c r="E2505" s="24">
        <v>34.11</v>
      </c>
      <c r="F2505" s="24">
        <v>3.3</v>
      </c>
    </row>
    <row r="2506" s="24" customFormat="1" spans="1:6">
      <c r="A2506" s="24" t="s">
        <v>140</v>
      </c>
      <c r="B2506" s="24" t="str">
        <f>"603825"</f>
        <v>603825</v>
      </c>
      <c r="C2506" s="24" t="s">
        <v>2720</v>
      </c>
      <c r="D2506" s="24" t="s">
        <v>170</v>
      </c>
      <c r="E2506" s="24">
        <v>34.1</v>
      </c>
      <c r="F2506" s="24">
        <v>4.3</v>
      </c>
    </row>
    <row r="2507" s="24" customFormat="1" spans="1:6">
      <c r="A2507" s="24" t="s">
        <v>142</v>
      </c>
      <c r="B2507" s="24" t="str">
        <f>"002795"</f>
        <v>002795</v>
      </c>
      <c r="C2507" s="24" t="s">
        <v>2721</v>
      </c>
      <c r="D2507" s="24" t="s">
        <v>165</v>
      </c>
      <c r="E2507" s="24">
        <v>34.1</v>
      </c>
      <c r="F2507" s="24">
        <v>4.6</v>
      </c>
    </row>
    <row r="2508" s="24" customFormat="1" spans="1:6">
      <c r="A2508" s="24" t="s">
        <v>140</v>
      </c>
      <c r="B2508" s="24" t="str">
        <f>"600973"</f>
        <v>600973</v>
      </c>
      <c r="C2508" s="24" t="s">
        <v>2722</v>
      </c>
      <c r="D2508" s="24" t="s">
        <v>251</v>
      </c>
      <c r="E2508" s="24">
        <v>33.97</v>
      </c>
      <c r="F2508" s="24">
        <v>1.28</v>
      </c>
    </row>
    <row r="2509" s="24" customFormat="1" spans="1:6">
      <c r="A2509" s="24" t="s">
        <v>142</v>
      </c>
      <c r="B2509" s="24" t="str">
        <f>"002019"</f>
        <v>002019</v>
      </c>
      <c r="C2509" s="24" t="s">
        <v>2723</v>
      </c>
      <c r="D2509" s="24" t="s">
        <v>464</v>
      </c>
      <c r="E2509" s="24">
        <v>33.91</v>
      </c>
      <c r="F2509" s="24">
        <v>5.12</v>
      </c>
    </row>
    <row r="2510" s="24" customFormat="1" spans="1:6">
      <c r="A2510" s="24" t="s">
        <v>142</v>
      </c>
      <c r="B2510" s="24" t="str">
        <f>"002925"</f>
        <v>002925</v>
      </c>
      <c r="C2510" s="24" t="s">
        <v>2724</v>
      </c>
      <c r="D2510" s="24" t="s">
        <v>152</v>
      </c>
      <c r="E2510" s="24">
        <v>33.86</v>
      </c>
      <c r="F2510" s="24">
        <v>7.32</v>
      </c>
    </row>
    <row r="2511" s="24" customFormat="1" spans="1:6">
      <c r="A2511" s="24" t="s">
        <v>142</v>
      </c>
      <c r="B2511" s="24" t="str">
        <f>"002959"</f>
        <v>002959</v>
      </c>
      <c r="C2511" s="24" t="s">
        <v>2725</v>
      </c>
      <c r="D2511" s="24" t="s">
        <v>184</v>
      </c>
      <c r="E2511" s="24">
        <v>33.86</v>
      </c>
      <c r="F2511" s="24">
        <v>4.76</v>
      </c>
    </row>
    <row r="2512" s="24" customFormat="1" spans="1:6">
      <c r="A2512" s="24" t="s">
        <v>142</v>
      </c>
      <c r="B2512" s="24" t="str">
        <f>"002955"</f>
        <v>002955</v>
      </c>
      <c r="C2512" s="24" t="s">
        <v>2726</v>
      </c>
      <c r="D2512" s="24" t="s">
        <v>152</v>
      </c>
      <c r="E2512" s="24">
        <v>33.85</v>
      </c>
      <c r="F2512" s="24">
        <v>3.79</v>
      </c>
    </row>
    <row r="2513" s="24" customFormat="1" spans="1:6">
      <c r="A2513" s="24" t="s">
        <v>140</v>
      </c>
      <c r="B2513" s="24" t="str">
        <f>"900901"</f>
        <v>900901</v>
      </c>
      <c r="C2513" s="24" t="s">
        <v>2727</v>
      </c>
      <c r="D2513" s="24"/>
      <c r="E2513" s="24">
        <v>33.81</v>
      </c>
      <c r="F2513" s="24">
        <v>1.59</v>
      </c>
    </row>
    <row r="2514" s="24" customFormat="1" spans="1:6">
      <c r="A2514" s="24" t="s">
        <v>142</v>
      </c>
      <c r="B2514" s="24" t="str">
        <f>"300463"</f>
        <v>300463</v>
      </c>
      <c r="C2514" s="24" t="s">
        <v>2728</v>
      </c>
      <c r="D2514" s="24" t="s">
        <v>326</v>
      </c>
      <c r="E2514" s="24">
        <v>33.76</v>
      </c>
      <c r="F2514" s="24">
        <v>5.62</v>
      </c>
    </row>
    <row r="2515" s="24" customFormat="1" spans="1:6">
      <c r="A2515" s="24" t="s">
        <v>140</v>
      </c>
      <c r="B2515" s="24" t="str">
        <f>"603053"</f>
        <v>603053</v>
      </c>
      <c r="C2515" s="24" t="s">
        <v>2729</v>
      </c>
      <c r="D2515" s="24" t="s">
        <v>195</v>
      </c>
      <c r="E2515" s="24">
        <v>33.76</v>
      </c>
      <c r="F2515" s="24">
        <v>4.37</v>
      </c>
    </row>
    <row r="2516" s="24" customFormat="1" spans="1:6">
      <c r="A2516" s="24" t="s">
        <v>142</v>
      </c>
      <c r="B2516" s="24" t="str">
        <f>"300735"</f>
        <v>300735</v>
      </c>
      <c r="C2516" s="24" t="s">
        <v>2730</v>
      </c>
      <c r="D2516" s="24" t="s">
        <v>152</v>
      </c>
      <c r="E2516" s="24">
        <v>33.75</v>
      </c>
      <c r="F2516" s="24">
        <v>6.08</v>
      </c>
    </row>
    <row r="2517" s="24" customFormat="1" spans="1:6">
      <c r="A2517" s="24" t="s">
        <v>142</v>
      </c>
      <c r="B2517" s="24" t="str">
        <f>"002672"</f>
        <v>002672</v>
      </c>
      <c r="C2517" s="24" t="s">
        <v>2731</v>
      </c>
      <c r="D2517" s="24" t="s">
        <v>214</v>
      </c>
      <c r="E2517" s="24">
        <v>33.74</v>
      </c>
      <c r="F2517" s="24">
        <v>3.05</v>
      </c>
    </row>
    <row r="2518" s="24" customFormat="1" spans="1:6">
      <c r="A2518" s="24" t="s">
        <v>142</v>
      </c>
      <c r="B2518" s="24" t="str">
        <f>"002586"</f>
        <v>002586</v>
      </c>
      <c r="C2518" s="24" t="s">
        <v>2732</v>
      </c>
      <c r="D2518" s="24" t="s">
        <v>315</v>
      </c>
      <c r="E2518" s="24">
        <v>33.71</v>
      </c>
      <c r="F2518" s="24">
        <v>0.64</v>
      </c>
    </row>
    <row r="2519" s="24" customFormat="1" spans="1:6">
      <c r="A2519" s="24" t="s">
        <v>142</v>
      </c>
      <c r="B2519" s="24" t="str">
        <f>"300749"</f>
        <v>300749</v>
      </c>
      <c r="C2519" s="24" t="s">
        <v>2733</v>
      </c>
      <c r="D2519" s="24" t="s">
        <v>200</v>
      </c>
      <c r="E2519" s="24">
        <v>33.71</v>
      </c>
      <c r="F2519" s="24">
        <v>2.96</v>
      </c>
    </row>
    <row r="2520" s="24" customFormat="1" spans="1:6">
      <c r="A2520" s="24" t="s">
        <v>142</v>
      </c>
      <c r="B2520" s="24" t="str">
        <f>"002726"</f>
        <v>002726</v>
      </c>
      <c r="C2520" s="24" t="s">
        <v>2734</v>
      </c>
      <c r="D2520" s="24" t="s">
        <v>190</v>
      </c>
      <c r="E2520" s="24">
        <v>33.7</v>
      </c>
      <c r="F2520" s="24">
        <v>3.03</v>
      </c>
    </row>
    <row r="2521" s="24" customFormat="1" spans="1:6">
      <c r="A2521" s="24" t="s">
        <v>142</v>
      </c>
      <c r="B2521" s="24" t="str">
        <f>"002130"</f>
        <v>002130</v>
      </c>
      <c r="C2521" s="24" t="s">
        <v>2735</v>
      </c>
      <c r="D2521" s="24" t="s">
        <v>197</v>
      </c>
      <c r="E2521" s="24">
        <v>33.7</v>
      </c>
      <c r="F2521" s="24">
        <v>2.83</v>
      </c>
    </row>
    <row r="2522" s="24" customFormat="1" spans="1:6">
      <c r="A2522" s="24" t="s">
        <v>140</v>
      </c>
      <c r="B2522" s="24" t="str">
        <f>"603929"</f>
        <v>603929</v>
      </c>
      <c r="C2522" s="24" t="s">
        <v>2736</v>
      </c>
      <c r="D2522" s="24" t="s">
        <v>315</v>
      </c>
      <c r="E2522" s="24">
        <v>33.69</v>
      </c>
      <c r="F2522" s="24">
        <v>2.96</v>
      </c>
    </row>
    <row r="2523" s="24" customFormat="1" spans="1:6">
      <c r="A2523" s="24" t="s">
        <v>140</v>
      </c>
      <c r="B2523" s="24" t="str">
        <f>"600363"</f>
        <v>600363</v>
      </c>
      <c r="C2523" s="24" t="s">
        <v>2737</v>
      </c>
      <c r="D2523" s="24" t="s">
        <v>230</v>
      </c>
      <c r="E2523" s="24">
        <v>33.69</v>
      </c>
      <c r="F2523" s="24">
        <v>2.46</v>
      </c>
    </row>
    <row r="2524" s="24" customFormat="1" spans="1:6">
      <c r="A2524" s="24" t="s">
        <v>142</v>
      </c>
      <c r="B2524" s="24" t="str">
        <f>"300166"</f>
        <v>300166</v>
      </c>
      <c r="C2524" s="24" t="s">
        <v>2738</v>
      </c>
      <c r="D2524" s="24" t="s">
        <v>159</v>
      </c>
      <c r="E2524" s="24">
        <v>33.67</v>
      </c>
      <c r="F2524" s="24">
        <v>3.95</v>
      </c>
    </row>
    <row r="2525" s="24" customFormat="1" spans="1:6">
      <c r="A2525" s="24" t="s">
        <v>140</v>
      </c>
      <c r="B2525" s="24" t="str">
        <f>"603829"</f>
        <v>603829</v>
      </c>
      <c r="C2525" s="24" t="s">
        <v>2739</v>
      </c>
      <c r="D2525" s="24" t="s">
        <v>251</v>
      </c>
      <c r="E2525" s="24">
        <v>33.64</v>
      </c>
      <c r="F2525" s="24">
        <v>2.25</v>
      </c>
    </row>
    <row r="2526" s="24" customFormat="1" spans="1:6">
      <c r="A2526" s="24" t="s">
        <v>142</v>
      </c>
      <c r="B2526" s="24" t="str">
        <f>"300501"</f>
        <v>300501</v>
      </c>
      <c r="C2526" s="24" t="s">
        <v>2740</v>
      </c>
      <c r="D2526" s="24" t="s">
        <v>290</v>
      </c>
      <c r="E2526" s="24">
        <v>33.63</v>
      </c>
      <c r="F2526" s="24">
        <v>2.81</v>
      </c>
    </row>
    <row r="2527" s="24" customFormat="1" spans="1:6">
      <c r="A2527" s="24" t="s">
        <v>140</v>
      </c>
      <c r="B2527" s="24" t="str">
        <f>"600613"</f>
        <v>600613</v>
      </c>
      <c r="C2527" s="24" t="s">
        <v>2741</v>
      </c>
      <c r="D2527" s="24" t="s">
        <v>464</v>
      </c>
      <c r="E2527" s="24">
        <v>33.63</v>
      </c>
      <c r="F2527" s="24">
        <v>1.95</v>
      </c>
    </row>
    <row r="2528" s="24" customFormat="1" spans="1:6">
      <c r="A2528" s="24" t="s">
        <v>140</v>
      </c>
      <c r="B2528" s="24" t="str">
        <f>"688036"</f>
        <v>688036</v>
      </c>
      <c r="C2528" s="24" t="s">
        <v>2742</v>
      </c>
      <c r="D2528" s="24" t="s">
        <v>193</v>
      </c>
      <c r="E2528" s="24">
        <v>33.62</v>
      </c>
      <c r="F2528" s="24">
        <v>7.08</v>
      </c>
    </row>
    <row r="2529" s="24" customFormat="1" spans="1:6">
      <c r="A2529" s="24" t="s">
        <v>142</v>
      </c>
      <c r="B2529" s="24" t="str">
        <f>"002382"</f>
        <v>002382</v>
      </c>
      <c r="C2529" s="24" t="s">
        <v>2743</v>
      </c>
      <c r="D2529" s="24" t="s">
        <v>618</v>
      </c>
      <c r="E2529" s="24">
        <v>33.58</v>
      </c>
      <c r="F2529" s="24">
        <v>8.61</v>
      </c>
    </row>
    <row r="2530" s="24" customFormat="1" spans="1:6">
      <c r="A2530" s="24" t="s">
        <v>142</v>
      </c>
      <c r="B2530" s="24" t="str">
        <f>"002756"</f>
        <v>002756</v>
      </c>
      <c r="C2530" s="24" t="s">
        <v>2744</v>
      </c>
      <c r="D2530" s="24" t="s">
        <v>258</v>
      </c>
      <c r="E2530" s="24">
        <v>33.57</v>
      </c>
      <c r="F2530" s="24">
        <v>2.51</v>
      </c>
    </row>
    <row r="2531" s="24" customFormat="1" spans="1:6">
      <c r="A2531" s="24" t="s">
        <v>140</v>
      </c>
      <c r="B2531" s="24" t="str">
        <f>"601228"</f>
        <v>601228</v>
      </c>
      <c r="C2531" s="24" t="s">
        <v>2745</v>
      </c>
      <c r="D2531" s="24" t="s">
        <v>1016</v>
      </c>
      <c r="E2531" s="24">
        <v>33.56</v>
      </c>
      <c r="F2531" s="24">
        <v>1.58</v>
      </c>
    </row>
    <row r="2532" s="24" customFormat="1" spans="1:6">
      <c r="A2532" s="24" t="s">
        <v>142</v>
      </c>
      <c r="B2532" s="24" t="str">
        <f>"300587"</f>
        <v>300587</v>
      </c>
      <c r="C2532" s="24" t="s">
        <v>2746</v>
      </c>
      <c r="D2532" s="24" t="s">
        <v>644</v>
      </c>
      <c r="E2532" s="24">
        <v>33.53</v>
      </c>
      <c r="F2532" s="24">
        <v>3.8</v>
      </c>
    </row>
    <row r="2533" s="24" customFormat="1" spans="1:6">
      <c r="A2533" s="24" t="s">
        <v>142</v>
      </c>
      <c r="B2533" s="24" t="str">
        <f>"300796"</f>
        <v>300796</v>
      </c>
      <c r="C2533" s="24" t="s">
        <v>2747</v>
      </c>
      <c r="D2533" s="24" t="s">
        <v>278</v>
      </c>
      <c r="E2533" s="24">
        <v>33.5</v>
      </c>
      <c r="F2533" s="24">
        <v>2.57</v>
      </c>
    </row>
    <row r="2534" s="24" customFormat="1" spans="1:6">
      <c r="A2534" s="24" t="s">
        <v>140</v>
      </c>
      <c r="B2534" s="24" t="str">
        <f>"603297"</f>
        <v>603297</v>
      </c>
      <c r="C2534" s="24" t="s">
        <v>2748</v>
      </c>
      <c r="D2534" s="24" t="s">
        <v>230</v>
      </c>
      <c r="E2534" s="24">
        <v>33.45</v>
      </c>
      <c r="F2534" s="24">
        <v>3.42</v>
      </c>
    </row>
    <row r="2535" s="24" customFormat="1" spans="1:6">
      <c r="A2535" s="24" t="s">
        <v>142</v>
      </c>
      <c r="B2535" s="24" t="str">
        <f>"002908"</f>
        <v>002908</v>
      </c>
      <c r="C2535" s="24" t="s">
        <v>2749</v>
      </c>
      <c r="D2535" s="24" t="s">
        <v>159</v>
      </c>
      <c r="E2535" s="24">
        <v>33.39</v>
      </c>
      <c r="F2535" s="24">
        <v>3.52</v>
      </c>
    </row>
    <row r="2536" s="24" customFormat="1" spans="1:6">
      <c r="A2536" s="24" t="s">
        <v>140</v>
      </c>
      <c r="B2536" s="24" t="str">
        <f>"600563"</f>
        <v>600563</v>
      </c>
      <c r="C2536" s="24" t="s">
        <v>2750</v>
      </c>
      <c r="D2536" s="24" t="s">
        <v>197</v>
      </c>
      <c r="E2536" s="24">
        <v>33.33</v>
      </c>
      <c r="F2536" s="24">
        <v>5.46</v>
      </c>
    </row>
    <row r="2537" s="24" customFormat="1" spans="1:6">
      <c r="A2537" s="24" t="s">
        <v>140</v>
      </c>
      <c r="B2537" s="24" t="str">
        <f>"603208"</f>
        <v>603208</v>
      </c>
      <c r="C2537" s="24" t="s">
        <v>2751</v>
      </c>
      <c r="D2537" s="24" t="s">
        <v>509</v>
      </c>
      <c r="E2537" s="24">
        <v>33.32</v>
      </c>
      <c r="F2537" s="24">
        <v>4.76</v>
      </c>
    </row>
    <row r="2538" s="24" customFormat="1" spans="1:6">
      <c r="A2538" s="24" t="s">
        <v>142</v>
      </c>
      <c r="B2538" s="24" t="str">
        <f>"300522"</f>
        <v>300522</v>
      </c>
      <c r="C2538" s="24" t="s">
        <v>2752</v>
      </c>
      <c r="D2538" s="24" t="s">
        <v>228</v>
      </c>
      <c r="E2538" s="24">
        <v>33.29</v>
      </c>
      <c r="F2538" s="24">
        <v>3.5</v>
      </c>
    </row>
    <row r="2539" s="24" customFormat="1" spans="1:6">
      <c r="A2539" s="24" t="s">
        <v>142</v>
      </c>
      <c r="B2539" s="24" t="str">
        <f>"000627"</f>
        <v>000627</v>
      </c>
      <c r="C2539" s="24" t="s">
        <v>2753</v>
      </c>
      <c r="D2539" s="24" t="s">
        <v>575</v>
      </c>
      <c r="E2539" s="24">
        <v>33.29</v>
      </c>
      <c r="F2539" s="24">
        <v>2.11</v>
      </c>
    </row>
    <row r="2540" s="24" customFormat="1" spans="1:6">
      <c r="A2540" s="24" t="s">
        <v>140</v>
      </c>
      <c r="B2540" s="24" t="str">
        <f>"600519"</f>
        <v>600519</v>
      </c>
      <c r="C2540" s="24" t="s">
        <v>103</v>
      </c>
      <c r="D2540" s="24" t="s">
        <v>309</v>
      </c>
      <c r="E2540" s="24">
        <v>33.27</v>
      </c>
      <c r="F2540" s="24">
        <v>10.94</v>
      </c>
    </row>
    <row r="2541" s="24" customFormat="1" spans="1:6">
      <c r="A2541" s="24" t="s">
        <v>142</v>
      </c>
      <c r="B2541" s="24" t="str">
        <f>"300438"</f>
        <v>300438</v>
      </c>
      <c r="C2541" s="24" t="s">
        <v>2754</v>
      </c>
      <c r="D2541" s="24" t="s">
        <v>251</v>
      </c>
      <c r="E2541" s="24">
        <v>33.26</v>
      </c>
      <c r="F2541" s="24">
        <v>3.24</v>
      </c>
    </row>
    <row r="2542" s="24" customFormat="1" spans="1:6">
      <c r="A2542" s="24" t="s">
        <v>142</v>
      </c>
      <c r="B2542" s="24" t="str">
        <f>"002910"</f>
        <v>002910</v>
      </c>
      <c r="C2542" s="24" t="s">
        <v>2755</v>
      </c>
      <c r="D2542" s="24" t="s">
        <v>190</v>
      </c>
      <c r="E2542" s="24">
        <v>33.24</v>
      </c>
      <c r="F2542" s="24">
        <v>1.65</v>
      </c>
    </row>
    <row r="2543" s="24" customFormat="1" spans="1:6">
      <c r="A2543" s="24" t="s">
        <v>140</v>
      </c>
      <c r="B2543" s="24" t="str">
        <f>"603041"</f>
        <v>603041</v>
      </c>
      <c r="C2543" s="24" t="s">
        <v>2756</v>
      </c>
      <c r="D2543" s="24" t="s">
        <v>228</v>
      </c>
      <c r="E2543" s="24">
        <v>33.24</v>
      </c>
      <c r="F2543" s="24">
        <v>2.14</v>
      </c>
    </row>
    <row r="2544" s="24" customFormat="1" spans="1:6">
      <c r="A2544" s="24" t="s">
        <v>140</v>
      </c>
      <c r="B2544" s="24" t="str">
        <f>"603706"</f>
        <v>603706</v>
      </c>
      <c r="C2544" s="24" t="s">
        <v>2757</v>
      </c>
      <c r="D2544" s="24" t="s">
        <v>195</v>
      </c>
      <c r="E2544" s="24">
        <v>33.22</v>
      </c>
      <c r="F2544" s="24">
        <v>2.4</v>
      </c>
    </row>
    <row r="2545" s="24" customFormat="1" spans="1:6">
      <c r="A2545" s="24" t="s">
        <v>142</v>
      </c>
      <c r="B2545" s="24" t="str">
        <f>"300021"</f>
        <v>300021</v>
      </c>
      <c r="C2545" s="24" t="s">
        <v>2758</v>
      </c>
      <c r="D2545" s="24" t="s">
        <v>173</v>
      </c>
      <c r="E2545" s="24">
        <v>33.2</v>
      </c>
      <c r="F2545" s="24">
        <v>2.7</v>
      </c>
    </row>
    <row r="2546" s="24" customFormat="1" spans="1:6">
      <c r="A2546" s="24" t="s">
        <v>140</v>
      </c>
      <c r="B2546" s="24" t="str">
        <f>"603390"</f>
        <v>603390</v>
      </c>
      <c r="C2546" s="24" t="s">
        <v>2759</v>
      </c>
      <c r="D2546" s="24" t="s">
        <v>204</v>
      </c>
      <c r="E2546" s="24">
        <v>33.16</v>
      </c>
      <c r="F2546" s="24">
        <v>3.05</v>
      </c>
    </row>
    <row r="2547" s="24" customFormat="1" spans="1:6">
      <c r="A2547" s="24" t="s">
        <v>140</v>
      </c>
      <c r="B2547" s="24" t="str">
        <f>"601007"</f>
        <v>601007</v>
      </c>
      <c r="C2547" s="24" t="s">
        <v>2760</v>
      </c>
      <c r="D2547" s="24" t="s">
        <v>453</v>
      </c>
      <c r="E2547" s="24">
        <v>33.14</v>
      </c>
      <c r="F2547" s="24">
        <v>1.6</v>
      </c>
    </row>
    <row r="2548" s="24" customFormat="1" spans="1:6">
      <c r="A2548" s="24" t="s">
        <v>140</v>
      </c>
      <c r="B2548" s="24" t="str">
        <f>"603716"</f>
        <v>603716</v>
      </c>
      <c r="C2548" s="24" t="s">
        <v>2761</v>
      </c>
      <c r="D2548" s="24" t="s">
        <v>348</v>
      </c>
      <c r="E2548" s="24">
        <v>33.13</v>
      </c>
      <c r="F2548" s="24">
        <v>2.58</v>
      </c>
    </row>
    <row r="2549" s="24" customFormat="1" spans="1:6">
      <c r="A2549" s="24" t="s">
        <v>142</v>
      </c>
      <c r="B2549" s="24" t="str">
        <f>"002404"</f>
        <v>002404</v>
      </c>
      <c r="C2549" s="24" t="s">
        <v>2762</v>
      </c>
      <c r="D2549" s="24" t="s">
        <v>161</v>
      </c>
      <c r="E2549" s="24">
        <v>33.11</v>
      </c>
      <c r="F2549" s="24">
        <v>2</v>
      </c>
    </row>
    <row r="2550" s="24" customFormat="1" spans="1:6">
      <c r="A2550" s="24" t="s">
        <v>140</v>
      </c>
      <c r="B2550" s="24" t="str">
        <f>"600292"</f>
        <v>600292</v>
      </c>
      <c r="C2550" s="24" t="s">
        <v>2763</v>
      </c>
      <c r="D2550" s="24" t="s">
        <v>214</v>
      </c>
      <c r="E2550" s="24">
        <v>33.1</v>
      </c>
      <c r="F2550" s="24">
        <v>0.81</v>
      </c>
    </row>
    <row r="2551" s="24" customFormat="1" spans="1:6">
      <c r="A2551" s="24" t="s">
        <v>140</v>
      </c>
      <c r="B2551" s="24" t="str">
        <f>"600531"</f>
        <v>600531</v>
      </c>
      <c r="C2551" s="24" t="s">
        <v>2764</v>
      </c>
      <c r="D2551" s="24" t="s">
        <v>167</v>
      </c>
      <c r="E2551" s="24">
        <v>33.08</v>
      </c>
      <c r="F2551" s="24">
        <v>1.42</v>
      </c>
    </row>
    <row r="2552" s="24" customFormat="1" spans="1:6">
      <c r="A2552" s="24" t="s">
        <v>142</v>
      </c>
      <c r="B2552" s="24" t="str">
        <f>"002174"</f>
        <v>002174</v>
      </c>
      <c r="C2552" s="24" t="s">
        <v>2765</v>
      </c>
      <c r="D2552" s="24" t="s">
        <v>156</v>
      </c>
      <c r="E2552" s="24">
        <v>33.07</v>
      </c>
      <c r="F2552" s="24">
        <v>5.43</v>
      </c>
    </row>
    <row r="2553" s="24" customFormat="1" spans="1:6">
      <c r="A2553" s="24" t="s">
        <v>140</v>
      </c>
      <c r="B2553" s="24" t="str">
        <f>"603129"</f>
        <v>603129</v>
      </c>
      <c r="C2553" s="24" t="s">
        <v>2766</v>
      </c>
      <c r="D2553" s="24" t="s">
        <v>175</v>
      </c>
      <c r="E2553" s="24">
        <v>33.06</v>
      </c>
      <c r="F2553" s="24">
        <v>6</v>
      </c>
    </row>
    <row r="2554" s="24" customFormat="1" spans="1:6">
      <c r="A2554" s="24" t="s">
        <v>140</v>
      </c>
      <c r="B2554" s="24" t="str">
        <f>"603326"</f>
        <v>603326</v>
      </c>
      <c r="C2554" s="24" t="s">
        <v>2767</v>
      </c>
      <c r="D2554" s="24" t="s">
        <v>200</v>
      </c>
      <c r="E2554" s="24">
        <v>33.02</v>
      </c>
      <c r="F2554" s="24">
        <v>4.17</v>
      </c>
    </row>
    <row r="2555" s="24" customFormat="1" spans="1:6">
      <c r="A2555" s="24" t="s">
        <v>142</v>
      </c>
      <c r="B2555" s="24" t="str">
        <f>"300298"</f>
        <v>300298</v>
      </c>
      <c r="C2555" s="24" t="s">
        <v>2768</v>
      </c>
      <c r="D2555" s="24" t="s">
        <v>618</v>
      </c>
      <c r="E2555" s="24">
        <v>32.98</v>
      </c>
      <c r="F2555" s="24">
        <v>3.9</v>
      </c>
    </row>
    <row r="2556" s="24" customFormat="1" spans="1:6">
      <c r="A2556" s="24" t="s">
        <v>140</v>
      </c>
      <c r="B2556" s="24" t="str">
        <f>"603387"</f>
        <v>603387</v>
      </c>
      <c r="C2556" s="24" t="s">
        <v>2769</v>
      </c>
      <c r="D2556" s="24" t="s">
        <v>326</v>
      </c>
      <c r="E2556" s="24">
        <v>32.96</v>
      </c>
      <c r="F2556" s="24">
        <v>5.07</v>
      </c>
    </row>
    <row r="2557" s="24" customFormat="1" spans="1:6">
      <c r="A2557" s="24" t="s">
        <v>140</v>
      </c>
      <c r="B2557" s="24" t="str">
        <f>"600641"</f>
        <v>600641</v>
      </c>
      <c r="C2557" s="24" t="s">
        <v>2770</v>
      </c>
      <c r="D2557" s="24" t="s">
        <v>244</v>
      </c>
      <c r="E2557" s="24">
        <v>32.88</v>
      </c>
      <c r="F2557" s="24">
        <v>2.91</v>
      </c>
    </row>
    <row r="2558" s="24" customFormat="1" spans="1:6">
      <c r="A2558" s="24" t="s">
        <v>142</v>
      </c>
      <c r="B2558" s="24" t="str">
        <f>"002423"</f>
        <v>002423</v>
      </c>
      <c r="C2558" s="24" t="s">
        <v>2771</v>
      </c>
      <c r="D2558" s="24" t="s">
        <v>165</v>
      </c>
      <c r="E2558" s="24">
        <v>32.88</v>
      </c>
      <c r="F2558" s="24">
        <v>1.19</v>
      </c>
    </row>
    <row r="2559" s="24" customFormat="1" spans="1:6">
      <c r="A2559" s="24" t="s">
        <v>142</v>
      </c>
      <c r="B2559" s="24" t="str">
        <f>"300481"</f>
        <v>300481</v>
      </c>
      <c r="C2559" s="24" t="s">
        <v>2772</v>
      </c>
      <c r="D2559" s="24" t="s">
        <v>228</v>
      </c>
      <c r="E2559" s="24">
        <v>32.79</v>
      </c>
      <c r="F2559" s="24">
        <v>4.95</v>
      </c>
    </row>
    <row r="2560" s="24" customFormat="1" spans="1:6">
      <c r="A2560" s="24" t="s">
        <v>142</v>
      </c>
      <c r="B2560" s="24" t="str">
        <f>"300600"</f>
        <v>300600</v>
      </c>
      <c r="C2560" s="24" t="s">
        <v>2773</v>
      </c>
      <c r="D2560" s="24" t="s">
        <v>293</v>
      </c>
      <c r="E2560" s="24">
        <v>32.79</v>
      </c>
      <c r="F2560" s="24">
        <v>2.26</v>
      </c>
    </row>
    <row r="2561" s="24" customFormat="1" spans="1:6">
      <c r="A2561" s="24" t="s">
        <v>142</v>
      </c>
      <c r="B2561" s="24" t="str">
        <f>"300263"</f>
        <v>300263</v>
      </c>
      <c r="C2561" s="24" t="s">
        <v>2774</v>
      </c>
      <c r="D2561" s="24" t="s">
        <v>165</v>
      </c>
      <c r="E2561" s="24">
        <v>32.78</v>
      </c>
      <c r="F2561" s="24">
        <v>2.4</v>
      </c>
    </row>
    <row r="2562" s="24" customFormat="1" spans="1:6">
      <c r="A2562" s="24" t="s">
        <v>142</v>
      </c>
      <c r="B2562" s="24" t="str">
        <f>"002193"</f>
        <v>002193</v>
      </c>
      <c r="C2562" s="24" t="s">
        <v>2775</v>
      </c>
      <c r="D2562" s="24" t="s">
        <v>253</v>
      </c>
      <c r="E2562" s="24">
        <v>32.77</v>
      </c>
      <c r="F2562" s="24">
        <v>0.76</v>
      </c>
    </row>
    <row r="2563" s="24" customFormat="1" spans="1:6">
      <c r="A2563" s="24" t="s">
        <v>140</v>
      </c>
      <c r="B2563" s="24" t="str">
        <f>"600053"</f>
        <v>600053</v>
      </c>
      <c r="C2563" s="24" t="s">
        <v>2776</v>
      </c>
      <c r="D2563" s="24" t="s">
        <v>442</v>
      </c>
      <c r="E2563" s="24">
        <v>32.74</v>
      </c>
      <c r="F2563" s="24">
        <v>5.46</v>
      </c>
    </row>
    <row r="2564" s="24" customFormat="1" spans="1:6">
      <c r="A2564" s="24" t="s">
        <v>142</v>
      </c>
      <c r="B2564" s="24" t="str">
        <f>"002242"</f>
        <v>002242</v>
      </c>
      <c r="C2564" s="24" t="s">
        <v>101</v>
      </c>
      <c r="D2564" s="24" t="s">
        <v>184</v>
      </c>
      <c r="E2564" s="24">
        <v>32.71</v>
      </c>
      <c r="F2564" s="24">
        <v>7.14</v>
      </c>
    </row>
    <row r="2565" s="24" customFormat="1" spans="1:6">
      <c r="A2565" s="24" t="s">
        <v>140</v>
      </c>
      <c r="B2565" s="24" t="str">
        <f>"603700"</f>
        <v>603700</v>
      </c>
      <c r="C2565" s="24" t="s">
        <v>2777</v>
      </c>
      <c r="D2565" s="24" t="s">
        <v>152</v>
      </c>
      <c r="E2565" s="24">
        <v>32.65</v>
      </c>
      <c r="F2565" s="24">
        <v>4.2</v>
      </c>
    </row>
    <row r="2566" s="24" customFormat="1" spans="1:6">
      <c r="A2566" s="24" t="s">
        <v>142</v>
      </c>
      <c r="B2566" s="24" t="str">
        <f>"002776"</f>
        <v>002776</v>
      </c>
      <c r="C2566" s="24" t="s">
        <v>2778</v>
      </c>
      <c r="D2566" s="24" t="s">
        <v>161</v>
      </c>
      <c r="E2566" s="24">
        <v>32.59</v>
      </c>
      <c r="F2566" s="24">
        <v>2.21</v>
      </c>
    </row>
    <row r="2567" s="24" customFormat="1" spans="1:6">
      <c r="A2567" s="24" t="s">
        <v>140</v>
      </c>
      <c r="B2567" s="24" t="str">
        <f>"601869"</f>
        <v>601869</v>
      </c>
      <c r="C2567" s="24" t="s">
        <v>2779</v>
      </c>
      <c r="D2567" s="24" t="s">
        <v>193</v>
      </c>
      <c r="E2567" s="24">
        <v>32.55</v>
      </c>
      <c r="F2567" s="24">
        <v>2.72</v>
      </c>
    </row>
    <row r="2568" s="24" customFormat="1" spans="1:6">
      <c r="A2568" s="24" t="s">
        <v>142</v>
      </c>
      <c r="B2568" s="24" t="str">
        <f>"300546"</f>
        <v>300546</v>
      </c>
      <c r="C2568" s="24" t="s">
        <v>2780</v>
      </c>
      <c r="D2568" s="24" t="s">
        <v>152</v>
      </c>
      <c r="E2568" s="24">
        <v>32.52</v>
      </c>
      <c r="F2568" s="24">
        <v>4.9</v>
      </c>
    </row>
    <row r="2569" s="24" customFormat="1" spans="1:6">
      <c r="A2569" s="24" t="s">
        <v>142</v>
      </c>
      <c r="B2569" s="24" t="str">
        <f>"300727"</f>
        <v>300727</v>
      </c>
      <c r="C2569" s="24" t="s">
        <v>2781</v>
      </c>
      <c r="D2569" s="24" t="s">
        <v>256</v>
      </c>
      <c r="E2569" s="24">
        <v>32.51</v>
      </c>
      <c r="F2569" s="24">
        <v>3.03</v>
      </c>
    </row>
    <row r="2570" s="24" customFormat="1" spans="1:6">
      <c r="A2570" s="24" t="s">
        <v>140</v>
      </c>
      <c r="B2570" s="24" t="str">
        <f>"600029"</f>
        <v>600029</v>
      </c>
      <c r="C2570" s="24" t="s">
        <v>2782</v>
      </c>
      <c r="D2570" s="24" t="s">
        <v>423</v>
      </c>
      <c r="E2570" s="24">
        <v>32.48</v>
      </c>
      <c r="F2570" s="24">
        <v>1.14</v>
      </c>
    </row>
    <row r="2571" s="24" customFormat="1" spans="1:6">
      <c r="A2571" s="24" t="s">
        <v>142</v>
      </c>
      <c r="B2571" s="24" t="str">
        <f>"002851"</f>
        <v>002851</v>
      </c>
      <c r="C2571" s="24" t="s">
        <v>2783</v>
      </c>
      <c r="D2571" s="24" t="s">
        <v>152</v>
      </c>
      <c r="E2571" s="24">
        <v>32.47</v>
      </c>
      <c r="F2571" s="24">
        <v>5.67</v>
      </c>
    </row>
    <row r="2572" s="24" customFormat="1" spans="1:6">
      <c r="A2572" s="24" t="s">
        <v>142</v>
      </c>
      <c r="B2572" s="24" t="str">
        <f>"002700"</f>
        <v>002700</v>
      </c>
      <c r="C2572" s="24" t="s">
        <v>2784</v>
      </c>
      <c r="D2572" s="24" t="s">
        <v>246</v>
      </c>
      <c r="E2572" s="24">
        <v>32.46</v>
      </c>
      <c r="F2572" s="24">
        <v>2.47</v>
      </c>
    </row>
    <row r="2573" s="24" customFormat="1" spans="1:6">
      <c r="A2573" s="24" t="s">
        <v>140</v>
      </c>
      <c r="B2573" s="24" t="str">
        <f>"600101"</f>
        <v>600101</v>
      </c>
      <c r="C2573" s="24" t="s">
        <v>2785</v>
      </c>
      <c r="D2573" s="24" t="s">
        <v>188</v>
      </c>
      <c r="E2573" s="24">
        <v>32.46</v>
      </c>
      <c r="F2573" s="24">
        <v>1.11</v>
      </c>
    </row>
    <row r="2574" s="24" customFormat="1" spans="1:6">
      <c r="A2574" s="24" t="s">
        <v>142</v>
      </c>
      <c r="B2574" s="24" t="str">
        <f>"002559"</f>
        <v>002559</v>
      </c>
      <c r="C2574" s="24" t="s">
        <v>2786</v>
      </c>
      <c r="D2574" s="24" t="s">
        <v>165</v>
      </c>
      <c r="E2574" s="24">
        <v>32.42</v>
      </c>
      <c r="F2574" s="24">
        <v>2.14</v>
      </c>
    </row>
    <row r="2575" s="24" customFormat="1" spans="1:6">
      <c r="A2575" s="24" t="s">
        <v>140</v>
      </c>
      <c r="B2575" s="24" t="str">
        <f>"600958"</f>
        <v>600958</v>
      </c>
      <c r="C2575" s="24" t="s">
        <v>2787</v>
      </c>
      <c r="D2575" s="24" t="s">
        <v>714</v>
      </c>
      <c r="E2575" s="24">
        <v>32.42</v>
      </c>
      <c r="F2575" s="24">
        <v>1.23</v>
      </c>
    </row>
    <row r="2576" s="24" customFormat="1" spans="1:6">
      <c r="A2576" s="24" t="s">
        <v>140</v>
      </c>
      <c r="B2576" s="24" t="str">
        <f>"603997"</f>
        <v>603997</v>
      </c>
      <c r="C2576" s="24" t="s">
        <v>2788</v>
      </c>
      <c r="D2576" s="24" t="s">
        <v>204</v>
      </c>
      <c r="E2576" s="24">
        <v>32.41</v>
      </c>
      <c r="F2576" s="24">
        <v>4.14</v>
      </c>
    </row>
    <row r="2577" s="24" customFormat="1" spans="1:6">
      <c r="A2577" s="24" t="s">
        <v>140</v>
      </c>
      <c r="B2577" s="24" t="str">
        <f>"603733"</f>
        <v>603733</v>
      </c>
      <c r="C2577" s="24" t="s">
        <v>2789</v>
      </c>
      <c r="D2577" s="24" t="s">
        <v>509</v>
      </c>
      <c r="E2577" s="24">
        <v>32.4</v>
      </c>
      <c r="F2577" s="24">
        <v>2.76</v>
      </c>
    </row>
    <row r="2578" s="24" customFormat="1" spans="1:6">
      <c r="A2578" s="24" t="s">
        <v>140</v>
      </c>
      <c r="B2578" s="24" t="str">
        <f>"600345"</f>
        <v>600345</v>
      </c>
      <c r="C2578" s="24" t="s">
        <v>2790</v>
      </c>
      <c r="D2578" s="24" t="s">
        <v>193</v>
      </c>
      <c r="E2578" s="24">
        <v>32.37</v>
      </c>
      <c r="F2578" s="24">
        <v>1.93</v>
      </c>
    </row>
    <row r="2579" s="24" customFormat="1" spans="1:6">
      <c r="A2579" s="24" t="s">
        <v>140</v>
      </c>
      <c r="B2579" s="24" t="str">
        <f>"603088"</f>
        <v>603088</v>
      </c>
      <c r="C2579" s="24" t="s">
        <v>2791</v>
      </c>
      <c r="D2579" s="24" t="s">
        <v>165</v>
      </c>
      <c r="E2579" s="24">
        <v>32.33</v>
      </c>
      <c r="F2579" s="24">
        <v>2.61</v>
      </c>
    </row>
    <row r="2580" s="24" customFormat="1" spans="1:6">
      <c r="A2580" s="24" t="s">
        <v>140</v>
      </c>
      <c r="B2580" s="24" t="str">
        <f>"603912"</f>
        <v>603912</v>
      </c>
      <c r="C2580" s="24" t="s">
        <v>2792</v>
      </c>
      <c r="D2580" s="24" t="s">
        <v>165</v>
      </c>
      <c r="E2580" s="24">
        <v>32.32</v>
      </c>
      <c r="F2580" s="24">
        <v>4.11</v>
      </c>
    </row>
    <row r="2581" s="24" customFormat="1" spans="1:6">
      <c r="A2581" s="24" t="s">
        <v>142</v>
      </c>
      <c r="B2581" s="24" t="str">
        <f>"000513"</f>
        <v>000513</v>
      </c>
      <c r="C2581" s="24" t="s">
        <v>2793</v>
      </c>
      <c r="D2581" s="24" t="s">
        <v>464</v>
      </c>
      <c r="E2581" s="24">
        <v>32.3</v>
      </c>
      <c r="F2581" s="24">
        <v>3.33</v>
      </c>
    </row>
    <row r="2582" s="24" customFormat="1" spans="1:6">
      <c r="A2582" s="24" t="s">
        <v>142</v>
      </c>
      <c r="B2582" s="24" t="str">
        <f>"300723"</f>
        <v>300723</v>
      </c>
      <c r="C2582" s="24" t="s">
        <v>2794</v>
      </c>
      <c r="D2582" s="24" t="s">
        <v>464</v>
      </c>
      <c r="E2582" s="24">
        <v>32.3</v>
      </c>
      <c r="F2582" s="24">
        <v>4.62</v>
      </c>
    </row>
    <row r="2583" s="24" customFormat="1" spans="1:6">
      <c r="A2583" s="24" t="s">
        <v>140</v>
      </c>
      <c r="B2583" s="24" t="str">
        <f>"601108"</f>
        <v>601108</v>
      </c>
      <c r="C2583" s="24" t="s">
        <v>2795</v>
      </c>
      <c r="D2583" s="24" t="s">
        <v>714</v>
      </c>
      <c r="E2583" s="24">
        <v>32.27</v>
      </c>
      <c r="F2583" s="24">
        <v>1.81</v>
      </c>
    </row>
    <row r="2584" s="24" customFormat="1" spans="1:6">
      <c r="A2584" s="24" t="s">
        <v>142</v>
      </c>
      <c r="B2584" s="24" t="str">
        <f>"300445"</f>
        <v>300445</v>
      </c>
      <c r="C2584" s="24" t="s">
        <v>2796</v>
      </c>
      <c r="D2584" s="24" t="s">
        <v>152</v>
      </c>
      <c r="E2584" s="24">
        <v>32.24</v>
      </c>
      <c r="F2584" s="24">
        <v>4.48</v>
      </c>
    </row>
    <row r="2585" s="24" customFormat="1" spans="1:6">
      <c r="A2585" s="24" t="s">
        <v>142</v>
      </c>
      <c r="B2585" s="24" t="str">
        <f>"000739"</f>
        <v>000739</v>
      </c>
      <c r="C2585" s="24" t="s">
        <v>2797</v>
      </c>
      <c r="D2585" s="24" t="s">
        <v>997</v>
      </c>
      <c r="E2585" s="24">
        <v>32.23</v>
      </c>
      <c r="F2585" s="24">
        <v>4.71</v>
      </c>
    </row>
    <row r="2586" s="24" customFormat="1" spans="1:6">
      <c r="A2586" s="24" t="s">
        <v>142</v>
      </c>
      <c r="B2586" s="24" t="str">
        <f>"002930"</f>
        <v>002930</v>
      </c>
      <c r="C2586" s="24" t="s">
        <v>2798</v>
      </c>
      <c r="D2586" s="24" t="s">
        <v>177</v>
      </c>
      <c r="E2586" s="24">
        <v>32.12</v>
      </c>
      <c r="F2586" s="24">
        <v>2.75</v>
      </c>
    </row>
    <row r="2587" s="24" customFormat="1" spans="1:6">
      <c r="A2587" s="24" t="s">
        <v>142</v>
      </c>
      <c r="B2587" s="24" t="str">
        <f>"002923"</f>
        <v>002923</v>
      </c>
      <c r="C2587" s="24" t="s">
        <v>2799</v>
      </c>
      <c r="D2587" s="24" t="s">
        <v>464</v>
      </c>
      <c r="E2587" s="24">
        <v>32.09</v>
      </c>
      <c r="F2587" s="24">
        <v>3.47</v>
      </c>
    </row>
    <row r="2588" s="24" customFormat="1" spans="1:6">
      <c r="A2588" s="24" t="s">
        <v>142</v>
      </c>
      <c r="B2588" s="24" t="str">
        <f>"300650"</f>
        <v>300650</v>
      </c>
      <c r="C2588" s="24" t="s">
        <v>2800</v>
      </c>
      <c r="D2588" s="24" t="s">
        <v>184</v>
      </c>
      <c r="E2588" s="24">
        <v>32.07</v>
      </c>
      <c r="F2588" s="24">
        <v>2.98</v>
      </c>
    </row>
    <row r="2589" s="24" customFormat="1" spans="1:6">
      <c r="A2589" s="24" t="s">
        <v>140</v>
      </c>
      <c r="B2589" s="24" t="str">
        <f>"603007"</f>
        <v>603007</v>
      </c>
      <c r="C2589" s="24" t="s">
        <v>2801</v>
      </c>
      <c r="D2589" s="24" t="s">
        <v>315</v>
      </c>
      <c r="E2589" s="24">
        <v>31.98</v>
      </c>
      <c r="F2589" s="24">
        <v>2.35</v>
      </c>
    </row>
    <row r="2590" s="24" customFormat="1" spans="1:6">
      <c r="A2590" s="24" t="s">
        <v>140</v>
      </c>
      <c r="B2590" s="24" t="str">
        <f>"603515"</f>
        <v>603515</v>
      </c>
      <c r="C2590" s="24" t="s">
        <v>2802</v>
      </c>
      <c r="D2590" s="24" t="s">
        <v>184</v>
      </c>
      <c r="E2590" s="24">
        <v>31.97</v>
      </c>
      <c r="F2590" s="24">
        <v>4.11</v>
      </c>
    </row>
    <row r="2591" s="24" customFormat="1" spans="1:6">
      <c r="A2591" s="24" t="s">
        <v>140</v>
      </c>
      <c r="B2591" s="24" t="str">
        <f>"603517"</f>
        <v>603517</v>
      </c>
      <c r="C2591" s="24" t="s">
        <v>2803</v>
      </c>
      <c r="D2591" s="24" t="s">
        <v>190</v>
      </c>
      <c r="E2591" s="24">
        <v>31.92</v>
      </c>
      <c r="F2591" s="24">
        <v>6.52</v>
      </c>
    </row>
    <row r="2592" s="24" customFormat="1" spans="1:6">
      <c r="A2592" s="24" t="s">
        <v>142</v>
      </c>
      <c r="B2592" s="24" t="str">
        <f>"300640"</f>
        <v>300640</v>
      </c>
      <c r="C2592" s="24" t="s">
        <v>2804</v>
      </c>
      <c r="D2592" s="24" t="s">
        <v>200</v>
      </c>
      <c r="E2592" s="24">
        <v>31.89</v>
      </c>
      <c r="F2592" s="24">
        <v>4.67</v>
      </c>
    </row>
    <row r="2593" s="24" customFormat="1" spans="1:6">
      <c r="A2593" s="24" t="s">
        <v>142</v>
      </c>
      <c r="B2593" s="24" t="str">
        <f>"002929"</f>
        <v>002929</v>
      </c>
      <c r="C2593" s="24" t="s">
        <v>2805</v>
      </c>
      <c r="D2593" s="24" t="s">
        <v>179</v>
      </c>
      <c r="E2593" s="24">
        <v>31.89</v>
      </c>
      <c r="F2593" s="24">
        <v>2.11</v>
      </c>
    </row>
    <row r="2594" s="24" customFormat="1" spans="1:6">
      <c r="A2594" s="24" t="s">
        <v>142</v>
      </c>
      <c r="B2594" s="24" t="str">
        <f>"002675"</f>
        <v>002675</v>
      </c>
      <c r="C2594" s="24" t="s">
        <v>2806</v>
      </c>
      <c r="D2594" s="24" t="s">
        <v>997</v>
      </c>
      <c r="E2594" s="24">
        <v>31.85</v>
      </c>
      <c r="F2594" s="24">
        <v>6.95</v>
      </c>
    </row>
    <row r="2595" s="24" customFormat="1" spans="1:6">
      <c r="A2595" s="24" t="s">
        <v>140</v>
      </c>
      <c r="B2595" s="24" t="str">
        <f>"603843"</f>
        <v>603843</v>
      </c>
      <c r="C2595" s="24" t="s">
        <v>2807</v>
      </c>
      <c r="D2595" s="24" t="s">
        <v>315</v>
      </c>
      <c r="E2595" s="24">
        <v>31.84</v>
      </c>
      <c r="F2595" s="24">
        <v>1.69</v>
      </c>
    </row>
    <row r="2596" s="24" customFormat="1" spans="1:6">
      <c r="A2596" s="24" t="s">
        <v>142</v>
      </c>
      <c r="B2596" s="24" t="str">
        <f>"002038"</f>
        <v>002038</v>
      </c>
      <c r="C2596" s="24" t="s">
        <v>2808</v>
      </c>
      <c r="D2596" s="24" t="s">
        <v>326</v>
      </c>
      <c r="E2596" s="24">
        <v>31.84</v>
      </c>
      <c r="F2596" s="24">
        <v>3.02</v>
      </c>
    </row>
    <row r="2597" s="24" customFormat="1" spans="1:6">
      <c r="A2597" s="24" t="s">
        <v>142</v>
      </c>
      <c r="B2597" s="24" t="str">
        <f>"000637"</f>
        <v>000637</v>
      </c>
      <c r="C2597" s="24" t="s">
        <v>2809</v>
      </c>
      <c r="D2597" s="24" t="s">
        <v>246</v>
      </c>
      <c r="E2597" s="24">
        <v>31.8</v>
      </c>
      <c r="F2597" s="24">
        <v>2.57</v>
      </c>
    </row>
    <row r="2598" s="24" customFormat="1" spans="1:6">
      <c r="A2598" s="24" t="s">
        <v>140</v>
      </c>
      <c r="B2598" s="24" t="str">
        <f>"600367"</f>
        <v>600367</v>
      </c>
      <c r="C2598" s="24" t="s">
        <v>2810</v>
      </c>
      <c r="D2598" s="24" t="s">
        <v>256</v>
      </c>
      <c r="E2598" s="24">
        <v>31.78</v>
      </c>
      <c r="F2598" s="24">
        <v>1.68</v>
      </c>
    </row>
    <row r="2599" s="24" customFormat="1" spans="1:6">
      <c r="A2599" s="24" t="s">
        <v>142</v>
      </c>
      <c r="B2599" s="24" t="str">
        <f>"300184"</f>
        <v>300184</v>
      </c>
      <c r="C2599" s="24" t="s">
        <v>2811</v>
      </c>
      <c r="D2599" s="24" t="s">
        <v>152</v>
      </c>
      <c r="E2599" s="24">
        <v>31.78</v>
      </c>
      <c r="F2599" s="24">
        <v>3.37</v>
      </c>
    </row>
    <row r="2600" s="24" customFormat="1" spans="1:6">
      <c r="A2600" s="24" t="s">
        <v>142</v>
      </c>
      <c r="B2600" s="24" t="str">
        <f>"002516"</f>
        <v>002516</v>
      </c>
      <c r="C2600" s="24" t="s">
        <v>2812</v>
      </c>
      <c r="D2600" s="24" t="s">
        <v>253</v>
      </c>
      <c r="E2600" s="24">
        <v>31.77</v>
      </c>
      <c r="F2600" s="24">
        <v>1.18</v>
      </c>
    </row>
    <row r="2601" s="24" customFormat="1" spans="1:6">
      <c r="A2601" s="24" t="s">
        <v>140</v>
      </c>
      <c r="B2601" s="24" t="str">
        <f>"603863"</f>
        <v>603863</v>
      </c>
      <c r="C2601" s="24" t="s">
        <v>2813</v>
      </c>
      <c r="D2601" s="24" t="s">
        <v>509</v>
      </c>
      <c r="E2601" s="24">
        <v>31.77</v>
      </c>
      <c r="F2601" s="24">
        <v>2.43</v>
      </c>
    </row>
    <row r="2602" s="24" customFormat="1" spans="1:6">
      <c r="A2602" s="24" t="s">
        <v>140</v>
      </c>
      <c r="B2602" s="24" t="str">
        <f>"603728"</f>
        <v>603728</v>
      </c>
      <c r="C2602" s="24" t="s">
        <v>2814</v>
      </c>
      <c r="D2602" s="24" t="s">
        <v>251</v>
      </c>
      <c r="E2602" s="24">
        <v>31.77</v>
      </c>
      <c r="F2602" s="24">
        <v>3.26</v>
      </c>
    </row>
    <row r="2603" s="24" customFormat="1" spans="1:6">
      <c r="A2603" s="24" t="s">
        <v>142</v>
      </c>
      <c r="B2603" s="24" t="str">
        <f>"000507"</f>
        <v>000507</v>
      </c>
      <c r="C2603" s="24" t="s">
        <v>2815</v>
      </c>
      <c r="D2603" s="24" t="s">
        <v>1016</v>
      </c>
      <c r="E2603" s="24">
        <v>31.76</v>
      </c>
      <c r="F2603" s="24">
        <v>0.91</v>
      </c>
    </row>
    <row r="2604" s="24" customFormat="1" spans="1:6">
      <c r="A2604" s="24" t="s">
        <v>142</v>
      </c>
      <c r="B2604" s="24" t="str">
        <f>"002636"</f>
        <v>002636</v>
      </c>
      <c r="C2604" s="24" t="s">
        <v>2816</v>
      </c>
      <c r="D2604" s="24" t="s">
        <v>197</v>
      </c>
      <c r="E2604" s="24">
        <v>31.73</v>
      </c>
      <c r="F2604" s="24">
        <v>2.43</v>
      </c>
    </row>
    <row r="2605" s="24" customFormat="1" spans="1:6">
      <c r="A2605" s="24" t="s">
        <v>142</v>
      </c>
      <c r="B2605" s="24" t="str">
        <f>"002909"</f>
        <v>002909</v>
      </c>
      <c r="C2605" s="24" t="s">
        <v>2817</v>
      </c>
      <c r="D2605" s="24" t="s">
        <v>228</v>
      </c>
      <c r="E2605" s="24">
        <v>31.71</v>
      </c>
      <c r="F2605" s="24">
        <v>3.71</v>
      </c>
    </row>
    <row r="2606" s="24" customFormat="1" spans="1:6">
      <c r="A2606" s="24" t="s">
        <v>142</v>
      </c>
      <c r="B2606" s="24" t="str">
        <f>"000753"</f>
        <v>000753</v>
      </c>
      <c r="C2606" s="24" t="s">
        <v>2818</v>
      </c>
      <c r="D2606" s="24" t="s">
        <v>207</v>
      </c>
      <c r="E2606" s="24">
        <v>31.69</v>
      </c>
      <c r="F2606" s="24">
        <v>1.15</v>
      </c>
    </row>
    <row r="2607" s="24" customFormat="1" spans="1:6">
      <c r="A2607" s="24" t="s">
        <v>140</v>
      </c>
      <c r="B2607" s="24" t="str">
        <f>"603309"</f>
        <v>603309</v>
      </c>
      <c r="C2607" s="24" t="s">
        <v>2819</v>
      </c>
      <c r="D2607" s="24" t="s">
        <v>618</v>
      </c>
      <c r="E2607" s="24">
        <v>31.6</v>
      </c>
      <c r="F2607" s="24">
        <v>4.5</v>
      </c>
    </row>
    <row r="2608" s="24" customFormat="1" spans="1:6">
      <c r="A2608" s="24" t="s">
        <v>140</v>
      </c>
      <c r="B2608" s="24" t="str">
        <f>"600271"</f>
        <v>600271</v>
      </c>
      <c r="C2608" s="24" t="s">
        <v>2820</v>
      </c>
      <c r="D2608" s="24" t="s">
        <v>152</v>
      </c>
      <c r="E2608" s="24">
        <v>31.6</v>
      </c>
      <c r="F2608" s="24">
        <v>4.29</v>
      </c>
    </row>
    <row r="2609" s="24" customFormat="1" spans="1:6">
      <c r="A2609" s="24" t="s">
        <v>142</v>
      </c>
      <c r="B2609" s="24" t="str">
        <f>"300305"</f>
        <v>300305</v>
      </c>
      <c r="C2609" s="24" t="s">
        <v>2821</v>
      </c>
      <c r="D2609" s="24" t="s">
        <v>228</v>
      </c>
      <c r="E2609" s="24">
        <v>31.59</v>
      </c>
      <c r="F2609" s="24">
        <v>1.54</v>
      </c>
    </row>
    <row r="2610" s="24" customFormat="1" spans="1:6">
      <c r="A2610" s="24" t="s">
        <v>142</v>
      </c>
      <c r="B2610" s="24" t="str">
        <f>"000035"</f>
        <v>000035</v>
      </c>
      <c r="C2610" s="24" t="s">
        <v>2822</v>
      </c>
      <c r="D2610" s="24" t="s">
        <v>214</v>
      </c>
      <c r="E2610" s="24">
        <v>31.59</v>
      </c>
      <c r="F2610" s="24">
        <v>3.41</v>
      </c>
    </row>
    <row r="2611" s="24" customFormat="1" spans="1:6">
      <c r="A2611" s="24" t="s">
        <v>140</v>
      </c>
      <c r="B2611" s="24" t="str">
        <f>"603214"</f>
        <v>603214</v>
      </c>
      <c r="C2611" s="24" t="s">
        <v>2823</v>
      </c>
      <c r="D2611" s="24" t="s">
        <v>207</v>
      </c>
      <c r="E2611" s="24">
        <v>31.59</v>
      </c>
      <c r="F2611" s="24">
        <v>4.13</v>
      </c>
    </row>
    <row r="2612" s="24" customFormat="1" spans="1:6">
      <c r="A2612" s="24" t="s">
        <v>142</v>
      </c>
      <c r="B2612" s="24" t="str">
        <f>"002593"</f>
        <v>002593</v>
      </c>
      <c r="C2612" s="24" t="s">
        <v>2824</v>
      </c>
      <c r="D2612" s="24" t="s">
        <v>204</v>
      </c>
      <c r="E2612" s="24">
        <v>31.57</v>
      </c>
      <c r="F2612" s="24">
        <v>1.23</v>
      </c>
    </row>
    <row r="2613" s="24" customFormat="1" spans="1:6">
      <c r="A2613" s="24" t="s">
        <v>140</v>
      </c>
      <c r="B2613" s="24" t="str">
        <f>"603416"</f>
        <v>603416</v>
      </c>
      <c r="C2613" s="24" t="s">
        <v>2825</v>
      </c>
      <c r="D2613" s="24" t="s">
        <v>251</v>
      </c>
      <c r="E2613" s="24">
        <v>31.57</v>
      </c>
      <c r="F2613" s="24">
        <v>3.52</v>
      </c>
    </row>
    <row r="2614" s="24" customFormat="1" spans="1:6">
      <c r="A2614" s="24" t="s">
        <v>142</v>
      </c>
      <c r="B2614" s="24" t="str">
        <f>"300144"</f>
        <v>300144</v>
      </c>
      <c r="C2614" s="24" t="s">
        <v>2826</v>
      </c>
      <c r="D2614" s="24" t="s">
        <v>453</v>
      </c>
      <c r="E2614" s="24">
        <v>31.55</v>
      </c>
      <c r="F2614" s="24">
        <v>4.04</v>
      </c>
    </row>
    <row r="2615" s="24" customFormat="1" spans="1:6">
      <c r="A2615" s="24" t="s">
        <v>140</v>
      </c>
      <c r="B2615" s="24" t="str">
        <f>"603337"</f>
        <v>603337</v>
      </c>
      <c r="C2615" s="24" t="s">
        <v>2827</v>
      </c>
      <c r="D2615" s="24" t="s">
        <v>173</v>
      </c>
      <c r="E2615" s="24">
        <v>31.53</v>
      </c>
      <c r="F2615" s="24">
        <v>3.95</v>
      </c>
    </row>
    <row r="2616" s="24" customFormat="1" spans="1:6">
      <c r="A2616" s="24" t="s">
        <v>142</v>
      </c>
      <c r="B2616" s="24" t="str">
        <f>"300255"</f>
        <v>300255</v>
      </c>
      <c r="C2616" s="24" t="s">
        <v>2828</v>
      </c>
      <c r="D2616" s="24" t="s">
        <v>997</v>
      </c>
      <c r="E2616" s="24">
        <v>31.51</v>
      </c>
      <c r="F2616" s="24">
        <v>1.94</v>
      </c>
    </row>
    <row r="2617" s="24" customFormat="1" spans="1:6">
      <c r="A2617" s="24" t="s">
        <v>140</v>
      </c>
      <c r="B2617" s="24" t="str">
        <f>"603118"</f>
        <v>603118</v>
      </c>
      <c r="C2617" s="24" t="s">
        <v>2829</v>
      </c>
      <c r="D2617" s="24" t="s">
        <v>193</v>
      </c>
      <c r="E2617" s="24">
        <v>31.5</v>
      </c>
      <c r="F2617" s="24">
        <v>2.56</v>
      </c>
    </row>
    <row r="2618" s="24" customFormat="1" spans="1:6">
      <c r="A2618" s="24" t="s">
        <v>140</v>
      </c>
      <c r="B2618" s="24" t="str">
        <f>"603179"</f>
        <v>603179</v>
      </c>
      <c r="C2618" s="24" t="s">
        <v>2830</v>
      </c>
      <c r="D2618" s="24" t="s">
        <v>204</v>
      </c>
      <c r="E2618" s="24">
        <v>31.4</v>
      </c>
      <c r="F2618" s="24">
        <v>3.39</v>
      </c>
    </row>
    <row r="2619" s="24" customFormat="1" spans="1:6">
      <c r="A2619" s="24" t="s">
        <v>140</v>
      </c>
      <c r="B2619" s="24" t="str">
        <f>"603648"</f>
        <v>603648</v>
      </c>
      <c r="C2619" s="24" t="s">
        <v>2831</v>
      </c>
      <c r="D2619" s="24" t="s">
        <v>177</v>
      </c>
      <c r="E2619" s="24">
        <v>31.39</v>
      </c>
      <c r="F2619" s="24">
        <v>1.91</v>
      </c>
    </row>
    <row r="2620" s="24" customFormat="1" spans="1:6">
      <c r="A2620" s="24" t="s">
        <v>142</v>
      </c>
      <c r="B2620" s="24" t="str">
        <f>"300543"</f>
        <v>300543</v>
      </c>
      <c r="C2620" s="24" t="s">
        <v>2832</v>
      </c>
      <c r="D2620" s="24" t="s">
        <v>152</v>
      </c>
      <c r="E2620" s="24">
        <v>31.37</v>
      </c>
      <c r="F2620" s="24">
        <v>3.5</v>
      </c>
    </row>
    <row r="2621" s="24" customFormat="1" spans="1:6">
      <c r="A2621" s="24" t="s">
        <v>140</v>
      </c>
      <c r="B2621" s="24" t="str">
        <f>"603066"</f>
        <v>603066</v>
      </c>
      <c r="C2621" s="24" t="s">
        <v>2833</v>
      </c>
      <c r="D2621" s="24" t="s">
        <v>258</v>
      </c>
      <c r="E2621" s="24">
        <v>31.35</v>
      </c>
      <c r="F2621" s="24">
        <v>2.64</v>
      </c>
    </row>
    <row r="2622" s="24" customFormat="1" spans="1:6">
      <c r="A2622" s="24" t="s">
        <v>142</v>
      </c>
      <c r="B2622" s="24" t="str">
        <f>"002507"</f>
        <v>002507</v>
      </c>
      <c r="C2622" s="24" t="s">
        <v>2834</v>
      </c>
      <c r="D2622" s="24" t="s">
        <v>190</v>
      </c>
      <c r="E2622" s="24">
        <v>31.33</v>
      </c>
      <c r="F2622" s="24">
        <v>7.4</v>
      </c>
    </row>
    <row r="2623" s="24" customFormat="1" spans="1:6">
      <c r="A2623" s="24" t="s">
        <v>140</v>
      </c>
      <c r="B2623" s="24" t="str">
        <f>"600299"</f>
        <v>600299</v>
      </c>
      <c r="C2623" s="24" t="s">
        <v>2835</v>
      </c>
      <c r="D2623" s="24" t="s">
        <v>464</v>
      </c>
      <c r="E2623" s="24">
        <v>31.32</v>
      </c>
      <c r="F2623" s="24">
        <v>2.33</v>
      </c>
    </row>
    <row r="2624" s="24" customFormat="1" spans="1:6">
      <c r="A2624" s="24" t="s">
        <v>142</v>
      </c>
      <c r="B2624" s="24" t="str">
        <f>"300765"</f>
        <v>300765</v>
      </c>
      <c r="C2624" s="24" t="s">
        <v>2836</v>
      </c>
      <c r="D2624" s="24" t="s">
        <v>190</v>
      </c>
      <c r="E2624" s="24">
        <v>31.28</v>
      </c>
      <c r="F2624" s="24">
        <v>3.02</v>
      </c>
    </row>
    <row r="2625" s="24" customFormat="1" spans="1:6">
      <c r="A2625" s="24" t="s">
        <v>142</v>
      </c>
      <c r="B2625" s="24" t="str">
        <f>"300114"</f>
        <v>300114</v>
      </c>
      <c r="C2625" s="24" t="s">
        <v>2837</v>
      </c>
      <c r="D2625" s="24" t="s">
        <v>152</v>
      </c>
      <c r="E2625" s="24">
        <v>31.28</v>
      </c>
      <c r="F2625" s="24">
        <v>4.17</v>
      </c>
    </row>
    <row r="2626" s="24" customFormat="1" spans="1:6">
      <c r="A2626" s="24" t="s">
        <v>142</v>
      </c>
      <c r="B2626" s="24" t="str">
        <f>"002815"</f>
        <v>002815</v>
      </c>
      <c r="C2626" s="24" t="s">
        <v>2838</v>
      </c>
      <c r="D2626" s="24" t="s">
        <v>197</v>
      </c>
      <c r="E2626" s="24">
        <v>31.27</v>
      </c>
      <c r="F2626" s="24">
        <v>4.36</v>
      </c>
    </row>
    <row r="2627" s="24" customFormat="1" spans="1:6">
      <c r="A2627" s="24" t="s">
        <v>140</v>
      </c>
      <c r="B2627" s="24" t="str">
        <f>"603663"</f>
        <v>603663</v>
      </c>
      <c r="C2627" s="24" t="s">
        <v>2839</v>
      </c>
      <c r="D2627" s="24" t="s">
        <v>644</v>
      </c>
      <c r="E2627" s="24">
        <v>31.19</v>
      </c>
      <c r="F2627" s="24">
        <v>4.7</v>
      </c>
    </row>
    <row r="2628" s="24" customFormat="1" spans="1:6">
      <c r="A2628" s="24" t="s">
        <v>142</v>
      </c>
      <c r="B2628" s="24" t="str">
        <f>"000985"</f>
        <v>000985</v>
      </c>
      <c r="C2628" s="24" t="s">
        <v>2840</v>
      </c>
      <c r="D2628" s="24" t="s">
        <v>256</v>
      </c>
      <c r="E2628" s="24">
        <v>31.17</v>
      </c>
      <c r="F2628" s="24">
        <v>3.1</v>
      </c>
    </row>
    <row r="2629" s="24" customFormat="1" spans="1:6">
      <c r="A2629" s="24" t="s">
        <v>142</v>
      </c>
      <c r="B2629" s="24" t="str">
        <f>"002025"</f>
        <v>002025</v>
      </c>
      <c r="C2629" s="24" t="s">
        <v>2841</v>
      </c>
      <c r="D2629" s="24" t="s">
        <v>197</v>
      </c>
      <c r="E2629" s="24">
        <v>31.11</v>
      </c>
      <c r="F2629" s="24">
        <v>3.8</v>
      </c>
    </row>
    <row r="2630" s="24" customFormat="1" spans="1:6">
      <c r="A2630" s="24" t="s">
        <v>140</v>
      </c>
      <c r="B2630" s="24" t="str">
        <f>"600277"</f>
        <v>600277</v>
      </c>
      <c r="C2630" s="24" t="s">
        <v>2842</v>
      </c>
      <c r="D2630" s="24" t="s">
        <v>256</v>
      </c>
      <c r="E2630" s="24">
        <v>31.1</v>
      </c>
      <c r="F2630" s="24">
        <v>0.71</v>
      </c>
    </row>
    <row r="2631" s="24" customFormat="1" spans="1:6">
      <c r="A2631" s="24" t="s">
        <v>142</v>
      </c>
      <c r="B2631" s="24" t="str">
        <f>"002514"</f>
        <v>002514</v>
      </c>
      <c r="C2631" s="24" t="s">
        <v>2843</v>
      </c>
      <c r="D2631" s="24" t="s">
        <v>251</v>
      </c>
      <c r="E2631" s="24">
        <v>31.1</v>
      </c>
      <c r="F2631" s="24">
        <v>3.79</v>
      </c>
    </row>
    <row r="2632" s="24" customFormat="1" spans="1:6">
      <c r="A2632" s="24" t="s">
        <v>142</v>
      </c>
      <c r="B2632" s="24" t="str">
        <f>"000156"</f>
        <v>000156</v>
      </c>
      <c r="C2632" s="24" t="s">
        <v>2844</v>
      </c>
      <c r="D2632" s="24" t="s">
        <v>170</v>
      </c>
      <c r="E2632" s="24">
        <v>31.1</v>
      </c>
      <c r="F2632" s="24">
        <v>1.64</v>
      </c>
    </row>
    <row r="2633" s="24" customFormat="1" spans="1:6">
      <c r="A2633" s="24" t="s">
        <v>142</v>
      </c>
      <c r="B2633" s="24" t="str">
        <f>"002425"</f>
        <v>002425</v>
      </c>
      <c r="C2633" s="24" t="s">
        <v>2845</v>
      </c>
      <c r="D2633" s="24" t="s">
        <v>156</v>
      </c>
      <c r="E2633" s="24">
        <v>31.09</v>
      </c>
      <c r="F2633" s="24">
        <v>2.54</v>
      </c>
    </row>
    <row r="2634" s="24" customFormat="1" spans="1:6">
      <c r="A2634" s="24" t="s">
        <v>140</v>
      </c>
      <c r="B2634" s="24" t="str">
        <f>"603567"</f>
        <v>603567</v>
      </c>
      <c r="C2634" s="24" t="s">
        <v>2846</v>
      </c>
      <c r="D2634" s="24" t="s">
        <v>388</v>
      </c>
      <c r="E2634" s="24">
        <v>31.08</v>
      </c>
      <c r="F2634" s="24">
        <v>2.2</v>
      </c>
    </row>
    <row r="2635" s="24" customFormat="1" spans="1:6">
      <c r="A2635" s="24" t="s">
        <v>142</v>
      </c>
      <c r="B2635" s="24" t="str">
        <f>"000662"</f>
        <v>000662</v>
      </c>
      <c r="C2635" s="24" t="s">
        <v>2847</v>
      </c>
      <c r="D2635" s="24" t="s">
        <v>163</v>
      </c>
      <c r="E2635" s="24">
        <v>31.01</v>
      </c>
      <c r="F2635" s="24">
        <v>1.79</v>
      </c>
    </row>
    <row r="2636" s="24" customFormat="1" spans="1:6">
      <c r="A2636" s="24" t="s">
        <v>142</v>
      </c>
      <c r="B2636" s="24" t="str">
        <f>"300756"</f>
        <v>300756</v>
      </c>
      <c r="C2636" s="24" t="s">
        <v>2848</v>
      </c>
      <c r="D2636" s="24" t="s">
        <v>453</v>
      </c>
      <c r="E2636" s="24">
        <v>30.99</v>
      </c>
      <c r="F2636" s="24">
        <v>2.16</v>
      </c>
    </row>
    <row r="2637" s="24" customFormat="1" spans="1:6">
      <c r="A2637" s="24" t="s">
        <v>142</v>
      </c>
      <c r="B2637" s="24" t="str">
        <f>"300816"</f>
        <v>300816</v>
      </c>
      <c r="C2637" s="24" t="s">
        <v>2849</v>
      </c>
      <c r="D2637" s="24"/>
      <c r="E2637" s="24">
        <v>30.99</v>
      </c>
      <c r="F2637" s="24">
        <v>4.56</v>
      </c>
    </row>
    <row r="2638" s="24" customFormat="1" spans="1:6">
      <c r="A2638" s="24" t="s">
        <v>142</v>
      </c>
      <c r="B2638" s="24" t="str">
        <f>"002455"</f>
        <v>002455</v>
      </c>
      <c r="C2638" s="24" t="s">
        <v>2850</v>
      </c>
      <c r="D2638" s="24" t="s">
        <v>256</v>
      </c>
      <c r="E2638" s="24">
        <v>30.99</v>
      </c>
      <c r="F2638" s="24">
        <v>1.94</v>
      </c>
    </row>
    <row r="2639" s="24" customFormat="1" spans="1:6">
      <c r="A2639" s="24" t="s">
        <v>142</v>
      </c>
      <c r="B2639" s="24" t="str">
        <f>"300596"</f>
        <v>300596</v>
      </c>
      <c r="C2639" s="24" t="s">
        <v>2851</v>
      </c>
      <c r="D2639" s="24" t="s">
        <v>256</v>
      </c>
      <c r="E2639" s="24">
        <v>30.92</v>
      </c>
      <c r="F2639" s="24">
        <v>5.06</v>
      </c>
    </row>
    <row r="2640" s="24" customFormat="1" spans="1:6">
      <c r="A2640" s="24" t="s">
        <v>140</v>
      </c>
      <c r="B2640" s="24" t="str">
        <f>"600075"</f>
        <v>600075</v>
      </c>
      <c r="C2640" s="24" t="s">
        <v>2852</v>
      </c>
      <c r="D2640" s="24" t="s">
        <v>256</v>
      </c>
      <c r="E2640" s="24">
        <v>30.9</v>
      </c>
      <c r="F2640" s="24">
        <v>1</v>
      </c>
    </row>
    <row r="2641" s="24" customFormat="1" spans="1:6">
      <c r="A2641" s="24" t="s">
        <v>142</v>
      </c>
      <c r="B2641" s="24" t="str">
        <f>"002732"</f>
        <v>002732</v>
      </c>
      <c r="C2641" s="24" t="s">
        <v>2853</v>
      </c>
      <c r="D2641" s="24" t="s">
        <v>190</v>
      </c>
      <c r="E2641" s="24">
        <v>30.89</v>
      </c>
      <c r="F2641" s="24">
        <v>3.07</v>
      </c>
    </row>
    <row r="2642" s="24" customFormat="1" spans="1:6">
      <c r="A2642" s="24" t="s">
        <v>140</v>
      </c>
      <c r="B2642" s="24" t="str">
        <f>"600196"</f>
        <v>600196</v>
      </c>
      <c r="C2642" s="24" t="s">
        <v>2854</v>
      </c>
      <c r="D2642" s="24" t="s">
        <v>464</v>
      </c>
      <c r="E2642" s="24">
        <v>30.85</v>
      </c>
      <c r="F2642" s="24">
        <v>3.19</v>
      </c>
    </row>
    <row r="2643" s="24" customFormat="1" spans="1:6">
      <c r="A2643" s="24" t="s">
        <v>142</v>
      </c>
      <c r="B2643" s="24" t="str">
        <f>"002843"</f>
        <v>002843</v>
      </c>
      <c r="C2643" s="24" t="s">
        <v>2855</v>
      </c>
      <c r="D2643" s="24" t="s">
        <v>165</v>
      </c>
      <c r="E2643" s="24">
        <v>30.8</v>
      </c>
      <c r="F2643" s="24">
        <v>2.66</v>
      </c>
    </row>
    <row r="2644" s="24" customFormat="1" spans="1:6">
      <c r="A2644" s="24" t="s">
        <v>140</v>
      </c>
      <c r="B2644" s="24" t="str">
        <f>"603615"</f>
        <v>603615</v>
      </c>
      <c r="C2644" s="24" t="s">
        <v>2856</v>
      </c>
      <c r="D2644" s="24" t="s">
        <v>616</v>
      </c>
      <c r="E2644" s="24">
        <v>30.79</v>
      </c>
      <c r="F2644" s="24">
        <v>1.5</v>
      </c>
    </row>
    <row r="2645" s="24" customFormat="1" spans="1:6">
      <c r="A2645" s="24" t="s">
        <v>140</v>
      </c>
      <c r="B2645" s="24" t="str">
        <f>"600794"</f>
        <v>600794</v>
      </c>
      <c r="C2645" s="24" t="s">
        <v>2857</v>
      </c>
      <c r="D2645" s="24" t="s">
        <v>1016</v>
      </c>
      <c r="E2645" s="24">
        <v>30.79</v>
      </c>
      <c r="F2645" s="24">
        <v>2.09</v>
      </c>
    </row>
    <row r="2646" s="24" customFormat="1" spans="1:6">
      <c r="A2646" s="24" t="s">
        <v>142</v>
      </c>
      <c r="B2646" s="24" t="str">
        <f>"000978"</f>
        <v>000978</v>
      </c>
      <c r="C2646" s="24" t="s">
        <v>2858</v>
      </c>
      <c r="D2646" s="24" t="s">
        <v>453</v>
      </c>
      <c r="E2646" s="24">
        <v>30.78</v>
      </c>
      <c r="F2646" s="24">
        <v>1.04</v>
      </c>
    </row>
    <row r="2647" s="24" customFormat="1" spans="1:6">
      <c r="A2647" s="24" t="s">
        <v>142</v>
      </c>
      <c r="B2647" s="24" t="str">
        <f>"002900"</f>
        <v>002900</v>
      </c>
      <c r="C2647" s="24" t="s">
        <v>2859</v>
      </c>
      <c r="D2647" s="24" t="s">
        <v>464</v>
      </c>
      <c r="E2647" s="24">
        <v>30.75</v>
      </c>
      <c r="F2647" s="24">
        <v>2.15</v>
      </c>
    </row>
    <row r="2648" s="24" customFormat="1" spans="1:6">
      <c r="A2648" s="24" t="s">
        <v>142</v>
      </c>
      <c r="B2648" s="24" t="str">
        <f>"300421"</f>
        <v>300421</v>
      </c>
      <c r="C2648" s="24" t="s">
        <v>2860</v>
      </c>
      <c r="D2648" s="24" t="s">
        <v>165</v>
      </c>
      <c r="E2648" s="24">
        <v>30.74</v>
      </c>
      <c r="F2648" s="24">
        <v>1.36</v>
      </c>
    </row>
    <row r="2649" s="24" customFormat="1" spans="1:6">
      <c r="A2649" s="24" t="s">
        <v>142</v>
      </c>
      <c r="B2649" s="24" t="str">
        <f>"000973"</f>
        <v>000973</v>
      </c>
      <c r="C2649" s="24" t="s">
        <v>2861</v>
      </c>
      <c r="D2649" s="24" t="s">
        <v>228</v>
      </c>
      <c r="E2649" s="24">
        <v>30.73</v>
      </c>
      <c r="F2649" s="24">
        <v>2.06</v>
      </c>
    </row>
    <row r="2650" s="24" customFormat="1" spans="1:6">
      <c r="A2650" s="24" t="s">
        <v>140</v>
      </c>
      <c r="B2650" s="24" t="str">
        <f>"603115"</f>
        <v>603115</v>
      </c>
      <c r="C2650" s="24" t="s">
        <v>2862</v>
      </c>
      <c r="D2650" s="24" t="s">
        <v>167</v>
      </c>
      <c r="E2650" s="24">
        <v>30.71</v>
      </c>
      <c r="F2650" s="24">
        <v>2.97</v>
      </c>
    </row>
    <row r="2651" s="24" customFormat="1" spans="1:6">
      <c r="A2651" s="24" t="s">
        <v>142</v>
      </c>
      <c r="B2651" s="24" t="str">
        <f>"300231"</f>
        <v>300231</v>
      </c>
      <c r="C2651" s="24" t="s">
        <v>2863</v>
      </c>
      <c r="D2651" s="24" t="s">
        <v>159</v>
      </c>
      <c r="E2651" s="24">
        <v>30.71</v>
      </c>
      <c r="F2651" s="24">
        <v>3.17</v>
      </c>
    </row>
    <row r="2652" s="24" customFormat="1" spans="1:6">
      <c r="A2652" s="24" t="s">
        <v>140</v>
      </c>
      <c r="B2652" s="24" t="str">
        <f>"600894"</f>
        <v>600894</v>
      </c>
      <c r="C2652" s="24" t="s">
        <v>2864</v>
      </c>
      <c r="D2652" s="24" t="s">
        <v>293</v>
      </c>
      <c r="E2652" s="24">
        <v>30.69</v>
      </c>
      <c r="F2652" s="24">
        <v>0.75</v>
      </c>
    </row>
    <row r="2653" s="24" customFormat="1" spans="1:6">
      <c r="A2653" s="24" t="s">
        <v>142</v>
      </c>
      <c r="B2653" s="24" t="str">
        <f>"002367"</f>
        <v>002367</v>
      </c>
      <c r="C2653" s="24" t="s">
        <v>2865</v>
      </c>
      <c r="D2653" s="24" t="s">
        <v>173</v>
      </c>
      <c r="E2653" s="24">
        <v>30.67</v>
      </c>
      <c r="F2653" s="24">
        <v>2</v>
      </c>
    </row>
    <row r="2654" s="24" customFormat="1" spans="1:6">
      <c r="A2654" s="24" t="s">
        <v>140</v>
      </c>
      <c r="B2654" s="24" t="str">
        <f>"603506"</f>
        <v>603506</v>
      </c>
      <c r="C2654" s="24" t="s">
        <v>2866</v>
      </c>
      <c r="D2654" s="24" t="s">
        <v>244</v>
      </c>
      <c r="E2654" s="24">
        <v>30.59</v>
      </c>
      <c r="F2654" s="24">
        <v>4.71</v>
      </c>
    </row>
    <row r="2655" s="24" customFormat="1" spans="1:6">
      <c r="A2655" s="24" t="s">
        <v>142</v>
      </c>
      <c r="B2655" s="24" t="str">
        <f>"002075"</f>
        <v>002075</v>
      </c>
      <c r="C2655" s="24" t="s">
        <v>2867</v>
      </c>
      <c r="D2655" s="24" t="s">
        <v>258</v>
      </c>
      <c r="E2655" s="24">
        <v>30.57</v>
      </c>
      <c r="F2655" s="24">
        <v>2.81</v>
      </c>
    </row>
    <row r="2656" s="24" customFormat="1" spans="1:6">
      <c r="A2656" s="24" t="s">
        <v>142</v>
      </c>
      <c r="B2656" s="24" t="str">
        <f>"300771"</f>
        <v>300771</v>
      </c>
      <c r="C2656" s="24" t="s">
        <v>2868</v>
      </c>
      <c r="D2656" s="24" t="s">
        <v>173</v>
      </c>
      <c r="E2656" s="24">
        <v>30.51</v>
      </c>
      <c r="F2656" s="24">
        <v>5.02</v>
      </c>
    </row>
    <row r="2657" s="24" customFormat="1" spans="1:6">
      <c r="A2657" s="24" t="s">
        <v>142</v>
      </c>
      <c r="B2657" s="24" t="str">
        <f>"002013"</f>
        <v>002013</v>
      </c>
      <c r="C2657" s="24" t="s">
        <v>2869</v>
      </c>
      <c r="D2657" s="24" t="s">
        <v>395</v>
      </c>
      <c r="E2657" s="24">
        <v>30.44</v>
      </c>
      <c r="F2657" s="24">
        <v>2.7</v>
      </c>
    </row>
    <row r="2658" s="24" customFormat="1" spans="1:6">
      <c r="A2658" s="24" t="s">
        <v>142</v>
      </c>
      <c r="B2658" s="24" t="str">
        <f>"000596"</f>
        <v>000596</v>
      </c>
      <c r="C2658" s="24" t="s">
        <v>92</v>
      </c>
      <c r="D2658" s="24" t="s">
        <v>309</v>
      </c>
      <c r="E2658" s="24">
        <v>30.44</v>
      </c>
      <c r="F2658" s="24">
        <v>7.61</v>
      </c>
    </row>
    <row r="2659" s="24" customFormat="1" spans="1:6">
      <c r="A2659" s="24" t="s">
        <v>142</v>
      </c>
      <c r="B2659" s="24" t="str">
        <f>"300642"</f>
        <v>300642</v>
      </c>
      <c r="C2659" s="24" t="s">
        <v>2870</v>
      </c>
      <c r="D2659" s="24" t="s">
        <v>326</v>
      </c>
      <c r="E2659" s="24">
        <v>30.43</v>
      </c>
      <c r="F2659" s="24">
        <v>3.6</v>
      </c>
    </row>
    <row r="2660" s="24" customFormat="1" spans="1:6">
      <c r="A2660" s="24" t="s">
        <v>140</v>
      </c>
      <c r="B2660" s="24" t="str">
        <f>"603607"</f>
        <v>603607</v>
      </c>
      <c r="C2660" s="24" t="s">
        <v>2871</v>
      </c>
      <c r="D2660" s="24" t="s">
        <v>509</v>
      </c>
      <c r="E2660" s="24">
        <v>30.41</v>
      </c>
      <c r="F2660" s="24">
        <v>3.54</v>
      </c>
    </row>
    <row r="2661" s="24" customFormat="1" spans="1:6">
      <c r="A2661" s="24" t="s">
        <v>140</v>
      </c>
      <c r="B2661" s="24" t="str">
        <f>"600779"</f>
        <v>600779</v>
      </c>
      <c r="C2661" s="24" t="s">
        <v>2872</v>
      </c>
      <c r="D2661" s="24" t="s">
        <v>309</v>
      </c>
      <c r="E2661" s="24">
        <v>30.36</v>
      </c>
      <c r="F2661" s="24">
        <v>11.54</v>
      </c>
    </row>
    <row r="2662" s="24" customFormat="1" spans="1:6">
      <c r="A2662" s="24" t="s">
        <v>142</v>
      </c>
      <c r="B2662" s="24" t="str">
        <f>"002949"</f>
        <v>002949</v>
      </c>
      <c r="C2662" s="24" t="s">
        <v>2873</v>
      </c>
      <c r="D2662" s="24" t="s">
        <v>214</v>
      </c>
      <c r="E2662" s="24">
        <v>30.34</v>
      </c>
      <c r="F2662" s="24">
        <v>3.21</v>
      </c>
    </row>
    <row r="2663" s="24" customFormat="1" spans="1:6">
      <c r="A2663" s="24" t="s">
        <v>142</v>
      </c>
      <c r="B2663" s="24" t="str">
        <f>"300428"</f>
        <v>300428</v>
      </c>
      <c r="C2663" s="24" t="s">
        <v>2874</v>
      </c>
      <c r="D2663" s="24" t="s">
        <v>167</v>
      </c>
      <c r="E2663" s="24">
        <v>30.32</v>
      </c>
      <c r="F2663" s="24">
        <v>2.79</v>
      </c>
    </row>
    <row r="2664" s="24" customFormat="1" spans="1:6">
      <c r="A2664" s="24" t="s">
        <v>142</v>
      </c>
      <c r="B2664" s="24" t="str">
        <f>"002376"</f>
        <v>002376</v>
      </c>
      <c r="C2664" s="24" t="s">
        <v>2875</v>
      </c>
      <c r="D2664" s="24" t="s">
        <v>352</v>
      </c>
      <c r="E2664" s="24">
        <v>30.27</v>
      </c>
      <c r="F2664" s="24">
        <v>2.84</v>
      </c>
    </row>
    <row r="2665" s="24" customFormat="1" spans="1:6">
      <c r="A2665" s="24" t="s">
        <v>140</v>
      </c>
      <c r="B2665" s="24" t="str">
        <f>"603678"</f>
        <v>603678</v>
      </c>
      <c r="C2665" s="24" t="s">
        <v>2876</v>
      </c>
      <c r="D2665" s="24" t="s">
        <v>197</v>
      </c>
      <c r="E2665" s="24">
        <v>30.23</v>
      </c>
      <c r="F2665" s="24">
        <v>3.67</v>
      </c>
    </row>
    <row r="2666" s="24" customFormat="1" spans="1:6">
      <c r="A2666" s="24" t="s">
        <v>142</v>
      </c>
      <c r="B2666" s="24" t="str">
        <f>"000783"</f>
        <v>000783</v>
      </c>
      <c r="C2666" s="24" t="s">
        <v>2877</v>
      </c>
      <c r="D2666" s="24" t="s">
        <v>714</v>
      </c>
      <c r="E2666" s="24">
        <v>30.23</v>
      </c>
      <c r="F2666" s="24">
        <v>1.29</v>
      </c>
    </row>
    <row r="2667" s="24" customFormat="1" spans="1:6">
      <c r="A2667" s="24" t="s">
        <v>140</v>
      </c>
      <c r="B2667" s="24" t="str">
        <f>"603331"</f>
        <v>603331</v>
      </c>
      <c r="C2667" s="24" t="s">
        <v>2878</v>
      </c>
      <c r="D2667" s="24" t="s">
        <v>165</v>
      </c>
      <c r="E2667" s="24">
        <v>30.19</v>
      </c>
      <c r="F2667" s="24">
        <v>2.59</v>
      </c>
    </row>
    <row r="2668" s="24" customFormat="1" spans="1:6">
      <c r="A2668" s="24" t="s">
        <v>142</v>
      </c>
      <c r="B2668" s="24" t="str">
        <f>"002510"</f>
        <v>002510</v>
      </c>
      <c r="C2668" s="24" t="s">
        <v>2879</v>
      </c>
      <c r="D2668" s="24" t="s">
        <v>204</v>
      </c>
      <c r="E2668" s="24">
        <v>30.17</v>
      </c>
      <c r="F2668" s="24">
        <v>2.25</v>
      </c>
    </row>
    <row r="2669" s="24" customFormat="1" spans="1:6">
      <c r="A2669" s="24" t="s">
        <v>140</v>
      </c>
      <c r="B2669" s="24" t="str">
        <f>"603677"</f>
        <v>603677</v>
      </c>
      <c r="C2669" s="24" t="s">
        <v>2880</v>
      </c>
      <c r="D2669" s="24" t="s">
        <v>184</v>
      </c>
      <c r="E2669" s="24">
        <v>30.17</v>
      </c>
      <c r="F2669" s="24">
        <v>2.18</v>
      </c>
    </row>
    <row r="2670" s="24" customFormat="1" spans="1:6">
      <c r="A2670" s="24" t="s">
        <v>142</v>
      </c>
      <c r="B2670" s="24" t="str">
        <f>"002591"</f>
        <v>002591</v>
      </c>
      <c r="C2670" s="24" t="s">
        <v>2881</v>
      </c>
      <c r="D2670" s="24" t="s">
        <v>228</v>
      </c>
      <c r="E2670" s="24">
        <v>30.15</v>
      </c>
      <c r="F2670" s="24">
        <v>3.64</v>
      </c>
    </row>
    <row r="2671" s="24" customFormat="1" spans="1:6">
      <c r="A2671" s="24" t="s">
        <v>140</v>
      </c>
      <c r="B2671" s="24" t="str">
        <f>"603816"</f>
        <v>603816</v>
      </c>
      <c r="C2671" s="24" t="s">
        <v>2882</v>
      </c>
      <c r="D2671" s="24" t="s">
        <v>200</v>
      </c>
      <c r="E2671" s="24">
        <v>30.13</v>
      </c>
      <c r="F2671" s="24">
        <v>5.97</v>
      </c>
    </row>
    <row r="2672" s="24" customFormat="1" spans="1:6">
      <c r="A2672" s="24" t="s">
        <v>140</v>
      </c>
      <c r="B2672" s="24" t="str">
        <f>"603126"</f>
        <v>603126</v>
      </c>
      <c r="C2672" s="24" t="s">
        <v>2883</v>
      </c>
      <c r="D2672" s="24" t="s">
        <v>214</v>
      </c>
      <c r="E2672" s="24">
        <v>30.12</v>
      </c>
      <c r="F2672" s="24">
        <v>1.54</v>
      </c>
    </row>
    <row r="2673" s="24" customFormat="1" spans="1:6">
      <c r="A2673" s="24" t="s">
        <v>142</v>
      </c>
      <c r="B2673" s="24" t="str">
        <f>"300089"</f>
        <v>300089</v>
      </c>
      <c r="C2673" s="24" t="s">
        <v>2884</v>
      </c>
      <c r="D2673" s="24" t="s">
        <v>200</v>
      </c>
      <c r="E2673" s="24">
        <v>30.1</v>
      </c>
      <c r="F2673" s="24">
        <v>1.12</v>
      </c>
    </row>
    <row r="2674" s="24" customFormat="1" spans="1:6">
      <c r="A2674" s="24" t="s">
        <v>142</v>
      </c>
      <c r="B2674" s="24" t="str">
        <f>"300172"</f>
        <v>300172</v>
      </c>
      <c r="C2674" s="24" t="s">
        <v>2885</v>
      </c>
      <c r="D2674" s="24" t="s">
        <v>214</v>
      </c>
      <c r="E2674" s="24">
        <v>30.1</v>
      </c>
      <c r="F2674" s="24">
        <v>1.87</v>
      </c>
    </row>
    <row r="2675" s="24" customFormat="1" spans="1:6">
      <c r="A2675" s="24" t="s">
        <v>142</v>
      </c>
      <c r="B2675" s="24" t="str">
        <f>"002067"</f>
        <v>002067</v>
      </c>
      <c r="C2675" s="24" t="s">
        <v>2886</v>
      </c>
      <c r="D2675" s="24" t="s">
        <v>509</v>
      </c>
      <c r="E2675" s="24">
        <v>30.06</v>
      </c>
      <c r="F2675" s="24">
        <v>0.78</v>
      </c>
    </row>
    <row r="2676" s="24" customFormat="1" spans="1:6">
      <c r="A2676" s="24" t="s">
        <v>142</v>
      </c>
      <c r="B2676" s="24" t="str">
        <f>"002658"</f>
        <v>002658</v>
      </c>
      <c r="C2676" s="24" t="s">
        <v>2887</v>
      </c>
      <c r="D2676" s="24" t="s">
        <v>152</v>
      </c>
      <c r="E2676" s="24">
        <v>30.05</v>
      </c>
      <c r="F2676" s="24">
        <v>1.99</v>
      </c>
    </row>
    <row r="2677" s="24" customFormat="1" spans="1:6">
      <c r="A2677" s="24" t="s">
        <v>140</v>
      </c>
      <c r="B2677" s="24" t="str">
        <f>"603568"</f>
        <v>603568</v>
      </c>
      <c r="C2677" s="24" t="s">
        <v>2888</v>
      </c>
      <c r="D2677" s="24" t="s">
        <v>214</v>
      </c>
      <c r="E2677" s="24">
        <v>30.03</v>
      </c>
      <c r="F2677" s="24">
        <v>7.22</v>
      </c>
    </row>
    <row r="2678" s="24" customFormat="1" spans="1:6">
      <c r="A2678" s="24" t="s">
        <v>142</v>
      </c>
      <c r="B2678" s="24" t="str">
        <f>"002688"</f>
        <v>002688</v>
      </c>
      <c r="C2678" s="24" t="s">
        <v>2889</v>
      </c>
      <c r="D2678" s="24" t="s">
        <v>997</v>
      </c>
      <c r="E2678" s="24">
        <v>30.03</v>
      </c>
      <c r="F2678" s="24">
        <v>3.84</v>
      </c>
    </row>
    <row r="2679" s="24" customFormat="1" spans="1:6">
      <c r="A2679" s="24" t="s">
        <v>140</v>
      </c>
      <c r="B2679" s="24" t="str">
        <f>"600967"</f>
        <v>600967</v>
      </c>
      <c r="C2679" s="24" t="s">
        <v>2890</v>
      </c>
      <c r="D2679" s="24" t="s">
        <v>173</v>
      </c>
      <c r="E2679" s="24">
        <v>30.01</v>
      </c>
      <c r="F2679" s="24">
        <v>1.93</v>
      </c>
    </row>
    <row r="2680" s="24" customFormat="1" spans="1:6">
      <c r="A2680" s="24" t="s">
        <v>142</v>
      </c>
      <c r="B2680" s="24" t="str">
        <f>"002895"</f>
        <v>002895</v>
      </c>
      <c r="C2680" s="24" t="s">
        <v>2891</v>
      </c>
      <c r="D2680" s="24" t="s">
        <v>256</v>
      </c>
      <c r="E2680" s="24">
        <v>30</v>
      </c>
      <c r="F2680" s="24">
        <v>2.48</v>
      </c>
    </row>
    <row r="2681" s="24" customFormat="1" spans="1:6">
      <c r="A2681" s="24" t="s">
        <v>140</v>
      </c>
      <c r="B2681" s="24" t="str">
        <f>"600037"</f>
        <v>600037</v>
      </c>
      <c r="C2681" s="24" t="s">
        <v>2892</v>
      </c>
      <c r="D2681" s="24" t="s">
        <v>170</v>
      </c>
      <c r="E2681" s="24">
        <v>29.98</v>
      </c>
      <c r="F2681" s="24">
        <v>0.93</v>
      </c>
    </row>
    <row r="2682" s="24" customFormat="1" spans="1:6">
      <c r="A2682" s="24" t="s">
        <v>140</v>
      </c>
      <c r="B2682" s="24" t="str">
        <f>"603776"</f>
        <v>603776</v>
      </c>
      <c r="C2682" s="24" t="s">
        <v>2893</v>
      </c>
      <c r="D2682" s="24" t="s">
        <v>214</v>
      </c>
      <c r="E2682" s="24">
        <v>29.98</v>
      </c>
      <c r="F2682" s="24">
        <v>1.46</v>
      </c>
    </row>
    <row r="2683" s="24" customFormat="1" spans="1:6">
      <c r="A2683" s="24" t="s">
        <v>142</v>
      </c>
      <c r="B2683" s="24" t="str">
        <f>"002822"</f>
        <v>002822</v>
      </c>
      <c r="C2683" s="24" t="s">
        <v>2894</v>
      </c>
      <c r="D2683" s="24" t="s">
        <v>315</v>
      </c>
      <c r="E2683" s="24">
        <v>29.93</v>
      </c>
      <c r="F2683" s="24">
        <v>3.01</v>
      </c>
    </row>
    <row r="2684" s="24" customFormat="1" spans="1:6">
      <c r="A2684" s="24" t="s">
        <v>142</v>
      </c>
      <c r="B2684" s="24" t="str">
        <f>"300276"</f>
        <v>300276</v>
      </c>
      <c r="C2684" s="24" t="s">
        <v>2895</v>
      </c>
      <c r="D2684" s="24" t="s">
        <v>173</v>
      </c>
      <c r="E2684" s="24">
        <v>29.9</v>
      </c>
      <c r="F2684" s="24">
        <v>3.85</v>
      </c>
    </row>
    <row r="2685" s="24" customFormat="1" spans="1:6">
      <c r="A2685" s="24" t="s">
        <v>142</v>
      </c>
      <c r="B2685" s="24" t="str">
        <f>"300564"</f>
        <v>300564</v>
      </c>
      <c r="C2685" s="24" t="s">
        <v>2896</v>
      </c>
      <c r="D2685" s="24" t="s">
        <v>214</v>
      </c>
      <c r="E2685" s="24">
        <v>29.9</v>
      </c>
      <c r="F2685" s="24">
        <v>2.85</v>
      </c>
    </row>
    <row r="2686" s="24" customFormat="1" spans="1:6">
      <c r="A2686" s="24" t="s">
        <v>142</v>
      </c>
      <c r="B2686" s="24" t="str">
        <f>"300616"</f>
        <v>300616</v>
      </c>
      <c r="C2686" s="24" t="s">
        <v>2897</v>
      </c>
      <c r="D2686" s="24" t="s">
        <v>200</v>
      </c>
      <c r="E2686" s="24">
        <v>29.85</v>
      </c>
      <c r="F2686" s="24">
        <v>4.02</v>
      </c>
    </row>
    <row r="2687" s="24" customFormat="1" spans="1:6">
      <c r="A2687" s="24" t="s">
        <v>140</v>
      </c>
      <c r="B2687" s="24" t="str">
        <f>"603099"</f>
        <v>603099</v>
      </c>
      <c r="C2687" s="24" t="s">
        <v>2898</v>
      </c>
      <c r="D2687" s="24" t="s">
        <v>453</v>
      </c>
      <c r="E2687" s="24">
        <v>29.82</v>
      </c>
      <c r="F2687" s="24">
        <v>1.95</v>
      </c>
    </row>
    <row r="2688" s="24" customFormat="1" spans="1:6">
      <c r="A2688" s="24" t="s">
        <v>142</v>
      </c>
      <c r="B2688" s="24" t="str">
        <f>"002738"</f>
        <v>002738</v>
      </c>
      <c r="C2688" s="24" t="s">
        <v>2899</v>
      </c>
      <c r="D2688" s="24" t="s">
        <v>214</v>
      </c>
      <c r="E2688" s="24">
        <v>29.76</v>
      </c>
      <c r="F2688" s="24">
        <v>3.36</v>
      </c>
    </row>
    <row r="2689" s="24" customFormat="1" spans="1:6">
      <c r="A2689" s="24" t="s">
        <v>142</v>
      </c>
      <c r="B2689" s="24" t="str">
        <f>"000997"</f>
        <v>000997</v>
      </c>
      <c r="C2689" s="24" t="s">
        <v>2900</v>
      </c>
      <c r="D2689" s="24" t="s">
        <v>156</v>
      </c>
      <c r="E2689" s="24">
        <v>29.76</v>
      </c>
      <c r="F2689" s="24">
        <v>3.68</v>
      </c>
    </row>
    <row r="2690" s="24" customFormat="1" spans="1:6">
      <c r="A2690" s="24" t="s">
        <v>140</v>
      </c>
      <c r="B2690" s="24" t="str">
        <f>"603810"</f>
        <v>603810</v>
      </c>
      <c r="C2690" s="24" t="s">
        <v>2901</v>
      </c>
      <c r="D2690" s="24" t="s">
        <v>278</v>
      </c>
      <c r="E2690" s="24">
        <v>29.75</v>
      </c>
      <c r="F2690" s="24">
        <v>2.13</v>
      </c>
    </row>
    <row r="2691" s="24" customFormat="1" spans="1:6">
      <c r="A2691" s="24" t="s">
        <v>142</v>
      </c>
      <c r="B2691" s="24" t="str">
        <f>"300452"</f>
        <v>300452</v>
      </c>
      <c r="C2691" s="24" t="s">
        <v>2902</v>
      </c>
      <c r="D2691" s="24" t="s">
        <v>997</v>
      </c>
      <c r="E2691" s="24">
        <v>29.71</v>
      </c>
      <c r="F2691" s="24">
        <v>4.46</v>
      </c>
    </row>
    <row r="2692" s="24" customFormat="1" spans="1:6">
      <c r="A2692" s="24" t="s">
        <v>142</v>
      </c>
      <c r="B2692" s="24" t="str">
        <f>"000668"</f>
        <v>000668</v>
      </c>
      <c r="C2692" s="24" t="s">
        <v>2903</v>
      </c>
      <c r="D2692" s="24" t="s">
        <v>244</v>
      </c>
      <c r="E2692" s="24">
        <v>29.69</v>
      </c>
      <c r="F2692" s="24">
        <v>1.82</v>
      </c>
    </row>
    <row r="2693" s="24" customFormat="1" spans="1:6">
      <c r="A2693" s="24" t="s">
        <v>140</v>
      </c>
      <c r="B2693" s="24" t="str">
        <f>"600858"</f>
        <v>600858</v>
      </c>
      <c r="C2693" s="24" t="s">
        <v>2904</v>
      </c>
      <c r="D2693" s="24" t="s">
        <v>148</v>
      </c>
      <c r="E2693" s="24">
        <v>29.69</v>
      </c>
      <c r="F2693" s="24">
        <v>0.82</v>
      </c>
    </row>
    <row r="2694" s="24" customFormat="1" spans="1:6">
      <c r="A2694" s="24" t="s">
        <v>142</v>
      </c>
      <c r="B2694" s="24" t="str">
        <f>"002706"</f>
        <v>002706</v>
      </c>
      <c r="C2694" s="24" t="s">
        <v>2905</v>
      </c>
      <c r="D2694" s="24" t="s">
        <v>251</v>
      </c>
      <c r="E2694" s="24">
        <v>29.68</v>
      </c>
      <c r="F2694" s="24">
        <v>3.62</v>
      </c>
    </row>
    <row r="2695" s="24" customFormat="1" spans="1:6">
      <c r="A2695" s="24" t="s">
        <v>140</v>
      </c>
      <c r="B2695" s="24" t="str">
        <f>"603050"</f>
        <v>603050</v>
      </c>
      <c r="C2695" s="24" t="s">
        <v>2906</v>
      </c>
      <c r="D2695" s="24" t="s">
        <v>251</v>
      </c>
      <c r="E2695" s="24">
        <v>29.68</v>
      </c>
      <c r="F2695" s="24">
        <v>1.87</v>
      </c>
    </row>
    <row r="2696" s="24" customFormat="1" spans="1:6">
      <c r="A2696" s="24" t="s">
        <v>142</v>
      </c>
      <c r="B2696" s="24" t="str">
        <f>"300511"</f>
        <v>300511</v>
      </c>
      <c r="C2696" s="24" t="s">
        <v>2907</v>
      </c>
      <c r="D2696" s="24" t="s">
        <v>145</v>
      </c>
      <c r="E2696" s="24">
        <v>29.67</v>
      </c>
      <c r="F2696" s="24">
        <v>2.2</v>
      </c>
    </row>
    <row r="2697" s="24" customFormat="1" spans="1:6">
      <c r="A2697" s="24" t="s">
        <v>142</v>
      </c>
      <c r="B2697" s="24" t="str">
        <f>"002085"</f>
        <v>002085</v>
      </c>
      <c r="C2697" s="24" t="s">
        <v>2908</v>
      </c>
      <c r="D2697" s="24" t="s">
        <v>204</v>
      </c>
      <c r="E2697" s="24">
        <v>29.67</v>
      </c>
      <c r="F2697" s="24">
        <v>2.71</v>
      </c>
    </row>
    <row r="2698" s="24" customFormat="1" spans="1:6">
      <c r="A2698" s="24" t="s">
        <v>140</v>
      </c>
      <c r="B2698" s="24" t="str">
        <f>"601012"</f>
        <v>601012</v>
      </c>
      <c r="C2698" s="24" t="s">
        <v>2909</v>
      </c>
      <c r="D2698" s="24" t="s">
        <v>276</v>
      </c>
      <c r="E2698" s="24">
        <v>29.66</v>
      </c>
      <c r="F2698" s="24">
        <v>4.79</v>
      </c>
    </row>
    <row r="2699" s="24" customFormat="1" spans="1:6">
      <c r="A2699" s="24" t="s">
        <v>140</v>
      </c>
      <c r="B2699" s="24" t="str">
        <f>"601086"</f>
        <v>601086</v>
      </c>
      <c r="C2699" s="24" t="s">
        <v>2910</v>
      </c>
      <c r="D2699" s="24" t="s">
        <v>148</v>
      </c>
      <c r="E2699" s="24">
        <v>29.65</v>
      </c>
      <c r="F2699" s="24">
        <v>1.95</v>
      </c>
    </row>
    <row r="2700" s="24" customFormat="1" spans="1:6">
      <c r="A2700" s="24" t="s">
        <v>142</v>
      </c>
      <c r="B2700" s="24" t="str">
        <f>"300820"</f>
        <v>300820</v>
      </c>
      <c r="C2700" s="24" t="s">
        <v>2911</v>
      </c>
      <c r="D2700" s="24"/>
      <c r="E2700" s="24">
        <v>29.62</v>
      </c>
      <c r="F2700" s="24">
        <v>2.95</v>
      </c>
    </row>
    <row r="2701" s="24" customFormat="1" spans="1:6">
      <c r="A2701" s="24" t="s">
        <v>140</v>
      </c>
      <c r="B2701" s="24" t="str">
        <f>"600202"</f>
        <v>600202</v>
      </c>
      <c r="C2701" s="24" t="s">
        <v>2912</v>
      </c>
      <c r="D2701" s="24" t="s">
        <v>293</v>
      </c>
      <c r="E2701" s="24">
        <v>29.61</v>
      </c>
      <c r="F2701" s="24">
        <v>2.52</v>
      </c>
    </row>
    <row r="2702" s="24" customFormat="1" spans="1:6">
      <c r="A2702" s="24" t="s">
        <v>140</v>
      </c>
      <c r="B2702" s="24" t="str">
        <f>"600635"</f>
        <v>600635</v>
      </c>
      <c r="C2702" s="24" t="s">
        <v>2913</v>
      </c>
      <c r="D2702" s="24" t="s">
        <v>195</v>
      </c>
      <c r="E2702" s="24">
        <v>29.59</v>
      </c>
      <c r="F2702" s="24">
        <v>1.59</v>
      </c>
    </row>
    <row r="2703" s="24" customFormat="1" spans="1:6">
      <c r="A2703" s="24" t="s">
        <v>142</v>
      </c>
      <c r="B2703" s="24" t="str">
        <f>"002056"</f>
        <v>002056</v>
      </c>
      <c r="C2703" s="24" t="s">
        <v>2914</v>
      </c>
      <c r="D2703" s="24" t="s">
        <v>197</v>
      </c>
      <c r="E2703" s="24">
        <v>29.59</v>
      </c>
      <c r="F2703" s="24">
        <v>3.35</v>
      </c>
    </row>
    <row r="2704" s="24" customFormat="1" spans="1:6">
      <c r="A2704" s="24" t="s">
        <v>140</v>
      </c>
      <c r="B2704" s="24" t="str">
        <f>"603612"</f>
        <v>603612</v>
      </c>
      <c r="C2704" s="24" t="s">
        <v>2915</v>
      </c>
      <c r="D2704" s="24" t="s">
        <v>256</v>
      </c>
      <c r="E2704" s="24">
        <v>29.54</v>
      </c>
      <c r="F2704" s="24">
        <v>1.55</v>
      </c>
    </row>
    <row r="2705" s="24" customFormat="1" spans="1:6">
      <c r="A2705" s="24" t="s">
        <v>142</v>
      </c>
      <c r="B2705" s="24" t="str">
        <f>"000889"</f>
        <v>000889</v>
      </c>
      <c r="C2705" s="24" t="s">
        <v>2916</v>
      </c>
      <c r="D2705" s="24" t="s">
        <v>179</v>
      </c>
      <c r="E2705" s="24">
        <v>29.5</v>
      </c>
      <c r="F2705" s="24">
        <v>8.02</v>
      </c>
    </row>
    <row r="2706" s="24" customFormat="1" spans="1:6">
      <c r="A2706" s="24" t="s">
        <v>142</v>
      </c>
      <c r="B2706" s="24" t="str">
        <f>"002536"</f>
        <v>002536</v>
      </c>
      <c r="C2706" s="24" t="s">
        <v>2917</v>
      </c>
      <c r="D2706" s="24" t="s">
        <v>204</v>
      </c>
      <c r="E2706" s="24">
        <v>29.5</v>
      </c>
      <c r="F2706" s="24">
        <v>1.18</v>
      </c>
    </row>
    <row r="2707" s="24" customFormat="1" spans="1:6">
      <c r="A2707" s="24" t="s">
        <v>140</v>
      </c>
      <c r="B2707" s="24" t="str">
        <f>"603183"</f>
        <v>603183</v>
      </c>
      <c r="C2707" s="24" t="s">
        <v>2918</v>
      </c>
      <c r="D2707" s="24" t="s">
        <v>214</v>
      </c>
      <c r="E2707" s="24">
        <v>29.47</v>
      </c>
      <c r="F2707" s="24">
        <v>2.01</v>
      </c>
    </row>
    <row r="2708" s="24" customFormat="1" spans="1:6">
      <c r="A2708" s="24" t="s">
        <v>142</v>
      </c>
      <c r="B2708" s="24" t="str">
        <f>"000975"</f>
        <v>000975</v>
      </c>
      <c r="C2708" s="24" t="s">
        <v>2919</v>
      </c>
      <c r="D2708" s="24" t="s">
        <v>167</v>
      </c>
      <c r="E2708" s="24">
        <v>29.46</v>
      </c>
      <c r="F2708" s="24">
        <v>2.92</v>
      </c>
    </row>
    <row r="2709" s="24" customFormat="1" spans="1:6">
      <c r="A2709" s="24" t="s">
        <v>142</v>
      </c>
      <c r="B2709" s="24" t="str">
        <f>"300016"</f>
        <v>300016</v>
      </c>
      <c r="C2709" s="24" t="s">
        <v>2920</v>
      </c>
      <c r="D2709" s="24" t="s">
        <v>464</v>
      </c>
      <c r="E2709" s="24">
        <v>29.44</v>
      </c>
      <c r="F2709" s="24">
        <v>3.82</v>
      </c>
    </row>
    <row r="2710" s="24" customFormat="1" spans="1:6">
      <c r="A2710" s="24" t="s">
        <v>142</v>
      </c>
      <c r="B2710" s="24" t="str">
        <f>"002972"</f>
        <v>002972</v>
      </c>
      <c r="C2710" s="24" t="s">
        <v>2921</v>
      </c>
      <c r="D2710" s="24" t="s">
        <v>152</v>
      </c>
      <c r="E2710" s="24">
        <v>29.44</v>
      </c>
      <c r="F2710" s="24">
        <v>3.54</v>
      </c>
    </row>
    <row r="2711" s="24" customFormat="1" spans="1:6">
      <c r="A2711" s="24" t="s">
        <v>140</v>
      </c>
      <c r="B2711" s="24" t="str">
        <f>"600917"</f>
        <v>600917</v>
      </c>
      <c r="C2711" s="24" t="s">
        <v>2922</v>
      </c>
      <c r="D2711" s="24" t="s">
        <v>195</v>
      </c>
      <c r="E2711" s="24">
        <v>29.4</v>
      </c>
      <c r="F2711" s="24">
        <v>2.5</v>
      </c>
    </row>
    <row r="2712" s="24" customFormat="1" spans="1:6">
      <c r="A2712" s="24" t="s">
        <v>140</v>
      </c>
      <c r="B2712" s="24" t="str">
        <f>"603711"</f>
        <v>603711</v>
      </c>
      <c r="C2712" s="24" t="s">
        <v>2923</v>
      </c>
      <c r="D2712" s="24" t="s">
        <v>309</v>
      </c>
      <c r="E2712" s="24">
        <v>29.4</v>
      </c>
      <c r="F2712" s="24">
        <v>4.11</v>
      </c>
    </row>
    <row r="2713" s="24" customFormat="1" spans="1:6">
      <c r="A2713" s="24" t="s">
        <v>142</v>
      </c>
      <c r="B2713" s="24" t="str">
        <f>"300019"</f>
        <v>300019</v>
      </c>
      <c r="C2713" s="24" t="s">
        <v>2924</v>
      </c>
      <c r="D2713" s="24" t="s">
        <v>256</v>
      </c>
      <c r="E2713" s="24">
        <v>29.39</v>
      </c>
      <c r="F2713" s="24">
        <v>4.17</v>
      </c>
    </row>
    <row r="2714" s="24" customFormat="1" spans="1:6">
      <c r="A2714" s="24" t="s">
        <v>142</v>
      </c>
      <c r="B2714" s="24" t="str">
        <f>"300800"</f>
        <v>300800</v>
      </c>
      <c r="C2714" s="24" t="s">
        <v>2925</v>
      </c>
      <c r="D2714" s="24" t="s">
        <v>152</v>
      </c>
      <c r="E2714" s="24">
        <v>29.38</v>
      </c>
      <c r="F2714" s="24">
        <v>3.37</v>
      </c>
    </row>
    <row r="2715" s="24" customFormat="1" spans="1:6">
      <c r="A2715" s="24" t="s">
        <v>142</v>
      </c>
      <c r="B2715" s="24" t="str">
        <f>"300057"</f>
        <v>300057</v>
      </c>
      <c r="C2715" s="24" t="s">
        <v>2926</v>
      </c>
      <c r="D2715" s="24" t="s">
        <v>167</v>
      </c>
      <c r="E2715" s="24">
        <v>29.31</v>
      </c>
      <c r="F2715" s="24">
        <v>1.18</v>
      </c>
    </row>
    <row r="2716" s="24" customFormat="1" spans="1:6">
      <c r="A2716" s="24" t="s">
        <v>142</v>
      </c>
      <c r="B2716" s="24" t="str">
        <f>"002873"</f>
        <v>002873</v>
      </c>
      <c r="C2716" s="24" t="s">
        <v>2927</v>
      </c>
      <c r="D2716" s="24" t="s">
        <v>388</v>
      </c>
      <c r="E2716" s="24">
        <v>29.3</v>
      </c>
      <c r="F2716" s="24">
        <v>2.74</v>
      </c>
    </row>
    <row r="2717" s="24" customFormat="1" spans="1:6">
      <c r="A2717" s="24" t="s">
        <v>140</v>
      </c>
      <c r="B2717" s="24" t="str">
        <f>"600195"</f>
        <v>600195</v>
      </c>
      <c r="C2717" s="24" t="s">
        <v>2928</v>
      </c>
      <c r="D2717" s="24" t="s">
        <v>326</v>
      </c>
      <c r="E2717" s="24">
        <v>29.3</v>
      </c>
      <c r="F2717" s="24">
        <v>2.41</v>
      </c>
    </row>
    <row r="2718" s="24" customFormat="1" spans="1:6">
      <c r="A2718" s="24" t="s">
        <v>140</v>
      </c>
      <c r="B2718" s="24" t="str">
        <f>"603058"</f>
        <v>603058</v>
      </c>
      <c r="C2718" s="24" t="s">
        <v>2929</v>
      </c>
      <c r="D2718" s="24" t="s">
        <v>214</v>
      </c>
      <c r="E2718" s="24">
        <v>29.3</v>
      </c>
      <c r="F2718" s="24">
        <v>2.86</v>
      </c>
    </row>
    <row r="2719" s="24" customFormat="1" spans="1:6">
      <c r="A2719" s="24" t="s">
        <v>140</v>
      </c>
      <c r="B2719" s="24" t="str">
        <f>"603987"</f>
        <v>603987</v>
      </c>
      <c r="C2719" s="24" t="s">
        <v>2930</v>
      </c>
      <c r="D2719" s="24" t="s">
        <v>618</v>
      </c>
      <c r="E2719" s="24">
        <v>29.3</v>
      </c>
      <c r="F2719" s="24">
        <v>3.46</v>
      </c>
    </row>
    <row r="2720" s="24" customFormat="1" spans="1:6">
      <c r="A2720" s="24" t="s">
        <v>142</v>
      </c>
      <c r="B2720" s="24" t="str">
        <f>"300425"</f>
        <v>300425</v>
      </c>
      <c r="C2720" s="24" t="s">
        <v>2931</v>
      </c>
      <c r="D2720" s="24" t="s">
        <v>173</v>
      </c>
      <c r="E2720" s="24">
        <v>29.28</v>
      </c>
      <c r="F2720" s="24">
        <v>2.06</v>
      </c>
    </row>
    <row r="2721" s="24" customFormat="1" spans="1:6">
      <c r="A2721" s="24" t="s">
        <v>142</v>
      </c>
      <c r="B2721" s="24" t="str">
        <f>"002298"</f>
        <v>002298</v>
      </c>
      <c r="C2721" s="24" t="s">
        <v>2932</v>
      </c>
      <c r="D2721" s="24" t="s">
        <v>159</v>
      </c>
      <c r="E2721" s="24">
        <v>29.25</v>
      </c>
      <c r="F2721" s="24">
        <v>2.25</v>
      </c>
    </row>
    <row r="2722" s="24" customFormat="1" spans="1:6">
      <c r="A2722" s="24" t="s">
        <v>140</v>
      </c>
      <c r="B2722" s="24" t="str">
        <f>"603117"</f>
        <v>603117</v>
      </c>
      <c r="C2722" s="24" t="s">
        <v>2933</v>
      </c>
      <c r="D2722" s="24" t="s">
        <v>177</v>
      </c>
      <c r="E2722" s="24">
        <v>29.24</v>
      </c>
      <c r="F2722" s="24">
        <v>1.03</v>
      </c>
    </row>
    <row r="2723" s="24" customFormat="1" spans="1:6">
      <c r="A2723" s="24" t="s">
        <v>142</v>
      </c>
      <c r="B2723" s="24" t="str">
        <f>"002666"</f>
        <v>002666</v>
      </c>
      <c r="C2723" s="24" t="s">
        <v>2934</v>
      </c>
      <c r="D2723" s="24" t="s">
        <v>228</v>
      </c>
      <c r="E2723" s="24">
        <v>29.24</v>
      </c>
      <c r="F2723" s="24">
        <v>1.78</v>
      </c>
    </row>
    <row r="2724" s="24" customFormat="1" spans="1:6">
      <c r="A2724" s="24" t="s">
        <v>140</v>
      </c>
      <c r="B2724" s="24" t="str">
        <f>"603709"</f>
        <v>603709</v>
      </c>
      <c r="C2724" s="24" t="s">
        <v>2935</v>
      </c>
      <c r="D2724" s="24" t="s">
        <v>200</v>
      </c>
      <c r="E2724" s="24">
        <v>29.22</v>
      </c>
      <c r="F2724" s="24">
        <v>2.82</v>
      </c>
    </row>
    <row r="2725" s="24" customFormat="1" spans="1:6">
      <c r="A2725" s="24" t="s">
        <v>140</v>
      </c>
      <c r="B2725" s="24" t="str">
        <f>"600933"</f>
        <v>600933</v>
      </c>
      <c r="C2725" s="24" t="s">
        <v>2936</v>
      </c>
      <c r="D2725" s="24" t="s">
        <v>204</v>
      </c>
      <c r="E2725" s="24">
        <v>29.2</v>
      </c>
      <c r="F2725" s="24">
        <v>2.76</v>
      </c>
    </row>
    <row r="2726" s="24" customFormat="1" spans="1:6">
      <c r="A2726" s="24" t="s">
        <v>140</v>
      </c>
      <c r="B2726" s="24" t="str">
        <f>"600070"</f>
        <v>600070</v>
      </c>
      <c r="C2726" s="24" t="s">
        <v>2937</v>
      </c>
      <c r="D2726" s="24" t="s">
        <v>253</v>
      </c>
      <c r="E2726" s="24">
        <v>29.16</v>
      </c>
      <c r="F2726" s="24">
        <v>2.71</v>
      </c>
    </row>
    <row r="2727" s="24" customFormat="1" spans="1:6">
      <c r="A2727" s="24" t="s">
        <v>140</v>
      </c>
      <c r="B2727" s="24" t="str">
        <f>"600386"</f>
        <v>600386</v>
      </c>
      <c r="C2727" s="24" t="s">
        <v>2938</v>
      </c>
      <c r="D2727" s="24" t="s">
        <v>207</v>
      </c>
      <c r="E2727" s="24">
        <v>29.15</v>
      </c>
      <c r="F2727" s="24">
        <v>1.54</v>
      </c>
    </row>
    <row r="2728" s="24" customFormat="1" spans="1:6">
      <c r="A2728" s="24" t="s">
        <v>142</v>
      </c>
      <c r="B2728" s="24" t="str">
        <f>"002026"</f>
        <v>002026</v>
      </c>
      <c r="C2728" s="24" t="s">
        <v>2939</v>
      </c>
      <c r="D2728" s="24" t="s">
        <v>165</v>
      </c>
      <c r="E2728" s="24">
        <v>29.1</v>
      </c>
      <c r="F2728" s="24">
        <v>0.91</v>
      </c>
    </row>
    <row r="2729" s="24" customFormat="1" spans="1:6">
      <c r="A2729" s="24" t="s">
        <v>142</v>
      </c>
      <c r="B2729" s="24" t="str">
        <f>"000858"</f>
        <v>000858</v>
      </c>
      <c r="C2729" s="24" t="s">
        <v>2940</v>
      </c>
      <c r="D2729" s="24" t="s">
        <v>309</v>
      </c>
      <c r="E2729" s="24">
        <v>29.1</v>
      </c>
      <c r="F2729" s="24">
        <v>6.94</v>
      </c>
    </row>
    <row r="2730" s="24" customFormat="1" spans="1:6">
      <c r="A2730" s="24" t="s">
        <v>140</v>
      </c>
      <c r="B2730" s="24" t="str">
        <f>"601615"</f>
        <v>601615</v>
      </c>
      <c r="C2730" s="24" t="s">
        <v>2941</v>
      </c>
      <c r="D2730" s="24" t="s">
        <v>293</v>
      </c>
      <c r="E2730" s="24">
        <v>28.96</v>
      </c>
      <c r="F2730" s="24">
        <v>2.64</v>
      </c>
    </row>
    <row r="2731" s="24" customFormat="1" spans="1:6">
      <c r="A2731" s="24" t="s">
        <v>140</v>
      </c>
      <c r="B2731" s="24" t="str">
        <f>"600141"</f>
        <v>600141</v>
      </c>
      <c r="C2731" s="24" t="s">
        <v>2942</v>
      </c>
      <c r="D2731" s="24" t="s">
        <v>278</v>
      </c>
      <c r="E2731" s="24">
        <v>28.93</v>
      </c>
      <c r="F2731" s="24">
        <v>1.6</v>
      </c>
    </row>
    <row r="2732" s="24" customFormat="1" spans="1:6">
      <c r="A2732" s="24" t="s">
        <v>142</v>
      </c>
      <c r="B2732" s="24" t="str">
        <f>"002415"</f>
        <v>002415</v>
      </c>
      <c r="C2732" s="24" t="s">
        <v>90</v>
      </c>
      <c r="D2732" s="24" t="s">
        <v>152</v>
      </c>
      <c r="E2732" s="24">
        <v>28.92</v>
      </c>
      <c r="F2732" s="24">
        <v>8.37</v>
      </c>
    </row>
    <row r="2733" s="24" customFormat="1" spans="1:6">
      <c r="A2733" s="24" t="s">
        <v>142</v>
      </c>
      <c r="B2733" s="24" t="str">
        <f>"300041"</f>
        <v>300041</v>
      </c>
      <c r="C2733" s="24" t="s">
        <v>2943</v>
      </c>
      <c r="D2733" s="24" t="s">
        <v>256</v>
      </c>
      <c r="E2733" s="24">
        <v>28.89</v>
      </c>
      <c r="F2733" s="24">
        <v>2.44</v>
      </c>
    </row>
    <row r="2734" s="24" customFormat="1" spans="1:6">
      <c r="A2734" s="24" t="s">
        <v>140</v>
      </c>
      <c r="B2734" s="24" t="str">
        <f>"600438"</f>
        <v>600438</v>
      </c>
      <c r="C2734" s="24" t="s">
        <v>2944</v>
      </c>
      <c r="D2734" s="24" t="s">
        <v>145</v>
      </c>
      <c r="E2734" s="24">
        <v>28.84</v>
      </c>
      <c r="F2734" s="24">
        <v>4.45</v>
      </c>
    </row>
    <row r="2735" s="24" customFormat="1" spans="1:6">
      <c r="A2735" s="24" t="s">
        <v>142</v>
      </c>
      <c r="B2735" s="24" t="str">
        <f>"002135"</f>
        <v>002135</v>
      </c>
      <c r="C2735" s="24" t="s">
        <v>2945</v>
      </c>
      <c r="D2735" s="24" t="s">
        <v>573</v>
      </c>
      <c r="E2735" s="24">
        <v>28.83</v>
      </c>
      <c r="F2735" s="24">
        <v>1.56</v>
      </c>
    </row>
    <row r="2736" s="24" customFormat="1" spans="1:6">
      <c r="A2736" s="24" t="s">
        <v>140</v>
      </c>
      <c r="B2736" s="24" t="str">
        <f>"603618"</f>
        <v>603618</v>
      </c>
      <c r="C2736" s="24" t="s">
        <v>2946</v>
      </c>
      <c r="D2736" s="24" t="s">
        <v>251</v>
      </c>
      <c r="E2736" s="24">
        <v>28.8</v>
      </c>
      <c r="F2736" s="24">
        <v>1.36</v>
      </c>
    </row>
    <row r="2737" s="24" customFormat="1" spans="1:6">
      <c r="A2737" s="24" t="s">
        <v>142</v>
      </c>
      <c r="B2737" s="24" t="str">
        <f>"000519"</f>
        <v>000519</v>
      </c>
      <c r="C2737" s="24" t="s">
        <v>2947</v>
      </c>
      <c r="D2737" s="24" t="s">
        <v>644</v>
      </c>
      <c r="E2737" s="24">
        <v>28.78</v>
      </c>
      <c r="F2737" s="24">
        <v>1.23</v>
      </c>
    </row>
    <row r="2738" s="24" customFormat="1" spans="1:6">
      <c r="A2738" s="24" t="s">
        <v>140</v>
      </c>
      <c r="B2738" s="24" t="str">
        <f>"603788"</f>
        <v>603788</v>
      </c>
      <c r="C2738" s="24" t="s">
        <v>2948</v>
      </c>
      <c r="D2738" s="24" t="s">
        <v>204</v>
      </c>
      <c r="E2738" s="24">
        <v>28.77</v>
      </c>
      <c r="F2738" s="24">
        <v>1.83</v>
      </c>
    </row>
    <row r="2739" s="24" customFormat="1" spans="1:6">
      <c r="A2739" s="24" t="s">
        <v>142</v>
      </c>
      <c r="B2739" s="24" t="str">
        <f>"300129"</f>
        <v>300129</v>
      </c>
      <c r="C2739" s="24" t="s">
        <v>2949</v>
      </c>
      <c r="D2739" s="24" t="s">
        <v>251</v>
      </c>
      <c r="E2739" s="24">
        <v>28.75</v>
      </c>
      <c r="F2739" s="24">
        <v>1.41</v>
      </c>
    </row>
    <row r="2740" s="24" customFormat="1" spans="1:6">
      <c r="A2740" s="24" t="s">
        <v>142</v>
      </c>
      <c r="B2740" s="24" t="str">
        <f>"000919"</f>
        <v>000919</v>
      </c>
      <c r="C2740" s="24" t="s">
        <v>2950</v>
      </c>
      <c r="D2740" s="24" t="s">
        <v>464</v>
      </c>
      <c r="E2740" s="24">
        <v>28.73</v>
      </c>
      <c r="F2740" s="24">
        <v>1.42</v>
      </c>
    </row>
    <row r="2741" s="24" customFormat="1" spans="1:6">
      <c r="A2741" s="24" t="s">
        <v>140</v>
      </c>
      <c r="B2741" s="24" t="str">
        <f>"600754"</f>
        <v>600754</v>
      </c>
      <c r="C2741" s="24" t="s">
        <v>2951</v>
      </c>
      <c r="D2741" s="24" t="s">
        <v>453</v>
      </c>
      <c r="E2741" s="24">
        <v>28.73</v>
      </c>
      <c r="F2741" s="24">
        <v>14.87</v>
      </c>
    </row>
    <row r="2742" s="24" customFormat="1" spans="1:6">
      <c r="A2742" s="24" t="s">
        <v>140</v>
      </c>
      <c r="B2742" s="24" t="str">
        <f>"603279"</f>
        <v>603279</v>
      </c>
      <c r="C2742" s="24" t="s">
        <v>2952</v>
      </c>
      <c r="D2742" s="24" t="s">
        <v>173</v>
      </c>
      <c r="E2742" s="24">
        <v>28.71</v>
      </c>
      <c r="F2742" s="24">
        <v>3.49</v>
      </c>
    </row>
    <row r="2743" s="24" customFormat="1" spans="1:6">
      <c r="A2743" s="24" t="s">
        <v>142</v>
      </c>
      <c r="B2743" s="24" t="str">
        <f>"300213"</f>
        <v>300213</v>
      </c>
      <c r="C2743" s="24" t="s">
        <v>2953</v>
      </c>
      <c r="D2743" s="24" t="s">
        <v>193</v>
      </c>
      <c r="E2743" s="24">
        <v>28.65</v>
      </c>
      <c r="F2743" s="24">
        <v>2.43</v>
      </c>
    </row>
    <row r="2744" s="24" customFormat="1" spans="1:6">
      <c r="A2744" s="24" t="s">
        <v>142</v>
      </c>
      <c r="B2744" s="24" t="str">
        <f>"300146"</f>
        <v>300146</v>
      </c>
      <c r="C2744" s="24" t="s">
        <v>2954</v>
      </c>
      <c r="D2744" s="24" t="s">
        <v>190</v>
      </c>
      <c r="E2744" s="24">
        <v>28.64</v>
      </c>
      <c r="F2744" s="24">
        <v>5.68</v>
      </c>
    </row>
    <row r="2745" s="24" customFormat="1" spans="1:6">
      <c r="A2745" s="24" t="s">
        <v>142</v>
      </c>
      <c r="B2745" s="24" t="str">
        <f>"002010"</f>
        <v>002010</v>
      </c>
      <c r="C2745" s="24" t="s">
        <v>2955</v>
      </c>
      <c r="D2745" s="24" t="s">
        <v>177</v>
      </c>
      <c r="E2745" s="24">
        <v>28.63</v>
      </c>
      <c r="F2745" s="24">
        <v>1.63</v>
      </c>
    </row>
    <row r="2746" s="24" customFormat="1" spans="1:6">
      <c r="A2746" s="24" t="s">
        <v>140</v>
      </c>
      <c r="B2746" s="24" t="str">
        <f>"603109"</f>
        <v>603109</v>
      </c>
      <c r="C2746" s="24" t="s">
        <v>2956</v>
      </c>
      <c r="D2746" s="24" t="s">
        <v>204</v>
      </c>
      <c r="E2746" s="24">
        <v>28.62</v>
      </c>
      <c r="F2746" s="24">
        <v>2.34</v>
      </c>
    </row>
    <row r="2747" s="24" customFormat="1" spans="1:6">
      <c r="A2747" s="24" t="s">
        <v>140</v>
      </c>
      <c r="B2747" s="24" t="str">
        <f>"603226"</f>
        <v>603226</v>
      </c>
      <c r="C2747" s="24" t="s">
        <v>2957</v>
      </c>
      <c r="D2747" s="24" t="s">
        <v>509</v>
      </c>
      <c r="E2747" s="24">
        <v>28.6</v>
      </c>
      <c r="F2747" s="24">
        <v>2.64</v>
      </c>
    </row>
    <row r="2748" s="24" customFormat="1" spans="1:6">
      <c r="A2748" s="24" t="s">
        <v>142</v>
      </c>
      <c r="B2748" s="24" t="str">
        <f>"002953"</f>
        <v>002953</v>
      </c>
      <c r="C2748" s="24" t="s">
        <v>2958</v>
      </c>
      <c r="D2748" s="24" t="s">
        <v>251</v>
      </c>
      <c r="E2748" s="24">
        <v>28.59</v>
      </c>
      <c r="F2748" s="24">
        <v>3.52</v>
      </c>
    </row>
    <row r="2749" s="24" customFormat="1" spans="1:6">
      <c r="A2749" s="24" t="s">
        <v>140</v>
      </c>
      <c r="B2749" s="24" t="str">
        <f>"603977"</f>
        <v>603977</v>
      </c>
      <c r="C2749" s="24" t="s">
        <v>2959</v>
      </c>
      <c r="D2749" s="24" t="s">
        <v>228</v>
      </c>
      <c r="E2749" s="24">
        <v>28.59</v>
      </c>
      <c r="F2749" s="24">
        <v>1.93</v>
      </c>
    </row>
    <row r="2750" s="24" customFormat="1" spans="1:6">
      <c r="A2750" s="24" t="s">
        <v>140</v>
      </c>
      <c r="B2750" s="24" t="str">
        <f>"603833"</f>
        <v>603833</v>
      </c>
      <c r="C2750" s="24" t="s">
        <v>2960</v>
      </c>
      <c r="D2750" s="24" t="s">
        <v>200</v>
      </c>
      <c r="E2750" s="24">
        <v>28.57</v>
      </c>
      <c r="F2750" s="24">
        <v>5.36</v>
      </c>
    </row>
    <row r="2751" s="24" customFormat="1" spans="1:6">
      <c r="A2751" s="24" t="s">
        <v>140</v>
      </c>
      <c r="B2751" s="24" t="str">
        <f>"600211"</f>
        <v>600211</v>
      </c>
      <c r="C2751" s="24" t="s">
        <v>2961</v>
      </c>
      <c r="D2751" s="24" t="s">
        <v>388</v>
      </c>
      <c r="E2751" s="24">
        <v>28.55</v>
      </c>
      <c r="F2751" s="24">
        <v>2.56</v>
      </c>
    </row>
    <row r="2752" s="24" customFormat="1" spans="1:6">
      <c r="A2752" s="24" t="s">
        <v>140</v>
      </c>
      <c r="B2752" s="24" t="str">
        <f>"600648"</f>
        <v>600648</v>
      </c>
      <c r="C2752" s="24" t="s">
        <v>2962</v>
      </c>
      <c r="D2752" s="24" t="s">
        <v>267</v>
      </c>
      <c r="E2752" s="24">
        <v>28.54</v>
      </c>
      <c r="F2752" s="24">
        <v>1.6</v>
      </c>
    </row>
    <row r="2753" s="24" customFormat="1" spans="1:6">
      <c r="A2753" s="24" t="s">
        <v>140</v>
      </c>
      <c r="B2753" s="24" t="str">
        <f>"603717"</f>
        <v>603717</v>
      </c>
      <c r="C2753" s="24" t="s">
        <v>2963</v>
      </c>
      <c r="D2753" s="24" t="s">
        <v>315</v>
      </c>
      <c r="E2753" s="24">
        <v>28.5</v>
      </c>
      <c r="F2753" s="24">
        <v>1.36</v>
      </c>
    </row>
    <row r="2754" s="24" customFormat="1" spans="1:6">
      <c r="A2754" s="24" t="s">
        <v>142</v>
      </c>
      <c r="B2754" s="24" t="str">
        <f>"002643"</f>
        <v>002643</v>
      </c>
      <c r="C2754" s="24" t="s">
        <v>2964</v>
      </c>
      <c r="D2754" s="24" t="s">
        <v>256</v>
      </c>
      <c r="E2754" s="24">
        <v>28.48</v>
      </c>
      <c r="F2754" s="24">
        <v>3.48</v>
      </c>
    </row>
    <row r="2755" s="24" customFormat="1" spans="1:6">
      <c r="A2755" s="24" t="s">
        <v>140</v>
      </c>
      <c r="B2755" s="24" t="str">
        <f>"600867"</f>
        <v>600867</v>
      </c>
      <c r="C2755" s="24" t="s">
        <v>2965</v>
      </c>
      <c r="D2755" s="24" t="s">
        <v>464</v>
      </c>
      <c r="E2755" s="24">
        <v>28.36</v>
      </c>
      <c r="F2755" s="24">
        <v>4.74</v>
      </c>
    </row>
    <row r="2756" s="24" customFormat="1" spans="1:6">
      <c r="A2756" s="24" t="s">
        <v>142</v>
      </c>
      <c r="B2756" s="24" t="str">
        <f>"002802"</f>
        <v>002802</v>
      </c>
      <c r="C2756" s="24" t="s">
        <v>2966</v>
      </c>
      <c r="D2756" s="24" t="s">
        <v>256</v>
      </c>
      <c r="E2756" s="24">
        <v>28.33</v>
      </c>
      <c r="F2756" s="24">
        <v>3.7</v>
      </c>
    </row>
    <row r="2757" s="24" customFormat="1" spans="1:6">
      <c r="A2757" s="24" t="s">
        <v>142</v>
      </c>
      <c r="B2757" s="24" t="str">
        <f>"002054"</f>
        <v>002054</v>
      </c>
      <c r="C2757" s="24" t="s">
        <v>2967</v>
      </c>
      <c r="D2757" s="24" t="s">
        <v>256</v>
      </c>
      <c r="E2757" s="24">
        <v>28.29</v>
      </c>
      <c r="F2757" s="24">
        <v>1.57</v>
      </c>
    </row>
    <row r="2758" s="24" customFormat="1" spans="1:6">
      <c r="A2758" s="24" t="s">
        <v>142</v>
      </c>
      <c r="B2758" s="24" t="str">
        <f>"002542"</f>
        <v>002542</v>
      </c>
      <c r="C2758" s="24" t="s">
        <v>2968</v>
      </c>
      <c r="D2758" s="24" t="s">
        <v>315</v>
      </c>
      <c r="E2758" s="24">
        <v>28.28</v>
      </c>
      <c r="F2758" s="24">
        <v>1.82</v>
      </c>
    </row>
    <row r="2759" s="24" customFormat="1" spans="1:6">
      <c r="A2759" s="24" t="s">
        <v>142</v>
      </c>
      <c r="B2759" s="24" t="str">
        <f>"300039"</f>
        <v>300039</v>
      </c>
      <c r="C2759" s="24" t="s">
        <v>2969</v>
      </c>
      <c r="D2759" s="24" t="s">
        <v>388</v>
      </c>
      <c r="E2759" s="24">
        <v>28.26</v>
      </c>
      <c r="F2759" s="24">
        <v>2.32</v>
      </c>
    </row>
    <row r="2760" s="24" customFormat="1" spans="1:6">
      <c r="A2760" s="24" t="s">
        <v>140</v>
      </c>
      <c r="B2760" s="24" t="str">
        <f>"601872"</f>
        <v>601872</v>
      </c>
      <c r="C2760" s="24" t="s">
        <v>2970</v>
      </c>
      <c r="D2760" s="24" t="s">
        <v>397</v>
      </c>
      <c r="E2760" s="24">
        <v>28.2</v>
      </c>
      <c r="F2760" s="24">
        <v>1.48</v>
      </c>
    </row>
    <row r="2761" s="24" customFormat="1" spans="1:6">
      <c r="A2761" s="24" t="s">
        <v>142</v>
      </c>
      <c r="B2761" s="24" t="str">
        <f>"002139"</f>
        <v>002139</v>
      </c>
      <c r="C2761" s="24" t="s">
        <v>2971</v>
      </c>
      <c r="D2761" s="24" t="s">
        <v>152</v>
      </c>
      <c r="E2761" s="24">
        <v>28.14</v>
      </c>
      <c r="F2761" s="24">
        <v>2.65</v>
      </c>
    </row>
    <row r="2762" s="24" customFormat="1" spans="1:6">
      <c r="A2762" s="24" t="s">
        <v>140</v>
      </c>
      <c r="B2762" s="24" t="str">
        <f>"603033"</f>
        <v>603033</v>
      </c>
      <c r="C2762" s="24" t="s">
        <v>2972</v>
      </c>
      <c r="D2762" s="24" t="s">
        <v>644</v>
      </c>
      <c r="E2762" s="24">
        <v>28.11</v>
      </c>
      <c r="F2762" s="24">
        <v>2.35</v>
      </c>
    </row>
    <row r="2763" s="24" customFormat="1" spans="1:6">
      <c r="A2763" s="24" t="s">
        <v>142</v>
      </c>
      <c r="B2763" s="24" t="str">
        <f>"000415"</f>
        <v>000415</v>
      </c>
      <c r="C2763" s="24" t="s">
        <v>2973</v>
      </c>
      <c r="D2763" s="24" t="s">
        <v>608</v>
      </c>
      <c r="E2763" s="24">
        <v>28.06</v>
      </c>
      <c r="F2763" s="24">
        <v>0.66</v>
      </c>
    </row>
    <row r="2764" s="24" customFormat="1" spans="1:6">
      <c r="A2764" s="24" t="s">
        <v>142</v>
      </c>
      <c r="B2764" s="24" t="str">
        <f>"300209"</f>
        <v>300209</v>
      </c>
      <c r="C2764" s="24" t="s">
        <v>2974</v>
      </c>
      <c r="D2764" s="24" t="s">
        <v>159</v>
      </c>
      <c r="E2764" s="24">
        <v>28.04</v>
      </c>
      <c r="F2764" s="24">
        <v>2.4</v>
      </c>
    </row>
    <row r="2765" s="24" customFormat="1" spans="1:6">
      <c r="A2765" s="24" t="s">
        <v>140</v>
      </c>
      <c r="B2765" s="24" t="str">
        <f>"600887"</f>
        <v>600887</v>
      </c>
      <c r="C2765" s="24" t="s">
        <v>87</v>
      </c>
      <c r="D2765" s="24" t="s">
        <v>190</v>
      </c>
      <c r="E2765" s="24">
        <v>28.03</v>
      </c>
      <c r="F2765" s="24">
        <v>7.59</v>
      </c>
    </row>
    <row r="2766" s="24" customFormat="1" spans="1:6">
      <c r="A2766" s="24" t="s">
        <v>142</v>
      </c>
      <c r="B2766" s="24" t="str">
        <f>"000023"</f>
        <v>000023</v>
      </c>
      <c r="C2766" s="24" t="s">
        <v>2975</v>
      </c>
      <c r="D2766" s="24" t="s">
        <v>667</v>
      </c>
      <c r="E2766" s="24">
        <v>28.01</v>
      </c>
      <c r="F2766" s="24">
        <v>3.31</v>
      </c>
    </row>
    <row r="2767" s="24" customFormat="1" spans="1:6">
      <c r="A2767" s="24" t="s">
        <v>140</v>
      </c>
      <c r="B2767" s="24" t="str">
        <f>"603811"</f>
        <v>603811</v>
      </c>
      <c r="C2767" s="24" t="s">
        <v>2976</v>
      </c>
      <c r="D2767" s="24" t="s">
        <v>464</v>
      </c>
      <c r="E2767" s="24">
        <v>27.98</v>
      </c>
      <c r="F2767" s="24">
        <v>4.5</v>
      </c>
    </row>
    <row r="2768" s="24" customFormat="1" spans="1:6">
      <c r="A2768" s="24" t="s">
        <v>140</v>
      </c>
      <c r="B2768" s="24" t="str">
        <f>"600298"</f>
        <v>600298</v>
      </c>
      <c r="C2768" s="24" t="s">
        <v>2977</v>
      </c>
      <c r="D2768" s="24" t="s">
        <v>190</v>
      </c>
      <c r="E2768" s="24">
        <v>27.97</v>
      </c>
      <c r="F2768" s="24">
        <v>4.74</v>
      </c>
    </row>
    <row r="2769" s="24" customFormat="1" spans="1:6">
      <c r="A2769" s="24" t="s">
        <v>142</v>
      </c>
      <c r="B2769" s="24" t="str">
        <f>"300755"</f>
        <v>300755</v>
      </c>
      <c r="C2769" s="24" t="s">
        <v>2978</v>
      </c>
      <c r="D2769" s="24" t="s">
        <v>361</v>
      </c>
      <c r="E2769" s="24">
        <v>27.93</v>
      </c>
      <c r="F2769" s="24">
        <v>3.21</v>
      </c>
    </row>
    <row r="2770" s="24" customFormat="1" spans="1:6">
      <c r="A2770" s="24" t="s">
        <v>142</v>
      </c>
      <c r="B2770" s="24" t="str">
        <f>"002599"</f>
        <v>002599</v>
      </c>
      <c r="C2770" s="24" t="s">
        <v>2979</v>
      </c>
      <c r="D2770" s="24" t="s">
        <v>214</v>
      </c>
      <c r="E2770" s="24">
        <v>27.92</v>
      </c>
      <c r="F2770" s="24">
        <v>2.18</v>
      </c>
    </row>
    <row r="2771" s="24" customFormat="1" spans="1:6">
      <c r="A2771" s="24" t="s">
        <v>140</v>
      </c>
      <c r="B2771" s="24" t="str">
        <f>"601918"</f>
        <v>601918</v>
      </c>
      <c r="C2771" s="24" t="s">
        <v>2980</v>
      </c>
      <c r="D2771" s="24" t="s">
        <v>401</v>
      </c>
      <c r="E2771" s="24">
        <v>27.9</v>
      </c>
      <c r="F2771" s="24">
        <v>1.02</v>
      </c>
    </row>
    <row r="2772" s="24" customFormat="1" spans="1:6">
      <c r="A2772" s="24" t="s">
        <v>140</v>
      </c>
      <c r="B2772" s="24" t="str">
        <f>"603890"</f>
        <v>603890</v>
      </c>
      <c r="C2772" s="24" t="s">
        <v>2981</v>
      </c>
      <c r="D2772" s="24" t="s">
        <v>352</v>
      </c>
      <c r="E2772" s="24">
        <v>27.89</v>
      </c>
      <c r="F2772" s="24">
        <v>1.88</v>
      </c>
    </row>
    <row r="2773" s="24" customFormat="1" spans="1:6">
      <c r="A2773" s="24" t="s">
        <v>142</v>
      </c>
      <c r="B2773" s="24" t="str">
        <f>"000034"</f>
        <v>000034</v>
      </c>
      <c r="C2773" s="24" t="s">
        <v>2982</v>
      </c>
      <c r="D2773" s="24" t="s">
        <v>152</v>
      </c>
      <c r="E2773" s="24">
        <v>27.86</v>
      </c>
      <c r="F2773" s="24">
        <v>4.76</v>
      </c>
    </row>
    <row r="2774" s="24" customFormat="1" spans="1:6">
      <c r="A2774" s="24" t="s">
        <v>142</v>
      </c>
      <c r="B2774" s="24" t="str">
        <f>"300487"</f>
        <v>300487</v>
      </c>
      <c r="C2774" s="24" t="s">
        <v>2983</v>
      </c>
      <c r="D2774" s="24" t="s">
        <v>228</v>
      </c>
      <c r="E2774" s="24">
        <v>27.82</v>
      </c>
      <c r="F2774" s="24">
        <v>6.95</v>
      </c>
    </row>
    <row r="2775" s="24" customFormat="1" spans="1:6">
      <c r="A2775" s="24" t="s">
        <v>142</v>
      </c>
      <c r="B2775" s="24" t="str">
        <f>"002718"</f>
        <v>002718</v>
      </c>
      <c r="C2775" s="24" t="s">
        <v>2984</v>
      </c>
      <c r="D2775" s="24" t="s">
        <v>573</v>
      </c>
      <c r="E2775" s="24">
        <v>27.81</v>
      </c>
      <c r="F2775" s="24">
        <v>1.59</v>
      </c>
    </row>
    <row r="2776" s="24" customFormat="1" spans="1:6">
      <c r="A2776" s="24" t="s">
        <v>142</v>
      </c>
      <c r="B2776" s="24" t="str">
        <f>"002632"</f>
        <v>002632</v>
      </c>
      <c r="C2776" s="24" t="s">
        <v>2985</v>
      </c>
      <c r="D2776" s="24" t="s">
        <v>228</v>
      </c>
      <c r="E2776" s="24">
        <v>27.81</v>
      </c>
      <c r="F2776" s="24">
        <v>2.36</v>
      </c>
    </row>
    <row r="2777" s="24" customFormat="1" spans="1:6">
      <c r="A2777" s="24" t="s">
        <v>142</v>
      </c>
      <c r="B2777" s="24" t="str">
        <f>"002860"</f>
        <v>002860</v>
      </c>
      <c r="C2777" s="24" t="s">
        <v>2986</v>
      </c>
      <c r="D2777" s="24" t="s">
        <v>251</v>
      </c>
      <c r="E2777" s="24">
        <v>27.8</v>
      </c>
      <c r="F2777" s="24">
        <v>3.32</v>
      </c>
    </row>
    <row r="2778" s="24" customFormat="1" spans="1:6">
      <c r="A2778" s="24" t="s">
        <v>140</v>
      </c>
      <c r="B2778" s="24" t="str">
        <f>"603900"</f>
        <v>603900</v>
      </c>
      <c r="C2778" s="24" t="s">
        <v>2987</v>
      </c>
      <c r="D2778" s="24" t="s">
        <v>161</v>
      </c>
      <c r="E2778" s="24">
        <v>27.8</v>
      </c>
      <c r="F2778" s="24">
        <v>1.17</v>
      </c>
    </row>
    <row r="2779" s="24" customFormat="1" spans="1:6">
      <c r="A2779" s="24" t="s">
        <v>142</v>
      </c>
      <c r="B2779" s="24" t="str">
        <f>"300258"</f>
        <v>300258</v>
      </c>
      <c r="C2779" s="24" t="s">
        <v>2988</v>
      </c>
      <c r="D2779" s="24" t="s">
        <v>204</v>
      </c>
      <c r="E2779" s="24">
        <v>27.76</v>
      </c>
      <c r="F2779" s="24">
        <v>2.53</v>
      </c>
    </row>
    <row r="2780" s="24" customFormat="1" spans="1:6">
      <c r="A2780" s="24" t="s">
        <v>140</v>
      </c>
      <c r="B2780" s="24" t="str">
        <f>"603369"</f>
        <v>603369</v>
      </c>
      <c r="C2780" s="24" t="s">
        <v>85</v>
      </c>
      <c r="D2780" s="24" t="s">
        <v>309</v>
      </c>
      <c r="E2780" s="24">
        <v>27.73</v>
      </c>
      <c r="F2780" s="24">
        <v>5.46</v>
      </c>
    </row>
    <row r="2781" s="24" customFormat="1" spans="1:6">
      <c r="A2781" s="24" t="s">
        <v>140</v>
      </c>
      <c r="B2781" s="24" t="str">
        <f>"603043"</f>
        <v>603043</v>
      </c>
      <c r="C2781" s="24" t="s">
        <v>2989</v>
      </c>
      <c r="D2781" s="24" t="s">
        <v>190</v>
      </c>
      <c r="E2781" s="24">
        <v>27.72</v>
      </c>
      <c r="F2781" s="24">
        <v>5.22</v>
      </c>
    </row>
    <row r="2782" s="24" customFormat="1" spans="1:6">
      <c r="A2782" s="24" t="s">
        <v>140</v>
      </c>
      <c r="B2782" s="24" t="str">
        <f>"600009"</f>
        <v>600009</v>
      </c>
      <c r="C2782" s="24" t="s">
        <v>2990</v>
      </c>
      <c r="D2782" s="24" t="s">
        <v>1016</v>
      </c>
      <c r="E2782" s="24">
        <v>27.66</v>
      </c>
      <c r="F2782" s="24">
        <v>4.5</v>
      </c>
    </row>
    <row r="2783" s="24" customFormat="1" spans="1:6">
      <c r="A2783" s="24" t="s">
        <v>142</v>
      </c>
      <c r="B2783" s="24" t="str">
        <f>"300214"</f>
        <v>300214</v>
      </c>
      <c r="C2783" s="24" t="s">
        <v>2991</v>
      </c>
      <c r="D2783" s="24" t="s">
        <v>256</v>
      </c>
      <c r="E2783" s="24">
        <v>27.63</v>
      </c>
      <c r="F2783" s="24">
        <v>2.04</v>
      </c>
    </row>
    <row r="2784" s="24" customFormat="1" spans="1:6">
      <c r="A2784" s="24" t="s">
        <v>142</v>
      </c>
      <c r="B2784" s="24" t="str">
        <f>"002532"</f>
        <v>002532</v>
      </c>
      <c r="C2784" s="24" t="s">
        <v>2992</v>
      </c>
      <c r="D2784" s="24" t="s">
        <v>165</v>
      </c>
      <c r="E2784" s="24">
        <v>27.63</v>
      </c>
      <c r="F2784" s="24">
        <v>2.32</v>
      </c>
    </row>
    <row r="2785" s="24" customFormat="1" spans="1:6">
      <c r="A2785" s="24" t="s">
        <v>142</v>
      </c>
      <c r="B2785" s="24" t="str">
        <f>"300625"</f>
        <v>300625</v>
      </c>
      <c r="C2785" s="24" t="s">
        <v>2993</v>
      </c>
      <c r="D2785" s="24" t="s">
        <v>184</v>
      </c>
      <c r="E2785" s="24">
        <v>27.62</v>
      </c>
      <c r="F2785" s="24">
        <v>2.01</v>
      </c>
    </row>
    <row r="2786" s="24" customFormat="1" spans="1:6">
      <c r="A2786" s="24" t="s">
        <v>142</v>
      </c>
      <c r="B2786" s="24" t="str">
        <f>"002424"</f>
        <v>002424</v>
      </c>
      <c r="C2786" s="24" t="s">
        <v>2994</v>
      </c>
      <c r="D2786" s="24" t="s">
        <v>388</v>
      </c>
      <c r="E2786" s="24">
        <v>27.6</v>
      </c>
      <c r="F2786" s="24">
        <v>3.23</v>
      </c>
    </row>
    <row r="2787" s="24" customFormat="1" spans="1:6">
      <c r="A2787" s="24" t="s">
        <v>140</v>
      </c>
      <c r="B2787" s="24" t="str">
        <f>"601579"</f>
        <v>601579</v>
      </c>
      <c r="C2787" s="24" t="s">
        <v>2995</v>
      </c>
      <c r="D2787" s="24" t="s">
        <v>309</v>
      </c>
      <c r="E2787" s="24">
        <v>27.58</v>
      </c>
      <c r="F2787" s="24">
        <v>1.37</v>
      </c>
    </row>
    <row r="2788" s="24" customFormat="1" spans="1:6">
      <c r="A2788" s="24" t="s">
        <v>140</v>
      </c>
      <c r="B2788" s="24" t="str">
        <f>"600739"</f>
        <v>600739</v>
      </c>
      <c r="C2788" s="24" t="s">
        <v>2996</v>
      </c>
      <c r="D2788" s="24" t="s">
        <v>267</v>
      </c>
      <c r="E2788" s="24">
        <v>27.51</v>
      </c>
      <c r="F2788" s="24">
        <v>1.25</v>
      </c>
    </row>
    <row r="2789" s="24" customFormat="1" spans="1:6">
      <c r="A2789" s="24" t="s">
        <v>142</v>
      </c>
      <c r="B2789" s="24" t="str">
        <f>"002956"</f>
        <v>002956</v>
      </c>
      <c r="C2789" s="24" t="s">
        <v>2997</v>
      </c>
      <c r="D2789" s="24" t="s">
        <v>190</v>
      </c>
      <c r="E2789" s="24">
        <v>27.51</v>
      </c>
      <c r="F2789" s="24">
        <v>2.79</v>
      </c>
    </row>
    <row r="2790" s="24" customFormat="1" spans="1:6">
      <c r="A2790" s="24" t="s">
        <v>140</v>
      </c>
      <c r="B2790" s="24" t="str">
        <f>"603730"</f>
        <v>603730</v>
      </c>
      <c r="C2790" s="24" t="s">
        <v>2998</v>
      </c>
      <c r="D2790" s="24" t="s">
        <v>204</v>
      </c>
      <c r="E2790" s="24">
        <v>27.49</v>
      </c>
      <c r="F2790" s="24">
        <v>5.22</v>
      </c>
    </row>
    <row r="2791" s="24" customFormat="1" spans="1:6">
      <c r="A2791" s="24" t="s">
        <v>142</v>
      </c>
      <c r="B2791" s="24" t="str">
        <f>"000089"</f>
        <v>000089</v>
      </c>
      <c r="C2791" s="24" t="s">
        <v>2999</v>
      </c>
      <c r="D2791" s="24" t="s">
        <v>1016</v>
      </c>
      <c r="E2791" s="24">
        <v>27.46</v>
      </c>
      <c r="F2791" s="24">
        <v>1.45</v>
      </c>
    </row>
    <row r="2792" s="24" customFormat="1" spans="1:6">
      <c r="A2792" s="24" t="s">
        <v>142</v>
      </c>
      <c r="B2792" s="24" t="str">
        <f>"002809"</f>
        <v>002809</v>
      </c>
      <c r="C2792" s="24" t="s">
        <v>3000</v>
      </c>
      <c r="D2792" s="24" t="s">
        <v>667</v>
      </c>
      <c r="E2792" s="24">
        <v>27.45</v>
      </c>
      <c r="F2792" s="24">
        <v>1.68</v>
      </c>
    </row>
    <row r="2793" s="24" customFormat="1" spans="1:6">
      <c r="A2793" s="24" t="s">
        <v>142</v>
      </c>
      <c r="B2793" s="24" t="str">
        <f>"002120"</f>
        <v>002120</v>
      </c>
      <c r="C2793" s="24" t="s">
        <v>3001</v>
      </c>
      <c r="D2793" s="24" t="s">
        <v>177</v>
      </c>
      <c r="E2793" s="24">
        <v>27.36</v>
      </c>
      <c r="F2793" s="24">
        <v>5.38</v>
      </c>
    </row>
    <row r="2794" s="24" customFormat="1" spans="1:6">
      <c r="A2794" s="24" t="s">
        <v>142</v>
      </c>
      <c r="B2794" s="24" t="str">
        <f>"000682"</f>
        <v>000682</v>
      </c>
      <c r="C2794" s="24" t="s">
        <v>3002</v>
      </c>
      <c r="D2794" s="24" t="s">
        <v>293</v>
      </c>
      <c r="E2794" s="24">
        <v>27.35</v>
      </c>
      <c r="F2794" s="24">
        <v>1.96</v>
      </c>
    </row>
    <row r="2795" s="24" customFormat="1" spans="1:6">
      <c r="A2795" s="24" t="s">
        <v>142</v>
      </c>
      <c r="B2795" s="24" t="str">
        <f>"300498"</f>
        <v>300498</v>
      </c>
      <c r="C2795" s="24" t="s">
        <v>3003</v>
      </c>
      <c r="D2795" s="24" t="s">
        <v>145</v>
      </c>
      <c r="E2795" s="24">
        <v>27.34</v>
      </c>
      <c r="F2795" s="24">
        <v>4.61</v>
      </c>
    </row>
    <row r="2796" s="24" customFormat="1" spans="1:6">
      <c r="A2796" s="24" t="s">
        <v>142</v>
      </c>
      <c r="B2796" s="24" t="str">
        <f>"002883"</f>
        <v>002883</v>
      </c>
      <c r="C2796" s="24" t="s">
        <v>3004</v>
      </c>
      <c r="D2796" s="24" t="s">
        <v>214</v>
      </c>
      <c r="E2796" s="24">
        <v>27.33</v>
      </c>
      <c r="F2796" s="24">
        <v>3.54</v>
      </c>
    </row>
    <row r="2797" s="24" customFormat="1" spans="1:6">
      <c r="A2797" s="24" t="s">
        <v>142</v>
      </c>
      <c r="B2797" s="24" t="str">
        <f>"300692"</f>
        <v>300692</v>
      </c>
      <c r="C2797" s="24" t="s">
        <v>3005</v>
      </c>
      <c r="D2797" s="24" t="s">
        <v>908</v>
      </c>
      <c r="E2797" s="24">
        <v>27.32</v>
      </c>
      <c r="F2797" s="24">
        <v>2.67</v>
      </c>
    </row>
    <row r="2798" s="24" customFormat="1" spans="1:6">
      <c r="A2798" s="24" t="s">
        <v>142</v>
      </c>
      <c r="B2798" s="24" t="str">
        <f>"300801"</f>
        <v>300801</v>
      </c>
      <c r="C2798" s="24" t="s">
        <v>3006</v>
      </c>
      <c r="D2798" s="24" t="s">
        <v>228</v>
      </c>
      <c r="E2798" s="24">
        <v>27.28</v>
      </c>
      <c r="F2798" s="24">
        <v>2.69</v>
      </c>
    </row>
    <row r="2799" s="24" customFormat="1" spans="1:6">
      <c r="A2799" s="24" t="s">
        <v>142</v>
      </c>
      <c r="B2799" s="24" t="str">
        <f>"002416"</f>
        <v>002416</v>
      </c>
      <c r="C2799" s="24" t="s">
        <v>3007</v>
      </c>
      <c r="D2799" s="24" t="s">
        <v>207</v>
      </c>
      <c r="E2799" s="24">
        <v>27.26</v>
      </c>
      <c r="F2799" s="24">
        <v>1.67</v>
      </c>
    </row>
    <row r="2800" s="24" customFormat="1" spans="1:6">
      <c r="A2800" s="24" t="s">
        <v>140</v>
      </c>
      <c r="B2800" s="24" t="str">
        <f>"900924"</f>
        <v>900924</v>
      </c>
      <c r="C2800" s="24" t="s">
        <v>3008</v>
      </c>
      <c r="D2800" s="24"/>
      <c r="E2800" s="24">
        <v>27.25</v>
      </c>
      <c r="F2800" s="24">
        <v>0.76</v>
      </c>
    </row>
    <row r="2801" s="24" customFormat="1" spans="1:6">
      <c r="A2801" s="24" t="s">
        <v>142</v>
      </c>
      <c r="B2801" s="24" t="str">
        <f>"002627"</f>
        <v>002627</v>
      </c>
      <c r="C2801" s="24" t="s">
        <v>3009</v>
      </c>
      <c r="D2801" s="24" t="s">
        <v>540</v>
      </c>
      <c r="E2801" s="24">
        <v>27.23</v>
      </c>
      <c r="F2801" s="24">
        <v>1.25</v>
      </c>
    </row>
    <row r="2802" s="24" customFormat="1" spans="1:6">
      <c r="A2802" s="24" t="s">
        <v>142</v>
      </c>
      <c r="B2802" s="24" t="str">
        <f>"300335"</f>
        <v>300335</v>
      </c>
      <c r="C2802" s="24" t="s">
        <v>3010</v>
      </c>
      <c r="D2802" s="24" t="s">
        <v>2551</v>
      </c>
      <c r="E2802" s="24">
        <v>27.17</v>
      </c>
      <c r="F2802" s="24">
        <v>1.69</v>
      </c>
    </row>
    <row r="2803" s="24" customFormat="1" spans="1:6">
      <c r="A2803" s="24" t="s">
        <v>142</v>
      </c>
      <c r="B2803" s="24" t="str">
        <f>"300809"</f>
        <v>300809</v>
      </c>
      <c r="C2803" s="24" t="s">
        <v>3011</v>
      </c>
      <c r="D2803" s="24" t="s">
        <v>165</v>
      </c>
      <c r="E2803" s="24">
        <v>27.12</v>
      </c>
      <c r="F2803" s="24">
        <v>2.69</v>
      </c>
    </row>
    <row r="2804" s="24" customFormat="1" spans="1:6">
      <c r="A2804" s="24" t="s">
        <v>142</v>
      </c>
      <c r="B2804" s="24" t="str">
        <f>"002412"</f>
        <v>002412</v>
      </c>
      <c r="C2804" s="24" t="s">
        <v>3012</v>
      </c>
      <c r="D2804" s="24" t="s">
        <v>388</v>
      </c>
      <c r="E2804" s="24">
        <v>27.11</v>
      </c>
      <c r="F2804" s="24">
        <v>3.18</v>
      </c>
    </row>
    <row r="2805" s="24" customFormat="1" spans="1:6">
      <c r="A2805" s="24" t="s">
        <v>142</v>
      </c>
      <c r="B2805" s="24" t="str">
        <f>"000563"</f>
        <v>000563</v>
      </c>
      <c r="C2805" s="24" t="s">
        <v>3013</v>
      </c>
      <c r="D2805" s="24" t="s">
        <v>442</v>
      </c>
      <c r="E2805" s="24">
        <v>27.1</v>
      </c>
      <c r="F2805" s="24">
        <v>1.39</v>
      </c>
    </row>
    <row r="2806" s="24" customFormat="1" spans="1:6">
      <c r="A2806" s="24" t="s">
        <v>142</v>
      </c>
      <c r="B2806" s="24" t="str">
        <f>"000736"</f>
        <v>000736</v>
      </c>
      <c r="C2806" s="24" t="s">
        <v>3014</v>
      </c>
      <c r="D2806" s="24" t="s">
        <v>244</v>
      </c>
      <c r="E2806" s="24">
        <v>27.09</v>
      </c>
      <c r="F2806" s="24">
        <v>1.47</v>
      </c>
    </row>
    <row r="2807" s="24" customFormat="1" spans="1:6">
      <c r="A2807" s="24" t="s">
        <v>142</v>
      </c>
      <c r="B2807" s="24" t="str">
        <f>"002820"</f>
        <v>002820</v>
      </c>
      <c r="C2807" s="24" t="s">
        <v>3015</v>
      </c>
      <c r="D2807" s="24" t="s">
        <v>190</v>
      </c>
      <c r="E2807" s="24">
        <v>27.08</v>
      </c>
      <c r="F2807" s="24">
        <v>1.98</v>
      </c>
    </row>
    <row r="2808" s="24" customFormat="1" spans="1:6">
      <c r="A2808" s="24" t="s">
        <v>140</v>
      </c>
      <c r="B2808" s="24" t="str">
        <f>"600328"</f>
        <v>600328</v>
      </c>
      <c r="C2808" s="24" t="s">
        <v>3016</v>
      </c>
      <c r="D2808" s="24" t="s">
        <v>256</v>
      </c>
      <c r="E2808" s="24">
        <v>27.07</v>
      </c>
      <c r="F2808" s="24">
        <v>2.86</v>
      </c>
    </row>
    <row r="2809" s="24" customFormat="1" spans="1:6">
      <c r="A2809" s="24" t="s">
        <v>142</v>
      </c>
      <c r="B2809" s="24" t="str">
        <f>"002028"</f>
        <v>002028</v>
      </c>
      <c r="C2809" s="24" t="s">
        <v>3017</v>
      </c>
      <c r="D2809" s="24" t="s">
        <v>293</v>
      </c>
      <c r="E2809" s="24">
        <v>27.07</v>
      </c>
      <c r="F2809" s="24">
        <v>2.16</v>
      </c>
    </row>
    <row r="2810" s="24" customFormat="1" spans="1:6">
      <c r="A2810" s="24" t="s">
        <v>140</v>
      </c>
      <c r="B2810" s="24" t="str">
        <f>"600865"</f>
        <v>600865</v>
      </c>
      <c r="C2810" s="24" t="s">
        <v>3018</v>
      </c>
      <c r="D2810" s="24" t="s">
        <v>148</v>
      </c>
      <c r="E2810" s="24">
        <v>27.06</v>
      </c>
      <c r="F2810" s="24">
        <v>1.22</v>
      </c>
    </row>
    <row r="2811" s="24" customFormat="1" spans="1:6">
      <c r="A2811" s="24" t="s">
        <v>142</v>
      </c>
      <c r="B2811" s="24" t="str">
        <f>"300505"</f>
        <v>300505</v>
      </c>
      <c r="C2811" s="24" t="s">
        <v>3019</v>
      </c>
      <c r="D2811" s="24" t="s">
        <v>256</v>
      </c>
      <c r="E2811" s="24">
        <v>27.04</v>
      </c>
      <c r="F2811" s="24">
        <v>2.21</v>
      </c>
    </row>
    <row r="2812" s="24" customFormat="1" spans="1:6">
      <c r="A2812" s="24" t="s">
        <v>142</v>
      </c>
      <c r="B2812" s="24" t="str">
        <f>"300571"</f>
        <v>300571</v>
      </c>
      <c r="C2812" s="24" t="s">
        <v>3020</v>
      </c>
      <c r="D2812" s="24" t="s">
        <v>336</v>
      </c>
      <c r="E2812" s="24">
        <v>27.04</v>
      </c>
      <c r="F2812" s="24">
        <v>8.95</v>
      </c>
    </row>
    <row r="2813" s="24" customFormat="1" spans="1:6">
      <c r="A2813" s="24" t="s">
        <v>142</v>
      </c>
      <c r="B2813" s="24" t="str">
        <f>"002300"</f>
        <v>002300</v>
      </c>
      <c r="C2813" s="24" t="s">
        <v>3021</v>
      </c>
      <c r="D2813" s="24" t="s">
        <v>251</v>
      </c>
      <c r="E2813" s="24">
        <v>27.04</v>
      </c>
      <c r="F2813" s="24">
        <v>2.61</v>
      </c>
    </row>
    <row r="2814" s="24" customFormat="1" spans="1:6">
      <c r="A2814" s="24" t="s">
        <v>140</v>
      </c>
      <c r="B2814" s="24" t="str">
        <f>"603557"</f>
        <v>603557</v>
      </c>
      <c r="C2814" s="24" t="s">
        <v>3022</v>
      </c>
      <c r="D2814" s="24" t="s">
        <v>161</v>
      </c>
      <c r="E2814" s="24">
        <v>27.03</v>
      </c>
      <c r="F2814" s="24">
        <v>2.52</v>
      </c>
    </row>
    <row r="2815" s="24" customFormat="1" spans="1:6">
      <c r="A2815" s="24" t="s">
        <v>140</v>
      </c>
      <c r="B2815" s="24" t="str">
        <f>"603906"</f>
        <v>603906</v>
      </c>
      <c r="C2815" s="24" t="s">
        <v>3023</v>
      </c>
      <c r="D2815" s="24" t="s">
        <v>228</v>
      </c>
      <c r="E2815" s="24">
        <v>27</v>
      </c>
      <c r="F2815" s="24">
        <v>2.59</v>
      </c>
    </row>
    <row r="2816" s="24" customFormat="1" spans="1:6">
      <c r="A2816" s="24" t="s">
        <v>140</v>
      </c>
      <c r="B2816" s="24" t="str">
        <f>"600649"</f>
        <v>600649</v>
      </c>
      <c r="C2816" s="24" t="s">
        <v>3024</v>
      </c>
      <c r="D2816" s="24" t="s">
        <v>244</v>
      </c>
      <c r="E2816" s="24">
        <v>26.99</v>
      </c>
      <c r="F2816" s="24">
        <v>0.65</v>
      </c>
    </row>
    <row r="2817" s="24" customFormat="1" spans="1:6">
      <c r="A2817" s="24" t="s">
        <v>140</v>
      </c>
      <c r="B2817" s="24" t="str">
        <f>"603992"</f>
        <v>603992</v>
      </c>
      <c r="C2817" s="24" t="s">
        <v>3025</v>
      </c>
      <c r="D2817" s="24" t="s">
        <v>200</v>
      </c>
      <c r="E2817" s="24">
        <v>26.98</v>
      </c>
      <c r="F2817" s="24">
        <v>3.82</v>
      </c>
    </row>
    <row r="2818" s="24" customFormat="1" spans="1:6">
      <c r="A2818" s="24" t="s">
        <v>140</v>
      </c>
      <c r="B2818" s="24" t="str">
        <f>"600163"</f>
        <v>600163</v>
      </c>
      <c r="C2818" s="24" t="s">
        <v>3026</v>
      </c>
      <c r="D2818" s="24" t="s">
        <v>188</v>
      </c>
      <c r="E2818" s="24">
        <v>26.94</v>
      </c>
      <c r="F2818" s="24">
        <v>1.67</v>
      </c>
    </row>
    <row r="2819" s="24" customFormat="1" spans="1:6">
      <c r="A2819" s="24" t="s">
        <v>142</v>
      </c>
      <c r="B2819" s="24" t="str">
        <f>"002724"</f>
        <v>002724</v>
      </c>
      <c r="C2819" s="24" t="s">
        <v>3027</v>
      </c>
      <c r="D2819" s="24" t="s">
        <v>251</v>
      </c>
      <c r="E2819" s="24">
        <v>26.88</v>
      </c>
      <c r="F2819" s="24">
        <v>2.52</v>
      </c>
    </row>
    <row r="2820" s="24" customFormat="1" spans="1:6">
      <c r="A2820" s="24" t="s">
        <v>140</v>
      </c>
      <c r="B2820" s="24" t="str">
        <f>"603667"</f>
        <v>603667</v>
      </c>
      <c r="C2820" s="24" t="s">
        <v>3028</v>
      </c>
      <c r="D2820" s="24" t="s">
        <v>165</v>
      </c>
      <c r="E2820" s="24">
        <v>26.86</v>
      </c>
      <c r="F2820" s="24">
        <v>1.85</v>
      </c>
    </row>
    <row r="2821" s="24" customFormat="1" spans="1:6">
      <c r="A2821" s="24" t="s">
        <v>140</v>
      </c>
      <c r="B2821" s="24" t="str">
        <f>"601015"</f>
        <v>601015</v>
      </c>
      <c r="C2821" s="24" t="s">
        <v>3029</v>
      </c>
      <c r="D2821" s="24" t="s">
        <v>401</v>
      </c>
      <c r="E2821" s="24">
        <v>26.86</v>
      </c>
      <c r="F2821" s="24">
        <v>0.81</v>
      </c>
    </row>
    <row r="2822" s="24" customFormat="1" spans="1:6">
      <c r="A2822" s="24" t="s">
        <v>140</v>
      </c>
      <c r="B2822" s="24" t="str">
        <f>"600380"</f>
        <v>600380</v>
      </c>
      <c r="C2822" s="24" t="s">
        <v>3030</v>
      </c>
      <c r="D2822" s="24" t="s">
        <v>464</v>
      </c>
      <c r="E2822" s="24">
        <v>26.8</v>
      </c>
      <c r="F2822" s="24">
        <v>2.19</v>
      </c>
    </row>
    <row r="2823" s="24" customFormat="1" spans="1:6">
      <c r="A2823" s="24" t="s">
        <v>140</v>
      </c>
      <c r="B2823" s="24" t="str">
        <f>"601619"</f>
        <v>601619</v>
      </c>
      <c r="C2823" s="24" t="s">
        <v>3031</v>
      </c>
      <c r="D2823" s="24" t="s">
        <v>188</v>
      </c>
      <c r="E2823" s="24">
        <v>26.79</v>
      </c>
      <c r="F2823" s="24">
        <v>2.11</v>
      </c>
    </row>
    <row r="2824" s="24" customFormat="1" spans="1:6">
      <c r="A2824" s="24" t="s">
        <v>140</v>
      </c>
      <c r="B2824" s="24" t="str">
        <f>"603885"</f>
        <v>603885</v>
      </c>
      <c r="C2824" s="24" t="s">
        <v>3032</v>
      </c>
      <c r="D2824" s="24" t="s">
        <v>423</v>
      </c>
      <c r="E2824" s="24">
        <v>26.78</v>
      </c>
      <c r="F2824" s="24">
        <v>1.9</v>
      </c>
    </row>
    <row r="2825" s="24" customFormat="1" spans="1:6">
      <c r="A2825" s="24" t="s">
        <v>140</v>
      </c>
      <c r="B2825" s="24" t="str">
        <f>"603848"</f>
        <v>603848</v>
      </c>
      <c r="C2825" s="24" t="s">
        <v>3033</v>
      </c>
      <c r="D2825" s="24" t="s">
        <v>200</v>
      </c>
      <c r="E2825" s="24">
        <v>26.77</v>
      </c>
      <c r="F2825" s="24">
        <v>4.27</v>
      </c>
    </row>
    <row r="2826" s="24" customFormat="1" spans="1:6">
      <c r="A2826" s="24" t="s">
        <v>140</v>
      </c>
      <c r="B2826" s="24" t="str">
        <f>"600874"</f>
        <v>600874</v>
      </c>
      <c r="C2826" s="24" t="s">
        <v>3034</v>
      </c>
      <c r="D2826" s="24" t="s">
        <v>908</v>
      </c>
      <c r="E2826" s="24">
        <v>26.76</v>
      </c>
      <c r="F2826" s="24">
        <v>1.62</v>
      </c>
    </row>
    <row r="2827" s="24" customFormat="1" spans="1:6">
      <c r="A2827" s="24" t="s">
        <v>142</v>
      </c>
      <c r="B2827" s="24" t="str">
        <f>"002803"</f>
        <v>002803</v>
      </c>
      <c r="C2827" s="24" t="s">
        <v>3035</v>
      </c>
      <c r="D2827" s="24" t="s">
        <v>214</v>
      </c>
      <c r="E2827" s="24">
        <v>26.74</v>
      </c>
      <c r="F2827" s="24">
        <v>6.95</v>
      </c>
    </row>
    <row r="2828" s="24" customFormat="1" spans="1:6">
      <c r="A2828" s="24" t="s">
        <v>142</v>
      </c>
      <c r="B2828" s="24" t="str">
        <f>"002002"</f>
        <v>002002</v>
      </c>
      <c r="C2828" s="24" t="s">
        <v>3036</v>
      </c>
      <c r="D2828" s="24" t="s">
        <v>228</v>
      </c>
      <c r="E2828" s="24">
        <v>26.74</v>
      </c>
      <c r="F2828" s="24">
        <v>1.62</v>
      </c>
    </row>
    <row r="2829" s="24" customFormat="1" spans="1:6">
      <c r="A2829" s="24" t="s">
        <v>142</v>
      </c>
      <c r="B2829" s="24" t="str">
        <f>"000703"</f>
        <v>000703</v>
      </c>
      <c r="C2829" s="24" t="s">
        <v>3037</v>
      </c>
      <c r="D2829" s="24" t="s">
        <v>302</v>
      </c>
      <c r="E2829" s="24">
        <v>26.73</v>
      </c>
      <c r="F2829" s="24">
        <v>1.7</v>
      </c>
    </row>
    <row r="2830" s="24" customFormat="1" spans="1:6">
      <c r="A2830" s="24" t="s">
        <v>142</v>
      </c>
      <c r="B2830" s="24" t="str">
        <f>"002332"</f>
        <v>002332</v>
      </c>
      <c r="C2830" s="24" t="s">
        <v>3038</v>
      </c>
      <c r="D2830" s="24" t="s">
        <v>464</v>
      </c>
      <c r="E2830" s="24">
        <v>26.73</v>
      </c>
      <c r="F2830" s="24">
        <v>4.36</v>
      </c>
    </row>
    <row r="2831" s="24" customFormat="1" spans="1:6">
      <c r="A2831" s="24" t="s">
        <v>142</v>
      </c>
      <c r="B2831" s="24" t="str">
        <f>"002271"</f>
        <v>002271</v>
      </c>
      <c r="C2831" s="24" t="s">
        <v>82</v>
      </c>
      <c r="D2831" s="24" t="s">
        <v>667</v>
      </c>
      <c r="E2831" s="24">
        <v>26.69</v>
      </c>
      <c r="F2831" s="24">
        <v>4.98</v>
      </c>
    </row>
    <row r="2832" s="24" customFormat="1" spans="1:6">
      <c r="A2832" s="24" t="s">
        <v>142</v>
      </c>
      <c r="B2832" s="24" t="str">
        <f>"300274"</f>
        <v>300274</v>
      </c>
      <c r="C2832" s="24" t="s">
        <v>3039</v>
      </c>
      <c r="D2832" s="24" t="s">
        <v>251</v>
      </c>
      <c r="E2832" s="24">
        <v>26.64</v>
      </c>
      <c r="F2832" s="24">
        <v>2.04</v>
      </c>
    </row>
    <row r="2833" s="24" customFormat="1" spans="1:6">
      <c r="A2833" s="24" t="s">
        <v>142</v>
      </c>
      <c r="B2833" s="24" t="str">
        <f>"300365"</f>
        <v>300365</v>
      </c>
      <c r="C2833" s="24" t="s">
        <v>3040</v>
      </c>
      <c r="D2833" s="24" t="s">
        <v>156</v>
      </c>
      <c r="E2833" s="24">
        <v>26.6</v>
      </c>
      <c r="F2833" s="24">
        <v>3.86</v>
      </c>
    </row>
    <row r="2834" s="24" customFormat="1" spans="1:6">
      <c r="A2834" s="24" t="s">
        <v>142</v>
      </c>
      <c r="B2834" s="24" t="str">
        <f>"002757"</f>
        <v>002757</v>
      </c>
      <c r="C2834" s="24" t="s">
        <v>3041</v>
      </c>
      <c r="D2834" s="24" t="s">
        <v>173</v>
      </c>
      <c r="E2834" s="24">
        <v>26.58</v>
      </c>
      <c r="F2834" s="24">
        <v>4.13</v>
      </c>
    </row>
    <row r="2835" s="24" customFormat="1" spans="1:6">
      <c r="A2835" s="24" t="s">
        <v>142</v>
      </c>
      <c r="B2835" s="24" t="str">
        <f>"002001"</f>
        <v>002001</v>
      </c>
      <c r="C2835" s="24" t="s">
        <v>3042</v>
      </c>
      <c r="D2835" s="24" t="s">
        <v>997</v>
      </c>
      <c r="E2835" s="24">
        <v>26.58</v>
      </c>
      <c r="F2835" s="24">
        <v>3.35</v>
      </c>
    </row>
    <row r="2836" s="24" customFormat="1" spans="1:6">
      <c r="A2836" s="24" t="s">
        <v>140</v>
      </c>
      <c r="B2836" s="24" t="str">
        <f>"603356"</f>
        <v>603356</v>
      </c>
      <c r="C2836" s="24" t="s">
        <v>3043</v>
      </c>
      <c r="D2836" s="24" t="s">
        <v>173</v>
      </c>
      <c r="E2836" s="24">
        <v>26.57</v>
      </c>
      <c r="F2836" s="24">
        <v>2.41</v>
      </c>
    </row>
    <row r="2837" s="24" customFormat="1" spans="1:6">
      <c r="A2837" s="24" t="s">
        <v>142</v>
      </c>
      <c r="B2837" s="24" t="str">
        <f>"300758"</f>
        <v>300758</v>
      </c>
      <c r="C2837" s="24" t="s">
        <v>3044</v>
      </c>
      <c r="D2837" s="24" t="s">
        <v>256</v>
      </c>
      <c r="E2837" s="24">
        <v>26.55</v>
      </c>
      <c r="F2837" s="24">
        <v>2.9</v>
      </c>
    </row>
    <row r="2838" s="24" customFormat="1" spans="1:6">
      <c r="A2838" s="24" t="s">
        <v>142</v>
      </c>
      <c r="B2838" s="24" t="str">
        <f>"300778"</f>
        <v>300778</v>
      </c>
      <c r="C2838" s="24" t="s">
        <v>3045</v>
      </c>
      <c r="D2838" s="24" t="s">
        <v>214</v>
      </c>
      <c r="E2838" s="24">
        <v>26.55</v>
      </c>
      <c r="F2838" s="24">
        <v>3.14</v>
      </c>
    </row>
    <row r="2839" s="24" customFormat="1" spans="1:6">
      <c r="A2839" s="24" t="s">
        <v>140</v>
      </c>
      <c r="B2839" s="24" t="str">
        <f>"603590"</f>
        <v>603590</v>
      </c>
      <c r="C2839" s="24" t="s">
        <v>3046</v>
      </c>
      <c r="D2839" s="24" t="s">
        <v>464</v>
      </c>
      <c r="E2839" s="24">
        <v>26.44</v>
      </c>
      <c r="F2839" s="24">
        <v>2.12</v>
      </c>
    </row>
    <row r="2840" s="24" customFormat="1" spans="1:6">
      <c r="A2840" s="24" t="s">
        <v>140</v>
      </c>
      <c r="B2840" s="24" t="str">
        <f>"600977"</f>
        <v>600977</v>
      </c>
      <c r="C2840" s="24" t="s">
        <v>3047</v>
      </c>
      <c r="D2840" s="24" t="s">
        <v>170</v>
      </c>
      <c r="E2840" s="24">
        <v>26.44</v>
      </c>
      <c r="F2840" s="24">
        <v>2.12</v>
      </c>
    </row>
    <row r="2841" s="24" customFormat="1" spans="1:6">
      <c r="A2841" s="24" t="s">
        <v>142</v>
      </c>
      <c r="B2841" s="24" t="str">
        <f>"000411"</f>
        <v>000411</v>
      </c>
      <c r="C2841" s="24" t="s">
        <v>3048</v>
      </c>
      <c r="D2841" s="24" t="s">
        <v>584</v>
      </c>
      <c r="E2841" s="24">
        <v>26.43</v>
      </c>
      <c r="F2841" s="24">
        <v>2.21</v>
      </c>
    </row>
    <row r="2842" s="24" customFormat="1" spans="1:6">
      <c r="A2842" s="24" t="s">
        <v>140</v>
      </c>
      <c r="B2842" s="24" t="str">
        <f>"603527"</f>
        <v>603527</v>
      </c>
      <c r="C2842" s="24" t="s">
        <v>3049</v>
      </c>
      <c r="D2842" s="24" t="s">
        <v>167</v>
      </c>
      <c r="E2842" s="24">
        <v>26.42</v>
      </c>
      <c r="F2842" s="24">
        <v>2.4</v>
      </c>
    </row>
    <row r="2843" s="24" customFormat="1" spans="1:6">
      <c r="A2843" s="24" t="s">
        <v>142</v>
      </c>
      <c r="B2843" s="24" t="str">
        <f>"000810"</f>
        <v>000810</v>
      </c>
      <c r="C2843" s="24" t="s">
        <v>3050</v>
      </c>
      <c r="D2843" s="24" t="s">
        <v>184</v>
      </c>
      <c r="E2843" s="24">
        <v>26.36</v>
      </c>
      <c r="F2843" s="24">
        <v>4.19</v>
      </c>
    </row>
    <row r="2844" s="24" customFormat="1" spans="1:6">
      <c r="A2844" s="24" t="s">
        <v>142</v>
      </c>
      <c r="B2844" s="24" t="str">
        <f>"000728"</f>
        <v>000728</v>
      </c>
      <c r="C2844" s="24" t="s">
        <v>3051</v>
      </c>
      <c r="D2844" s="24" t="s">
        <v>714</v>
      </c>
      <c r="E2844" s="24">
        <v>26.31</v>
      </c>
      <c r="F2844" s="24">
        <v>1.11</v>
      </c>
    </row>
    <row r="2845" s="24" customFormat="1" spans="1:6">
      <c r="A2845" s="24" t="s">
        <v>140</v>
      </c>
      <c r="B2845" s="24" t="str">
        <f>"603217"</f>
        <v>603217</v>
      </c>
      <c r="C2845" s="24" t="s">
        <v>3052</v>
      </c>
      <c r="D2845" s="24" t="s">
        <v>228</v>
      </c>
      <c r="E2845" s="24">
        <v>26.27</v>
      </c>
      <c r="F2845" s="24">
        <v>1.84</v>
      </c>
    </row>
    <row r="2846" s="24" customFormat="1" spans="1:6">
      <c r="A2846" s="24" t="s">
        <v>142</v>
      </c>
      <c r="B2846" s="24" t="str">
        <f>"300519"</f>
        <v>300519</v>
      </c>
      <c r="C2846" s="24" t="s">
        <v>3053</v>
      </c>
      <c r="D2846" s="24" t="s">
        <v>388</v>
      </c>
      <c r="E2846" s="24">
        <v>26.25</v>
      </c>
      <c r="F2846" s="24">
        <v>2.87</v>
      </c>
    </row>
    <row r="2847" s="24" customFormat="1" spans="1:6">
      <c r="A2847" s="24" t="s">
        <v>140</v>
      </c>
      <c r="B2847" s="24" t="str">
        <f>"900904"</f>
        <v>900904</v>
      </c>
      <c r="C2847" s="24" t="s">
        <v>3054</v>
      </c>
      <c r="D2847" s="24"/>
      <c r="E2847" s="24">
        <v>26.22</v>
      </c>
      <c r="F2847" s="24">
        <v>1.54</v>
      </c>
    </row>
    <row r="2848" s="24" customFormat="1" spans="1:6">
      <c r="A2848" s="24" t="s">
        <v>140</v>
      </c>
      <c r="B2848" s="24" t="str">
        <f>"603823"</f>
        <v>603823</v>
      </c>
      <c r="C2848" s="24" t="s">
        <v>3055</v>
      </c>
      <c r="D2848" s="24" t="s">
        <v>228</v>
      </c>
      <c r="E2848" s="24">
        <v>26.22</v>
      </c>
      <c r="F2848" s="24">
        <v>3.36</v>
      </c>
    </row>
    <row r="2849" s="24" customFormat="1" spans="1:6">
      <c r="A2849" s="24" t="s">
        <v>142</v>
      </c>
      <c r="B2849" s="24" t="str">
        <f>"000541"</f>
        <v>000541</v>
      </c>
      <c r="C2849" s="24" t="s">
        <v>3056</v>
      </c>
      <c r="D2849" s="24" t="s">
        <v>184</v>
      </c>
      <c r="E2849" s="24">
        <v>26.2</v>
      </c>
      <c r="F2849" s="24">
        <v>1.5</v>
      </c>
    </row>
    <row r="2850" s="24" customFormat="1" spans="1:6">
      <c r="A2850" s="24" t="s">
        <v>140</v>
      </c>
      <c r="B2850" s="24" t="str">
        <f>"600875"</f>
        <v>600875</v>
      </c>
      <c r="C2850" s="24" t="s">
        <v>3057</v>
      </c>
      <c r="D2850" s="24" t="s">
        <v>293</v>
      </c>
      <c r="E2850" s="24">
        <v>26.2</v>
      </c>
      <c r="F2850" s="24">
        <v>0.92</v>
      </c>
    </row>
    <row r="2851" s="24" customFormat="1" spans="1:6">
      <c r="A2851" s="24" t="s">
        <v>142</v>
      </c>
      <c r="B2851" s="24" t="str">
        <f>"002831"</f>
        <v>002831</v>
      </c>
      <c r="C2851" s="24" t="s">
        <v>3058</v>
      </c>
      <c r="D2851" s="24" t="s">
        <v>290</v>
      </c>
      <c r="E2851" s="24">
        <v>26.19</v>
      </c>
      <c r="F2851" s="24">
        <v>4.2</v>
      </c>
    </row>
    <row r="2852" s="24" customFormat="1" spans="1:6">
      <c r="A2852" s="24" t="s">
        <v>142</v>
      </c>
      <c r="B2852" s="24" t="str">
        <f>"002117"</f>
        <v>002117</v>
      </c>
      <c r="C2852" s="24" t="s">
        <v>3059</v>
      </c>
      <c r="D2852" s="24" t="s">
        <v>214</v>
      </c>
      <c r="E2852" s="24">
        <v>26.19</v>
      </c>
      <c r="F2852" s="24">
        <v>4.06</v>
      </c>
    </row>
    <row r="2853" s="24" customFormat="1" spans="1:6">
      <c r="A2853" s="24" t="s">
        <v>142</v>
      </c>
      <c r="B2853" s="24" t="str">
        <f>"300406"</f>
        <v>300406</v>
      </c>
      <c r="C2853" s="24" t="s">
        <v>3060</v>
      </c>
      <c r="D2853" s="24" t="s">
        <v>326</v>
      </c>
      <c r="E2853" s="24">
        <v>26.18</v>
      </c>
      <c r="F2853" s="24">
        <v>5.14</v>
      </c>
    </row>
    <row r="2854" s="24" customFormat="1" spans="1:6">
      <c r="A2854" s="24" t="s">
        <v>142</v>
      </c>
      <c r="B2854" s="24" t="str">
        <f>"300490"</f>
        <v>300490</v>
      </c>
      <c r="C2854" s="24" t="s">
        <v>3061</v>
      </c>
      <c r="D2854" s="24" t="s">
        <v>251</v>
      </c>
      <c r="E2854" s="24">
        <v>26.17</v>
      </c>
      <c r="F2854" s="24">
        <v>2.42</v>
      </c>
    </row>
    <row r="2855" s="24" customFormat="1" spans="1:6">
      <c r="A2855" s="24" t="s">
        <v>140</v>
      </c>
      <c r="B2855" s="24" t="str">
        <f>"603055"</f>
        <v>603055</v>
      </c>
      <c r="C2855" s="24" t="s">
        <v>3062</v>
      </c>
      <c r="D2855" s="24" t="s">
        <v>302</v>
      </c>
      <c r="E2855" s="24">
        <v>26.16</v>
      </c>
      <c r="F2855" s="24">
        <v>1.74</v>
      </c>
    </row>
    <row r="2856" s="24" customFormat="1" spans="1:6">
      <c r="A2856" s="24" t="s">
        <v>140</v>
      </c>
      <c r="B2856" s="24" t="str">
        <f>"603650"</f>
        <v>603650</v>
      </c>
      <c r="C2856" s="24" t="s">
        <v>3063</v>
      </c>
      <c r="D2856" s="24" t="s">
        <v>256</v>
      </c>
      <c r="E2856" s="24">
        <v>26.13</v>
      </c>
      <c r="F2856" s="24">
        <v>4.47</v>
      </c>
    </row>
    <row r="2857" s="24" customFormat="1" spans="1:6">
      <c r="A2857" s="24" t="s">
        <v>142</v>
      </c>
      <c r="B2857" s="24" t="str">
        <f>"300652"</f>
        <v>300652</v>
      </c>
      <c r="C2857" s="24" t="s">
        <v>3064</v>
      </c>
      <c r="D2857" s="24" t="s">
        <v>204</v>
      </c>
      <c r="E2857" s="24">
        <v>26.12</v>
      </c>
      <c r="F2857" s="24">
        <v>2.2</v>
      </c>
    </row>
    <row r="2858" s="24" customFormat="1" spans="1:6">
      <c r="A2858" s="24" t="s">
        <v>142</v>
      </c>
      <c r="B2858" s="24" t="str">
        <f>"000731"</f>
        <v>000731</v>
      </c>
      <c r="C2858" s="24" t="s">
        <v>3065</v>
      </c>
      <c r="D2858" s="24" t="s">
        <v>278</v>
      </c>
      <c r="E2858" s="24">
        <v>26.1</v>
      </c>
      <c r="F2858" s="24">
        <v>1.01</v>
      </c>
    </row>
    <row r="2859" s="24" customFormat="1" spans="1:6">
      <c r="A2859" s="24" t="s">
        <v>142</v>
      </c>
      <c r="B2859" s="24" t="str">
        <f>"300632"</f>
        <v>300632</v>
      </c>
      <c r="C2859" s="24" t="s">
        <v>3066</v>
      </c>
      <c r="D2859" s="24" t="s">
        <v>230</v>
      </c>
      <c r="E2859" s="24">
        <v>26.06</v>
      </c>
      <c r="F2859" s="24">
        <v>6.29</v>
      </c>
    </row>
    <row r="2860" s="24" customFormat="1" spans="1:6">
      <c r="A2860" s="24" t="s">
        <v>142</v>
      </c>
      <c r="B2860" s="24" t="str">
        <f>"002889"</f>
        <v>002889</v>
      </c>
      <c r="C2860" s="24" t="s">
        <v>3067</v>
      </c>
      <c r="D2860" s="24" t="s">
        <v>177</v>
      </c>
      <c r="E2860" s="24">
        <v>26.02</v>
      </c>
      <c r="F2860" s="24">
        <v>2.09</v>
      </c>
    </row>
    <row r="2861" s="24" customFormat="1" spans="1:6">
      <c r="A2861" s="24" t="s">
        <v>142</v>
      </c>
      <c r="B2861" s="24" t="str">
        <f>"300719"</f>
        <v>300719</v>
      </c>
      <c r="C2861" s="24" t="s">
        <v>3068</v>
      </c>
      <c r="D2861" s="24" t="s">
        <v>395</v>
      </c>
      <c r="E2861" s="24">
        <v>25.99</v>
      </c>
      <c r="F2861" s="24">
        <v>2.79</v>
      </c>
    </row>
    <row r="2862" s="24" customFormat="1" spans="1:6">
      <c r="A2862" s="24" t="s">
        <v>142</v>
      </c>
      <c r="B2862" s="24" t="str">
        <f>"000960"</f>
        <v>000960</v>
      </c>
      <c r="C2862" s="24" t="s">
        <v>3069</v>
      </c>
      <c r="D2862" s="24" t="s">
        <v>167</v>
      </c>
      <c r="E2862" s="24">
        <v>25.97</v>
      </c>
      <c r="F2862" s="24">
        <v>1.32</v>
      </c>
    </row>
    <row r="2863" s="24" customFormat="1" spans="1:6">
      <c r="A2863" s="24" t="s">
        <v>140</v>
      </c>
      <c r="B2863" s="24" t="str">
        <f>"600735"</f>
        <v>600735</v>
      </c>
      <c r="C2863" s="24" t="s">
        <v>3070</v>
      </c>
      <c r="D2863" s="24" t="s">
        <v>333</v>
      </c>
      <c r="E2863" s="24">
        <v>25.96</v>
      </c>
      <c r="F2863" s="24">
        <v>2.53</v>
      </c>
    </row>
    <row r="2864" s="24" customFormat="1" spans="1:6">
      <c r="A2864" s="24" t="s">
        <v>142</v>
      </c>
      <c r="B2864" s="24" t="str">
        <f>"002879"</f>
        <v>002879</v>
      </c>
      <c r="C2864" s="24" t="s">
        <v>3071</v>
      </c>
      <c r="D2864" s="24" t="s">
        <v>251</v>
      </c>
      <c r="E2864" s="24">
        <v>25.95</v>
      </c>
      <c r="F2864" s="24">
        <v>2.13</v>
      </c>
    </row>
    <row r="2865" s="24" customFormat="1" spans="1:6">
      <c r="A2865" s="24" t="s">
        <v>140</v>
      </c>
      <c r="B2865" s="24" t="str">
        <f>"900920"</f>
        <v>900920</v>
      </c>
      <c r="C2865" s="24" t="s">
        <v>3072</v>
      </c>
      <c r="D2865" s="24"/>
      <c r="E2865" s="24">
        <v>25.91</v>
      </c>
      <c r="F2865" s="24">
        <v>0.67</v>
      </c>
    </row>
    <row r="2866" s="24" customFormat="1" spans="1:6">
      <c r="A2866" s="24" t="s">
        <v>142</v>
      </c>
      <c r="B2866" s="24" t="str">
        <f>"002274"</f>
        <v>002274</v>
      </c>
      <c r="C2866" s="24" t="s">
        <v>3073</v>
      </c>
      <c r="D2866" s="24" t="s">
        <v>278</v>
      </c>
      <c r="E2866" s="24">
        <v>25.91</v>
      </c>
      <c r="F2866" s="24">
        <v>2.28</v>
      </c>
    </row>
    <row r="2867" s="24" customFormat="1" spans="1:6">
      <c r="A2867" s="24" t="s">
        <v>142</v>
      </c>
      <c r="B2867" s="24" t="str">
        <f>"002616"</f>
        <v>002616</v>
      </c>
      <c r="C2867" s="24" t="s">
        <v>3074</v>
      </c>
      <c r="D2867" s="24" t="s">
        <v>184</v>
      </c>
      <c r="E2867" s="24">
        <v>25.9</v>
      </c>
      <c r="F2867" s="24">
        <v>2.7</v>
      </c>
    </row>
    <row r="2868" s="24" customFormat="1" spans="1:6">
      <c r="A2868" s="24" t="s">
        <v>140</v>
      </c>
      <c r="B2868" s="24" t="str">
        <f>"600864"</f>
        <v>600864</v>
      </c>
      <c r="C2868" s="24" t="s">
        <v>3075</v>
      </c>
      <c r="D2868" s="24" t="s">
        <v>450</v>
      </c>
      <c r="E2868" s="24">
        <v>25.88</v>
      </c>
      <c r="F2868" s="24">
        <v>1.06</v>
      </c>
    </row>
    <row r="2869" s="24" customFormat="1" spans="1:6">
      <c r="A2869" s="24" t="s">
        <v>140</v>
      </c>
      <c r="B2869" s="24" t="str">
        <f>"600559"</f>
        <v>600559</v>
      </c>
      <c r="C2869" s="24" t="s">
        <v>3076</v>
      </c>
      <c r="D2869" s="24" t="s">
        <v>309</v>
      </c>
      <c r="E2869" s="24">
        <v>25.86</v>
      </c>
      <c r="F2869" s="24">
        <v>3.4</v>
      </c>
    </row>
    <row r="2870" s="24" customFormat="1" spans="1:6">
      <c r="A2870" s="24" t="s">
        <v>140</v>
      </c>
      <c r="B2870" s="24" t="str">
        <f>"688196"</f>
        <v>688196</v>
      </c>
      <c r="C2870" s="24" t="s">
        <v>3077</v>
      </c>
      <c r="D2870" s="24" t="s">
        <v>2551</v>
      </c>
      <c r="E2870" s="24">
        <v>25.86</v>
      </c>
      <c r="F2870" s="24">
        <v>2.52</v>
      </c>
    </row>
    <row r="2871" s="24" customFormat="1" spans="1:6">
      <c r="A2871" s="24" t="s">
        <v>142</v>
      </c>
      <c r="B2871" s="24" t="str">
        <f>"002182"</f>
        <v>002182</v>
      </c>
      <c r="C2871" s="24" t="s">
        <v>3078</v>
      </c>
      <c r="D2871" s="24" t="s">
        <v>167</v>
      </c>
      <c r="E2871" s="24">
        <v>25.81</v>
      </c>
      <c r="F2871" s="24">
        <v>2.99</v>
      </c>
    </row>
    <row r="2872" s="24" customFormat="1" spans="1:6">
      <c r="A2872" s="24" t="s">
        <v>142</v>
      </c>
      <c r="B2872" s="24" t="str">
        <f>"000603"</f>
        <v>000603</v>
      </c>
      <c r="C2872" s="24" t="s">
        <v>3079</v>
      </c>
      <c r="D2872" s="24" t="s">
        <v>167</v>
      </c>
      <c r="E2872" s="24">
        <v>25.75</v>
      </c>
      <c r="F2872" s="24">
        <v>3.93</v>
      </c>
    </row>
    <row r="2873" s="24" customFormat="1" spans="1:6">
      <c r="A2873" s="24" t="s">
        <v>142</v>
      </c>
      <c r="B2873" s="24" t="str">
        <f>"002540"</f>
        <v>002540</v>
      </c>
      <c r="C2873" s="24" t="s">
        <v>3080</v>
      </c>
      <c r="D2873" s="24" t="s">
        <v>167</v>
      </c>
      <c r="E2873" s="24">
        <v>25.71</v>
      </c>
      <c r="F2873" s="24">
        <v>1.44</v>
      </c>
    </row>
    <row r="2874" s="24" customFormat="1" spans="1:6">
      <c r="A2874" s="24" t="s">
        <v>142</v>
      </c>
      <c r="B2874" s="24" t="str">
        <f>"002749"</f>
        <v>002749</v>
      </c>
      <c r="C2874" s="24" t="s">
        <v>3081</v>
      </c>
      <c r="D2874" s="24" t="s">
        <v>278</v>
      </c>
      <c r="E2874" s="24">
        <v>25.71</v>
      </c>
      <c r="F2874" s="24">
        <v>3.91</v>
      </c>
    </row>
    <row r="2875" s="24" customFormat="1" spans="1:6">
      <c r="A2875" s="24" t="s">
        <v>140</v>
      </c>
      <c r="B2875" s="24" t="str">
        <f>"603505"</f>
        <v>603505</v>
      </c>
      <c r="C2875" s="24" t="s">
        <v>3082</v>
      </c>
      <c r="D2875" s="24" t="s">
        <v>644</v>
      </c>
      <c r="E2875" s="24">
        <v>25.68</v>
      </c>
      <c r="F2875" s="24">
        <v>6.11</v>
      </c>
    </row>
    <row r="2876" s="24" customFormat="1" spans="1:6">
      <c r="A2876" s="24" t="s">
        <v>142</v>
      </c>
      <c r="B2876" s="24" t="str">
        <f>"000823"</f>
        <v>000823</v>
      </c>
      <c r="C2876" s="24" t="s">
        <v>3083</v>
      </c>
      <c r="D2876" s="24" t="s">
        <v>276</v>
      </c>
      <c r="E2876" s="24">
        <v>25.68</v>
      </c>
      <c r="F2876" s="24">
        <v>2.04</v>
      </c>
    </row>
    <row r="2877" s="24" customFormat="1" spans="1:6">
      <c r="A2877" s="24" t="s">
        <v>140</v>
      </c>
      <c r="B2877" s="24" t="str">
        <f>"603693"</f>
        <v>603693</v>
      </c>
      <c r="C2877" s="24" t="s">
        <v>3084</v>
      </c>
      <c r="D2877" s="24" t="s">
        <v>188</v>
      </c>
      <c r="E2877" s="24">
        <v>25.65</v>
      </c>
      <c r="F2877" s="24">
        <v>1.24</v>
      </c>
    </row>
    <row r="2878" s="24" customFormat="1" spans="1:6">
      <c r="A2878" s="24" t="s">
        <v>140</v>
      </c>
      <c r="B2878" s="24" t="str">
        <f>"600081"</f>
        <v>600081</v>
      </c>
      <c r="C2878" s="24" t="s">
        <v>3085</v>
      </c>
      <c r="D2878" s="24" t="s">
        <v>204</v>
      </c>
      <c r="E2878" s="24">
        <v>25.65</v>
      </c>
      <c r="F2878" s="24">
        <v>2.43</v>
      </c>
    </row>
    <row r="2879" s="24" customFormat="1" spans="1:6">
      <c r="A2879" s="24" t="s">
        <v>142</v>
      </c>
      <c r="B2879" s="24" t="str">
        <f>"300703"</f>
        <v>300703</v>
      </c>
      <c r="C2879" s="24" t="s">
        <v>3086</v>
      </c>
      <c r="D2879" s="24" t="s">
        <v>283</v>
      </c>
      <c r="E2879" s="24">
        <v>25.62</v>
      </c>
      <c r="F2879" s="24">
        <v>3.57</v>
      </c>
    </row>
    <row r="2880" s="24" customFormat="1" spans="1:6">
      <c r="A2880" s="24" t="s">
        <v>142</v>
      </c>
      <c r="B2880" s="24" t="str">
        <f>"300031"</f>
        <v>300031</v>
      </c>
      <c r="C2880" s="24" t="s">
        <v>3087</v>
      </c>
      <c r="D2880" s="24" t="s">
        <v>156</v>
      </c>
      <c r="E2880" s="24">
        <v>25.62</v>
      </c>
      <c r="F2880" s="24">
        <v>5.47</v>
      </c>
    </row>
    <row r="2881" s="24" customFormat="1" spans="1:6">
      <c r="A2881" s="24" t="s">
        <v>140</v>
      </c>
      <c r="B2881" s="24" t="str">
        <f>"688199"</f>
        <v>688199</v>
      </c>
      <c r="C2881" s="24" t="s">
        <v>3088</v>
      </c>
      <c r="D2881" s="24" t="s">
        <v>228</v>
      </c>
      <c r="E2881" s="24">
        <v>25.59</v>
      </c>
      <c r="F2881" s="24">
        <v>2.69</v>
      </c>
    </row>
    <row r="2882" s="24" customFormat="1" spans="1:6">
      <c r="A2882" s="24" t="s">
        <v>142</v>
      </c>
      <c r="B2882" s="24" t="str">
        <f>"002140"</f>
        <v>002140</v>
      </c>
      <c r="C2882" s="24" t="s">
        <v>3089</v>
      </c>
      <c r="D2882" s="24" t="s">
        <v>315</v>
      </c>
      <c r="E2882" s="24">
        <v>25.57</v>
      </c>
      <c r="F2882" s="24">
        <v>1.76</v>
      </c>
    </row>
    <row r="2883" s="24" customFormat="1" spans="1:6">
      <c r="A2883" s="24" t="s">
        <v>140</v>
      </c>
      <c r="B2883" s="24" t="str">
        <f>"601633"</f>
        <v>601633</v>
      </c>
      <c r="C2883" s="24" t="s">
        <v>3090</v>
      </c>
      <c r="D2883" s="24" t="s">
        <v>175</v>
      </c>
      <c r="E2883" s="24">
        <v>25.57</v>
      </c>
      <c r="F2883" s="24">
        <v>1.37</v>
      </c>
    </row>
    <row r="2884" s="24" customFormat="1" spans="1:6">
      <c r="A2884" s="24" t="s">
        <v>142</v>
      </c>
      <c r="B2884" s="24" t="str">
        <f>"300118"</f>
        <v>300118</v>
      </c>
      <c r="C2884" s="24" t="s">
        <v>3091</v>
      </c>
      <c r="D2884" s="24" t="s">
        <v>197</v>
      </c>
      <c r="E2884" s="24">
        <v>25.54</v>
      </c>
      <c r="F2884" s="24">
        <v>1.93</v>
      </c>
    </row>
    <row r="2885" s="24" customFormat="1" spans="1:6">
      <c r="A2885" s="24" t="s">
        <v>142</v>
      </c>
      <c r="B2885" s="24" t="str">
        <f>"000488"</f>
        <v>000488</v>
      </c>
      <c r="C2885" s="24" t="s">
        <v>3092</v>
      </c>
      <c r="D2885" s="24" t="s">
        <v>509</v>
      </c>
      <c r="E2885" s="24">
        <v>25.53</v>
      </c>
      <c r="F2885" s="24">
        <v>0.78</v>
      </c>
    </row>
    <row r="2886" s="24" customFormat="1" spans="1:6">
      <c r="A2886" s="24" t="s">
        <v>140</v>
      </c>
      <c r="B2886" s="24" t="str">
        <f>"600063"</f>
        <v>600063</v>
      </c>
      <c r="C2886" s="24" t="s">
        <v>3093</v>
      </c>
      <c r="D2886" s="24" t="s">
        <v>228</v>
      </c>
      <c r="E2886" s="24">
        <v>25.52</v>
      </c>
      <c r="F2886" s="24">
        <v>1.37</v>
      </c>
    </row>
    <row r="2887" s="24" customFormat="1" spans="1:6">
      <c r="A2887" s="24" t="s">
        <v>142</v>
      </c>
      <c r="B2887" s="24" t="str">
        <f>"000008"</f>
        <v>000008</v>
      </c>
      <c r="C2887" s="24" t="s">
        <v>3094</v>
      </c>
      <c r="D2887" s="24" t="s">
        <v>173</v>
      </c>
      <c r="E2887" s="24">
        <v>25.51</v>
      </c>
      <c r="F2887" s="24">
        <v>2.4</v>
      </c>
    </row>
    <row r="2888" s="24" customFormat="1" spans="1:6">
      <c r="A2888" s="24" t="s">
        <v>140</v>
      </c>
      <c r="B2888" s="24" t="str">
        <f>"600486"</f>
        <v>600486</v>
      </c>
      <c r="C2888" s="24" t="s">
        <v>3095</v>
      </c>
      <c r="D2888" s="24" t="s">
        <v>278</v>
      </c>
      <c r="E2888" s="24">
        <v>25.49</v>
      </c>
      <c r="F2888" s="24">
        <v>4.55</v>
      </c>
    </row>
    <row r="2889" s="24" customFormat="1" spans="1:6">
      <c r="A2889" s="24" t="s">
        <v>142</v>
      </c>
      <c r="B2889" s="24" t="str">
        <f>"002040"</f>
        <v>002040</v>
      </c>
      <c r="C2889" s="24" t="s">
        <v>3096</v>
      </c>
      <c r="D2889" s="24" t="s">
        <v>1016</v>
      </c>
      <c r="E2889" s="24">
        <v>25.49</v>
      </c>
      <c r="F2889" s="24">
        <v>1.13</v>
      </c>
    </row>
    <row r="2890" s="24" customFormat="1" spans="1:6">
      <c r="A2890" s="24" t="s">
        <v>142</v>
      </c>
      <c r="B2890" s="24" t="str">
        <f>"300470"</f>
        <v>300470</v>
      </c>
      <c r="C2890" s="24" t="s">
        <v>3097</v>
      </c>
      <c r="D2890" s="24" t="s">
        <v>165</v>
      </c>
      <c r="E2890" s="24">
        <v>25.47</v>
      </c>
      <c r="F2890" s="24">
        <v>4.46</v>
      </c>
    </row>
    <row r="2891" s="24" customFormat="1" spans="1:6">
      <c r="A2891" s="24" t="s">
        <v>142</v>
      </c>
      <c r="B2891" s="24" t="str">
        <f>"300193"</f>
        <v>300193</v>
      </c>
      <c r="C2891" s="24" t="s">
        <v>3098</v>
      </c>
      <c r="D2891" s="24" t="s">
        <v>173</v>
      </c>
      <c r="E2891" s="24">
        <v>25.44</v>
      </c>
      <c r="F2891" s="24">
        <v>1.75</v>
      </c>
    </row>
    <row r="2892" s="24" customFormat="1" spans="1:6">
      <c r="A2892" s="24" t="s">
        <v>142</v>
      </c>
      <c r="B2892" s="24" t="str">
        <f>"002449"</f>
        <v>002449</v>
      </c>
      <c r="C2892" s="24" t="s">
        <v>3099</v>
      </c>
      <c r="D2892" s="24" t="s">
        <v>230</v>
      </c>
      <c r="E2892" s="24">
        <v>25.44</v>
      </c>
      <c r="F2892" s="24">
        <v>2.39</v>
      </c>
    </row>
    <row r="2893" s="24" customFormat="1" spans="1:6">
      <c r="A2893" s="24" t="s">
        <v>142</v>
      </c>
      <c r="B2893" s="24" t="str">
        <f>"000813"</f>
        <v>000813</v>
      </c>
      <c r="C2893" s="24" t="s">
        <v>3100</v>
      </c>
      <c r="D2893" s="24" t="s">
        <v>464</v>
      </c>
      <c r="E2893" s="24">
        <v>25.42</v>
      </c>
      <c r="F2893" s="24">
        <v>2.31</v>
      </c>
    </row>
    <row r="2894" s="24" customFormat="1" spans="1:6">
      <c r="A2894" s="24" t="s">
        <v>140</v>
      </c>
      <c r="B2894" s="24" t="str">
        <f>"603059"</f>
        <v>603059</v>
      </c>
      <c r="C2894" s="24" t="s">
        <v>3101</v>
      </c>
      <c r="D2894" s="24" t="s">
        <v>333</v>
      </c>
      <c r="E2894" s="24">
        <v>25.41</v>
      </c>
      <c r="F2894" s="24">
        <v>2.52</v>
      </c>
    </row>
    <row r="2895" s="24" customFormat="1" spans="1:6">
      <c r="A2895" s="24" t="s">
        <v>140</v>
      </c>
      <c r="B2895" s="24" t="str">
        <f>"603380"</f>
        <v>603380</v>
      </c>
      <c r="C2895" s="24" t="s">
        <v>3102</v>
      </c>
      <c r="D2895" s="24" t="s">
        <v>152</v>
      </c>
      <c r="E2895" s="24">
        <v>25.4</v>
      </c>
      <c r="F2895" s="24">
        <v>3.09</v>
      </c>
    </row>
    <row r="2896" s="24" customFormat="1" spans="1:6">
      <c r="A2896" s="24" t="s">
        <v>142</v>
      </c>
      <c r="B2896" s="24" t="str">
        <f>"300420"</f>
        <v>300420</v>
      </c>
      <c r="C2896" s="24" t="s">
        <v>3103</v>
      </c>
      <c r="D2896" s="24" t="s">
        <v>165</v>
      </c>
      <c r="E2896" s="24">
        <v>25.4</v>
      </c>
      <c r="F2896" s="24">
        <v>3.47</v>
      </c>
    </row>
    <row r="2897" s="24" customFormat="1" spans="1:6">
      <c r="A2897" s="24" t="s">
        <v>142</v>
      </c>
      <c r="B2897" s="24" t="str">
        <f>"300286"</f>
        <v>300286</v>
      </c>
      <c r="C2897" s="24" t="s">
        <v>3104</v>
      </c>
      <c r="D2897" s="24" t="s">
        <v>251</v>
      </c>
      <c r="E2897" s="24">
        <v>25.39</v>
      </c>
      <c r="F2897" s="24">
        <v>3.08</v>
      </c>
    </row>
    <row r="2898" s="24" customFormat="1" spans="1:6">
      <c r="A2898" s="24" t="s">
        <v>142</v>
      </c>
      <c r="B2898" s="24" t="str">
        <f>"002158"</f>
        <v>002158</v>
      </c>
      <c r="C2898" s="24" t="s">
        <v>3105</v>
      </c>
      <c r="D2898" s="24" t="s">
        <v>165</v>
      </c>
      <c r="E2898" s="24">
        <v>25.36</v>
      </c>
      <c r="F2898" s="24">
        <v>2.3</v>
      </c>
    </row>
    <row r="2899" s="24" customFormat="1" spans="1:6">
      <c r="A2899" s="24" t="s">
        <v>142</v>
      </c>
      <c r="B2899" s="24" t="str">
        <f>"002215"</f>
        <v>002215</v>
      </c>
      <c r="C2899" s="24" t="s">
        <v>3106</v>
      </c>
      <c r="D2899" s="24" t="s">
        <v>278</v>
      </c>
      <c r="E2899" s="24">
        <v>25.35</v>
      </c>
      <c r="F2899" s="24">
        <v>2.76</v>
      </c>
    </row>
    <row r="2900" s="24" customFormat="1" spans="1:6">
      <c r="A2900" s="24" t="s">
        <v>142</v>
      </c>
      <c r="B2900" s="24" t="str">
        <f>"002438"</f>
        <v>002438</v>
      </c>
      <c r="C2900" s="24" t="s">
        <v>3107</v>
      </c>
      <c r="D2900" s="24" t="s">
        <v>165</v>
      </c>
      <c r="E2900" s="24">
        <v>25.33</v>
      </c>
      <c r="F2900" s="24">
        <v>2.1</v>
      </c>
    </row>
    <row r="2901" s="24" customFormat="1" spans="1:6">
      <c r="A2901" s="24" t="s">
        <v>142</v>
      </c>
      <c r="B2901" s="24" t="str">
        <f>"002849"</f>
        <v>002849</v>
      </c>
      <c r="C2901" s="24" t="s">
        <v>3108</v>
      </c>
      <c r="D2901" s="24" t="s">
        <v>251</v>
      </c>
      <c r="E2901" s="24">
        <v>25.31</v>
      </c>
      <c r="F2901" s="24">
        <v>2.45</v>
      </c>
    </row>
    <row r="2902" s="24" customFormat="1" spans="1:6">
      <c r="A2902" s="24" t="s">
        <v>142</v>
      </c>
      <c r="B2902" s="24" t="str">
        <f>"300138"</f>
        <v>300138</v>
      </c>
      <c r="C2902" s="24" t="s">
        <v>3109</v>
      </c>
      <c r="D2902" s="24" t="s">
        <v>190</v>
      </c>
      <c r="E2902" s="24">
        <v>25.28</v>
      </c>
      <c r="F2902" s="24">
        <v>2.02</v>
      </c>
    </row>
    <row r="2903" s="24" customFormat="1" spans="1:6">
      <c r="A2903" s="24" t="s">
        <v>140</v>
      </c>
      <c r="B2903" s="24" t="str">
        <f>"603218"</f>
        <v>603218</v>
      </c>
      <c r="C2903" s="24" t="s">
        <v>3110</v>
      </c>
      <c r="D2903" s="24" t="s">
        <v>165</v>
      </c>
      <c r="E2903" s="24">
        <v>25.28</v>
      </c>
      <c r="F2903" s="24">
        <v>3.22</v>
      </c>
    </row>
    <row r="2904" s="24" customFormat="1" spans="1:6">
      <c r="A2904" s="24" t="s">
        <v>140</v>
      </c>
      <c r="B2904" s="24" t="str">
        <f>"603551"</f>
        <v>603551</v>
      </c>
      <c r="C2904" s="24" t="s">
        <v>3111</v>
      </c>
      <c r="D2904" s="24"/>
      <c r="E2904" s="24">
        <v>25.27</v>
      </c>
      <c r="F2904" s="24">
        <v>3.78</v>
      </c>
    </row>
    <row r="2905" s="24" customFormat="1" spans="1:6">
      <c r="A2905" s="24" t="s">
        <v>140</v>
      </c>
      <c r="B2905" s="24" t="str">
        <f>"900926"</f>
        <v>900926</v>
      </c>
      <c r="C2905" s="24" t="s">
        <v>3112</v>
      </c>
      <c r="D2905" s="24"/>
      <c r="E2905" s="24">
        <v>25.25</v>
      </c>
      <c r="F2905" s="24">
        <v>2.69</v>
      </c>
    </row>
    <row r="2906" s="24" customFormat="1" spans="1:6">
      <c r="A2906" s="24" t="s">
        <v>140</v>
      </c>
      <c r="B2906" s="24" t="str">
        <f>"600611"</f>
        <v>600611</v>
      </c>
      <c r="C2906" s="24" t="s">
        <v>3113</v>
      </c>
      <c r="D2906" s="24" t="s">
        <v>540</v>
      </c>
      <c r="E2906" s="24">
        <v>25.2</v>
      </c>
      <c r="F2906" s="24">
        <v>0.92</v>
      </c>
    </row>
    <row r="2907" s="24" customFormat="1" spans="1:6">
      <c r="A2907" s="24" t="s">
        <v>142</v>
      </c>
      <c r="B2907" s="24" t="str">
        <f>"002393"</f>
        <v>002393</v>
      </c>
      <c r="C2907" s="24" t="s">
        <v>3114</v>
      </c>
      <c r="D2907" s="24" t="s">
        <v>464</v>
      </c>
      <c r="E2907" s="24">
        <v>25.19</v>
      </c>
      <c r="F2907" s="24">
        <v>1.03</v>
      </c>
    </row>
    <row r="2908" s="24" customFormat="1" spans="1:6">
      <c r="A2908" s="24" t="s">
        <v>140</v>
      </c>
      <c r="B2908" s="24" t="str">
        <f>"600010"</f>
        <v>600010</v>
      </c>
      <c r="C2908" s="24" t="s">
        <v>3115</v>
      </c>
      <c r="D2908" s="24" t="s">
        <v>258</v>
      </c>
      <c r="E2908" s="24">
        <v>25.16</v>
      </c>
      <c r="F2908" s="24">
        <v>1</v>
      </c>
    </row>
    <row r="2909" s="24" customFormat="1" spans="1:6">
      <c r="A2909" s="24" t="s">
        <v>140</v>
      </c>
      <c r="B2909" s="24" t="str">
        <f>"603970"</f>
        <v>603970</v>
      </c>
      <c r="C2909" s="24" t="s">
        <v>3116</v>
      </c>
      <c r="D2909" s="24" t="s">
        <v>267</v>
      </c>
      <c r="E2909" s="24">
        <v>25.16</v>
      </c>
      <c r="F2909" s="24">
        <v>2.97</v>
      </c>
    </row>
    <row r="2910" s="24" customFormat="1" spans="1:6">
      <c r="A2910" s="24" t="s">
        <v>142</v>
      </c>
      <c r="B2910" s="24" t="str">
        <f>"002454"</f>
        <v>002454</v>
      </c>
      <c r="C2910" s="24" t="s">
        <v>3117</v>
      </c>
      <c r="D2910" s="24" t="s">
        <v>204</v>
      </c>
      <c r="E2910" s="24">
        <v>25.12</v>
      </c>
      <c r="F2910" s="24">
        <v>1.03</v>
      </c>
    </row>
    <row r="2911" s="24" customFormat="1" spans="1:6">
      <c r="A2911" s="24" t="s">
        <v>142</v>
      </c>
      <c r="B2911" s="24" t="str">
        <f>"002106"</f>
        <v>002106</v>
      </c>
      <c r="C2911" s="24" t="s">
        <v>3118</v>
      </c>
      <c r="D2911" s="24" t="s">
        <v>230</v>
      </c>
      <c r="E2911" s="24">
        <v>25.12</v>
      </c>
      <c r="F2911" s="24">
        <v>1.59</v>
      </c>
    </row>
    <row r="2912" s="24" customFormat="1" spans="1:6">
      <c r="A2912" s="24" t="s">
        <v>140</v>
      </c>
      <c r="B2912" s="24" t="str">
        <f>"603915"</f>
        <v>603915</v>
      </c>
      <c r="C2912" s="24" t="s">
        <v>3119</v>
      </c>
      <c r="D2912" s="24" t="s">
        <v>165</v>
      </c>
      <c r="E2912" s="24">
        <v>25.11</v>
      </c>
      <c r="F2912" s="24">
        <v>2.72</v>
      </c>
    </row>
    <row r="2913" s="24" customFormat="1" spans="1:6">
      <c r="A2913" s="24" t="s">
        <v>142</v>
      </c>
      <c r="B2913" s="24" t="str">
        <f>"002127"</f>
        <v>002127</v>
      </c>
      <c r="C2913" s="24" t="s">
        <v>3120</v>
      </c>
      <c r="D2913" s="24" t="s">
        <v>214</v>
      </c>
      <c r="E2913" s="24">
        <v>25.1</v>
      </c>
      <c r="F2913" s="24">
        <v>7.33</v>
      </c>
    </row>
    <row r="2914" s="24" customFormat="1" spans="1:6">
      <c r="A2914" s="24" t="s">
        <v>140</v>
      </c>
      <c r="B2914" s="24" t="str">
        <f>"601198"</f>
        <v>601198</v>
      </c>
      <c r="C2914" s="24" t="s">
        <v>3121</v>
      </c>
      <c r="D2914" s="24" t="s">
        <v>714</v>
      </c>
      <c r="E2914" s="24">
        <v>25.08</v>
      </c>
      <c r="F2914" s="24">
        <v>1.58</v>
      </c>
    </row>
    <row r="2915" s="24" customFormat="1" spans="1:6">
      <c r="A2915" s="24" t="s">
        <v>140</v>
      </c>
      <c r="B2915" s="24" t="str">
        <f>"600580"</f>
        <v>600580</v>
      </c>
      <c r="C2915" s="24" t="s">
        <v>3122</v>
      </c>
      <c r="D2915" s="24" t="s">
        <v>251</v>
      </c>
      <c r="E2915" s="24">
        <v>25.07</v>
      </c>
      <c r="F2915" s="24">
        <v>3.25</v>
      </c>
    </row>
    <row r="2916" s="24" customFormat="1" spans="1:6">
      <c r="A2916" s="24" t="s">
        <v>142</v>
      </c>
      <c r="B2916" s="24" t="str">
        <f>"000568"</f>
        <v>000568</v>
      </c>
      <c r="C2916" s="24" t="s">
        <v>3123</v>
      </c>
      <c r="D2916" s="24" t="s">
        <v>309</v>
      </c>
      <c r="E2916" s="24">
        <v>25.05</v>
      </c>
      <c r="F2916" s="24">
        <v>6.12</v>
      </c>
    </row>
    <row r="2917" s="24" customFormat="1" spans="1:6">
      <c r="A2917" s="24" t="s">
        <v>142</v>
      </c>
      <c r="B2917" s="24" t="str">
        <f>"002626"</f>
        <v>002626</v>
      </c>
      <c r="C2917" s="24" t="s">
        <v>3124</v>
      </c>
      <c r="D2917" s="24" t="s">
        <v>190</v>
      </c>
      <c r="E2917" s="24">
        <v>24.98</v>
      </c>
      <c r="F2917" s="24">
        <v>5.99</v>
      </c>
    </row>
    <row r="2918" s="24" customFormat="1" spans="1:6">
      <c r="A2918" s="24" t="s">
        <v>140</v>
      </c>
      <c r="B2918" s="24" t="str">
        <f>"603817"</f>
        <v>603817</v>
      </c>
      <c r="C2918" s="24" t="s">
        <v>3125</v>
      </c>
      <c r="D2918" s="24" t="s">
        <v>908</v>
      </c>
      <c r="E2918" s="24">
        <v>24.95</v>
      </c>
      <c r="F2918" s="24">
        <v>1.71</v>
      </c>
    </row>
    <row r="2919" s="24" customFormat="1" spans="1:6">
      <c r="A2919" s="24" t="s">
        <v>142</v>
      </c>
      <c r="B2919" s="24" t="str">
        <f>"002810"</f>
        <v>002810</v>
      </c>
      <c r="C2919" s="24" t="s">
        <v>3126</v>
      </c>
      <c r="D2919" s="24" t="s">
        <v>228</v>
      </c>
      <c r="E2919" s="24">
        <v>24.93</v>
      </c>
      <c r="F2919" s="24">
        <v>4.03</v>
      </c>
    </row>
    <row r="2920" s="24" customFormat="1" spans="1:6">
      <c r="A2920" s="24" t="s">
        <v>140</v>
      </c>
      <c r="B2920" s="24" t="str">
        <f>"600546"</f>
        <v>600546</v>
      </c>
      <c r="C2920" s="24" t="s">
        <v>3127</v>
      </c>
      <c r="D2920" s="24" t="s">
        <v>267</v>
      </c>
      <c r="E2920" s="24">
        <v>24.92</v>
      </c>
      <c r="F2920" s="24">
        <v>3.25</v>
      </c>
    </row>
    <row r="2921" s="24" customFormat="1" spans="1:6">
      <c r="A2921" s="24" t="s">
        <v>142</v>
      </c>
      <c r="B2921" s="24" t="str">
        <f>"000589"</f>
        <v>000589</v>
      </c>
      <c r="C2921" s="24" t="s">
        <v>3128</v>
      </c>
      <c r="D2921" s="24" t="s">
        <v>204</v>
      </c>
      <c r="E2921" s="24">
        <v>24.91</v>
      </c>
      <c r="F2921" s="24">
        <v>0.9</v>
      </c>
    </row>
    <row r="2922" s="24" customFormat="1" spans="1:6">
      <c r="A2922" s="24" t="s">
        <v>142</v>
      </c>
      <c r="B2922" s="24" t="str">
        <f>"300243"</f>
        <v>300243</v>
      </c>
      <c r="C2922" s="24" t="s">
        <v>3129</v>
      </c>
      <c r="D2922" s="24" t="s">
        <v>256</v>
      </c>
      <c r="E2922" s="24">
        <v>24.91</v>
      </c>
      <c r="F2922" s="24">
        <v>2.39</v>
      </c>
    </row>
    <row r="2923" s="24" customFormat="1" spans="1:6">
      <c r="A2923" s="24" t="s">
        <v>140</v>
      </c>
      <c r="B2923" s="24" t="str">
        <f>"603038"</f>
        <v>603038</v>
      </c>
      <c r="C2923" s="24" t="s">
        <v>3130</v>
      </c>
      <c r="D2923" s="24" t="s">
        <v>228</v>
      </c>
      <c r="E2923" s="24">
        <v>24.89</v>
      </c>
      <c r="F2923" s="24">
        <v>1.65</v>
      </c>
    </row>
    <row r="2924" s="24" customFormat="1" spans="1:6">
      <c r="A2924" s="24" t="s">
        <v>142</v>
      </c>
      <c r="B2924" s="24" t="str">
        <f>"300418"</f>
        <v>300418</v>
      </c>
      <c r="C2924" s="24" t="s">
        <v>107</v>
      </c>
      <c r="D2924" s="24" t="s">
        <v>156</v>
      </c>
      <c r="E2924" s="24">
        <v>24.86</v>
      </c>
      <c r="F2924" s="24">
        <v>9.81</v>
      </c>
    </row>
    <row r="2925" s="24" customFormat="1" spans="1:6">
      <c r="A2925" s="24" t="s">
        <v>140</v>
      </c>
      <c r="B2925" s="24" t="str">
        <f>"603909"</f>
        <v>603909</v>
      </c>
      <c r="C2925" s="24" t="s">
        <v>3131</v>
      </c>
      <c r="D2925" s="24" t="s">
        <v>214</v>
      </c>
      <c r="E2925" s="24">
        <v>24.86</v>
      </c>
      <c r="F2925" s="24">
        <v>2.88</v>
      </c>
    </row>
    <row r="2926" s="24" customFormat="1" spans="1:6">
      <c r="A2926" s="24" t="s">
        <v>142</v>
      </c>
      <c r="B2926" s="24" t="str">
        <f>"002317"</f>
        <v>002317</v>
      </c>
      <c r="C2926" s="24" t="s">
        <v>3132</v>
      </c>
      <c r="D2926" s="24" t="s">
        <v>388</v>
      </c>
      <c r="E2926" s="24">
        <v>24.84</v>
      </c>
      <c r="F2926" s="24">
        <v>3.95</v>
      </c>
    </row>
    <row r="2927" s="24" customFormat="1" spans="1:6">
      <c r="A2927" s="24" t="s">
        <v>142</v>
      </c>
      <c r="B2927" s="24" t="str">
        <f>"002833"</f>
        <v>002833</v>
      </c>
      <c r="C2927" s="24" t="s">
        <v>3133</v>
      </c>
      <c r="D2927" s="24" t="s">
        <v>173</v>
      </c>
      <c r="E2927" s="24">
        <v>24.82</v>
      </c>
      <c r="F2927" s="24">
        <v>4.42</v>
      </c>
    </row>
    <row r="2928" s="24" customFormat="1" spans="1:6">
      <c r="A2928" s="24" t="s">
        <v>142</v>
      </c>
      <c r="B2928" s="24" t="str">
        <f>"300547"</f>
        <v>300547</v>
      </c>
      <c r="C2928" s="24" t="s">
        <v>3134</v>
      </c>
      <c r="D2928" s="24" t="s">
        <v>204</v>
      </c>
      <c r="E2928" s="24">
        <v>24.8</v>
      </c>
      <c r="F2928" s="24">
        <v>2.26</v>
      </c>
    </row>
    <row r="2929" s="24" customFormat="1" spans="1:6">
      <c r="A2929" s="24" t="s">
        <v>140</v>
      </c>
      <c r="B2929" s="24" t="str">
        <f>"603681"</f>
        <v>603681</v>
      </c>
      <c r="C2929" s="24" t="s">
        <v>3135</v>
      </c>
      <c r="D2929" s="24" t="s">
        <v>228</v>
      </c>
      <c r="E2929" s="24">
        <v>24.78</v>
      </c>
      <c r="F2929" s="24">
        <v>2.71</v>
      </c>
    </row>
    <row r="2930" s="24" customFormat="1" spans="1:6">
      <c r="A2930" s="24" t="s">
        <v>142</v>
      </c>
      <c r="B2930" s="24" t="str">
        <f>"300485"</f>
        <v>300485</v>
      </c>
      <c r="C2930" s="24" t="s">
        <v>3136</v>
      </c>
      <c r="D2930" s="24" t="s">
        <v>464</v>
      </c>
      <c r="E2930" s="24">
        <v>24.73</v>
      </c>
      <c r="F2930" s="24">
        <v>1.73</v>
      </c>
    </row>
    <row r="2931" s="24" customFormat="1" spans="1:6">
      <c r="A2931" s="24" t="s">
        <v>140</v>
      </c>
      <c r="B2931" s="24" t="str">
        <f>"603686"</f>
        <v>603686</v>
      </c>
      <c r="C2931" s="24" t="s">
        <v>3137</v>
      </c>
      <c r="D2931" s="24" t="s">
        <v>173</v>
      </c>
      <c r="E2931" s="24">
        <v>24.72</v>
      </c>
      <c r="F2931" s="24">
        <v>2.17</v>
      </c>
    </row>
    <row r="2932" s="24" customFormat="1" spans="1:6">
      <c r="A2932" s="24" t="s">
        <v>142</v>
      </c>
      <c r="B2932" s="24" t="str">
        <f>"002742"</f>
        <v>002742</v>
      </c>
      <c r="C2932" s="24" t="s">
        <v>3138</v>
      </c>
      <c r="D2932" s="24" t="s">
        <v>667</v>
      </c>
      <c r="E2932" s="24">
        <v>24.72</v>
      </c>
      <c r="F2932" s="24">
        <v>2.41</v>
      </c>
    </row>
    <row r="2933" s="24" customFormat="1" spans="1:6">
      <c r="A2933" s="24" t="s">
        <v>142</v>
      </c>
      <c r="B2933" s="24" t="str">
        <f>"002082"</f>
        <v>002082</v>
      </c>
      <c r="C2933" s="24" t="s">
        <v>3139</v>
      </c>
      <c r="D2933" s="24" t="s">
        <v>167</v>
      </c>
      <c r="E2933" s="24">
        <v>24.67</v>
      </c>
      <c r="F2933" s="24">
        <v>1.96</v>
      </c>
    </row>
    <row r="2934" s="24" customFormat="1" spans="1:6">
      <c r="A2934" s="24" t="s">
        <v>140</v>
      </c>
      <c r="B2934" s="24" t="str">
        <f>"603035"</f>
        <v>603035</v>
      </c>
      <c r="C2934" s="24" t="s">
        <v>3140</v>
      </c>
      <c r="D2934" s="24" t="s">
        <v>204</v>
      </c>
      <c r="E2934" s="24">
        <v>24.64</v>
      </c>
      <c r="F2934" s="24">
        <v>1.64</v>
      </c>
    </row>
    <row r="2935" s="24" customFormat="1" spans="1:6">
      <c r="A2935" s="24" t="s">
        <v>140</v>
      </c>
      <c r="B2935" s="24" t="str">
        <f>"601126"</f>
        <v>601126</v>
      </c>
      <c r="C2935" s="24" t="s">
        <v>3141</v>
      </c>
      <c r="D2935" s="24" t="s">
        <v>251</v>
      </c>
      <c r="E2935" s="24">
        <v>24.63</v>
      </c>
      <c r="F2935" s="24">
        <v>1.11</v>
      </c>
    </row>
    <row r="2936" s="24" customFormat="1" spans="1:6">
      <c r="A2936" s="24" t="s">
        <v>140</v>
      </c>
      <c r="B2936" s="24" t="str">
        <f>"600008"</f>
        <v>600008</v>
      </c>
      <c r="C2936" s="24" t="s">
        <v>3142</v>
      </c>
      <c r="D2936" s="24" t="s">
        <v>908</v>
      </c>
      <c r="E2936" s="24">
        <v>24.63</v>
      </c>
      <c r="F2936" s="24">
        <v>2.29</v>
      </c>
    </row>
    <row r="2937" s="24" customFormat="1" spans="1:6">
      <c r="A2937" s="24" t="s">
        <v>142</v>
      </c>
      <c r="B2937" s="24" t="str">
        <f>"300459"</f>
        <v>300459</v>
      </c>
      <c r="C2937" s="24" t="s">
        <v>3143</v>
      </c>
      <c r="D2937" s="24" t="s">
        <v>156</v>
      </c>
      <c r="E2937" s="24">
        <v>24.61</v>
      </c>
      <c r="F2937" s="24">
        <v>18.76</v>
      </c>
    </row>
    <row r="2938" s="24" customFormat="1" spans="1:6">
      <c r="A2938" s="24" t="s">
        <v>142</v>
      </c>
      <c r="B2938" s="24" t="str">
        <f>"000567"</f>
        <v>000567</v>
      </c>
      <c r="C2938" s="24" t="s">
        <v>3144</v>
      </c>
      <c r="D2938" s="24" t="s">
        <v>608</v>
      </c>
      <c r="E2938" s="24">
        <v>24.59</v>
      </c>
      <c r="F2938" s="24">
        <v>1.15</v>
      </c>
    </row>
    <row r="2939" s="24" customFormat="1" spans="1:6">
      <c r="A2939" s="24" t="s">
        <v>142</v>
      </c>
      <c r="B2939" s="24" t="str">
        <f>"300446"</f>
        <v>300446</v>
      </c>
      <c r="C2939" s="24" t="s">
        <v>3145</v>
      </c>
      <c r="D2939" s="24" t="s">
        <v>228</v>
      </c>
      <c r="E2939" s="24">
        <v>24.57</v>
      </c>
      <c r="F2939" s="24">
        <v>3.95</v>
      </c>
    </row>
    <row r="2940" s="24" customFormat="1" spans="1:6">
      <c r="A2940" s="24" t="s">
        <v>140</v>
      </c>
      <c r="B2940" s="24" t="str">
        <f>"600481"</f>
        <v>600481</v>
      </c>
      <c r="C2940" s="24" t="s">
        <v>3146</v>
      </c>
      <c r="D2940" s="24" t="s">
        <v>165</v>
      </c>
      <c r="E2940" s="24">
        <v>24.56</v>
      </c>
      <c r="F2940" s="24">
        <v>2.2</v>
      </c>
    </row>
    <row r="2941" s="24" customFormat="1" spans="1:6">
      <c r="A2941" s="24" t="s">
        <v>142</v>
      </c>
      <c r="B2941" s="24" t="str">
        <f>"000676"</f>
        <v>000676</v>
      </c>
      <c r="C2941" s="24" t="s">
        <v>3147</v>
      </c>
      <c r="D2941" s="24" t="s">
        <v>163</v>
      </c>
      <c r="E2941" s="24">
        <v>24.53</v>
      </c>
      <c r="F2941" s="24">
        <v>3.13</v>
      </c>
    </row>
    <row r="2942" s="24" customFormat="1" spans="1:6">
      <c r="A2942" s="24" t="s">
        <v>140</v>
      </c>
      <c r="B2942" s="24" t="str">
        <f>"603538"</f>
        <v>603538</v>
      </c>
      <c r="C2942" s="24" t="s">
        <v>3148</v>
      </c>
      <c r="D2942" s="24" t="s">
        <v>464</v>
      </c>
      <c r="E2942" s="24">
        <v>24.53</v>
      </c>
      <c r="F2942" s="24">
        <v>2.85</v>
      </c>
    </row>
    <row r="2943" s="24" customFormat="1" spans="1:6">
      <c r="A2943" s="24" t="s">
        <v>142</v>
      </c>
      <c r="B2943" s="24" t="str">
        <f>"000723"</f>
        <v>000723</v>
      </c>
      <c r="C2943" s="24" t="s">
        <v>3149</v>
      </c>
      <c r="D2943" s="24" t="s">
        <v>401</v>
      </c>
      <c r="E2943" s="24">
        <v>24.5</v>
      </c>
      <c r="F2943" s="24">
        <v>4.19</v>
      </c>
    </row>
    <row r="2944" s="24" customFormat="1" spans="1:6">
      <c r="A2944" s="24" t="s">
        <v>140</v>
      </c>
      <c r="B2944" s="24" t="str">
        <f>"600420"</f>
        <v>600420</v>
      </c>
      <c r="C2944" s="24" t="s">
        <v>3150</v>
      </c>
      <c r="D2944" s="24" t="s">
        <v>464</v>
      </c>
      <c r="E2944" s="24">
        <v>24.49</v>
      </c>
      <c r="F2944" s="24">
        <v>1.46</v>
      </c>
    </row>
    <row r="2945" s="24" customFormat="1" spans="1:6">
      <c r="A2945" s="24" t="s">
        <v>140</v>
      </c>
      <c r="B2945" s="24" t="str">
        <f>"603926"</f>
        <v>603926</v>
      </c>
      <c r="C2945" s="24" t="s">
        <v>3151</v>
      </c>
      <c r="D2945" s="24" t="s">
        <v>204</v>
      </c>
      <c r="E2945" s="24">
        <v>24.47</v>
      </c>
      <c r="F2945" s="24">
        <v>1.63</v>
      </c>
    </row>
    <row r="2946" s="24" customFormat="1" spans="1:6">
      <c r="A2946" s="24" t="s">
        <v>140</v>
      </c>
      <c r="B2946" s="24" t="str">
        <f>"603600"</f>
        <v>603600</v>
      </c>
      <c r="C2946" s="24" t="s">
        <v>3152</v>
      </c>
      <c r="D2946" s="24" t="s">
        <v>200</v>
      </c>
      <c r="E2946" s="24">
        <v>24.43</v>
      </c>
      <c r="F2946" s="24">
        <v>2.99</v>
      </c>
    </row>
    <row r="2947" s="24" customFormat="1" spans="1:6">
      <c r="A2947" s="24" t="s">
        <v>142</v>
      </c>
      <c r="B2947" s="24" t="str">
        <f>"002697"</f>
        <v>002697</v>
      </c>
      <c r="C2947" s="24" t="s">
        <v>3153</v>
      </c>
      <c r="D2947" s="24" t="s">
        <v>361</v>
      </c>
      <c r="E2947" s="24">
        <v>24.33</v>
      </c>
      <c r="F2947" s="24">
        <v>3.67</v>
      </c>
    </row>
    <row r="2948" s="24" customFormat="1" spans="1:6">
      <c r="A2948" s="24" t="s">
        <v>142</v>
      </c>
      <c r="B2948" s="24" t="str">
        <f>"000088"</f>
        <v>000088</v>
      </c>
      <c r="C2948" s="24" t="s">
        <v>3154</v>
      </c>
      <c r="D2948" s="24" t="s">
        <v>1016</v>
      </c>
      <c r="E2948" s="24">
        <v>24.32</v>
      </c>
      <c r="F2948" s="24">
        <v>1.33</v>
      </c>
    </row>
    <row r="2949" s="24" customFormat="1" spans="1:6">
      <c r="A2949" s="24" t="s">
        <v>142</v>
      </c>
      <c r="B2949" s="24" t="str">
        <f>"300130"</f>
        <v>300130</v>
      </c>
      <c r="C2949" s="24" t="s">
        <v>3155</v>
      </c>
      <c r="D2949" s="24" t="s">
        <v>152</v>
      </c>
      <c r="E2949" s="24">
        <v>24.3</v>
      </c>
      <c r="F2949" s="24">
        <v>5.94</v>
      </c>
    </row>
    <row r="2950" s="24" customFormat="1" spans="1:6">
      <c r="A2950" s="24" t="s">
        <v>142</v>
      </c>
      <c r="B2950" s="24" t="str">
        <f>"300154"</f>
        <v>300154</v>
      </c>
      <c r="C2950" s="24" t="s">
        <v>3156</v>
      </c>
      <c r="D2950" s="24" t="s">
        <v>173</v>
      </c>
      <c r="E2950" s="24">
        <v>24.29</v>
      </c>
      <c r="F2950" s="24">
        <v>1.41</v>
      </c>
    </row>
    <row r="2951" s="24" customFormat="1" spans="1:6">
      <c r="A2951" s="24" t="s">
        <v>142</v>
      </c>
      <c r="B2951" s="24" t="str">
        <f>"000887"</f>
        <v>000887</v>
      </c>
      <c r="C2951" s="24" t="s">
        <v>3157</v>
      </c>
      <c r="D2951" s="24" t="s">
        <v>204</v>
      </c>
      <c r="E2951" s="24">
        <v>24.25</v>
      </c>
      <c r="F2951" s="24">
        <v>2.06</v>
      </c>
    </row>
    <row r="2952" s="24" customFormat="1" spans="1:6">
      <c r="A2952" s="24" t="s">
        <v>140</v>
      </c>
      <c r="B2952" s="24" t="str">
        <f>"603040"</f>
        <v>603040</v>
      </c>
      <c r="C2952" s="24" t="s">
        <v>3158</v>
      </c>
      <c r="D2952" s="24" t="s">
        <v>204</v>
      </c>
      <c r="E2952" s="24">
        <v>24.17</v>
      </c>
      <c r="F2952" s="24">
        <v>3.16</v>
      </c>
    </row>
    <row r="2953" s="24" customFormat="1" spans="1:6">
      <c r="A2953" s="24" t="s">
        <v>140</v>
      </c>
      <c r="B2953" s="24" t="str">
        <f>"603657"</f>
        <v>603657</v>
      </c>
      <c r="C2953" s="24" t="s">
        <v>3159</v>
      </c>
      <c r="D2953" s="24" t="s">
        <v>184</v>
      </c>
      <c r="E2953" s="24">
        <v>24.13</v>
      </c>
      <c r="F2953" s="24">
        <v>2.59</v>
      </c>
    </row>
    <row r="2954" s="24" customFormat="1" spans="1:6">
      <c r="A2954" s="24" t="s">
        <v>140</v>
      </c>
      <c r="B2954" s="24" t="str">
        <f>"601688"</f>
        <v>601688</v>
      </c>
      <c r="C2954" s="24" t="s">
        <v>3160</v>
      </c>
      <c r="D2954" s="24" t="s">
        <v>714</v>
      </c>
      <c r="E2954" s="24">
        <v>24.11</v>
      </c>
      <c r="F2954" s="24">
        <v>1.42</v>
      </c>
    </row>
    <row r="2955" s="24" customFormat="1" spans="1:6">
      <c r="A2955" s="24" t="s">
        <v>142</v>
      </c>
      <c r="B2955" s="24" t="str">
        <f>"300185"</f>
        <v>300185</v>
      </c>
      <c r="C2955" s="24" t="s">
        <v>3161</v>
      </c>
      <c r="D2955" s="24" t="s">
        <v>165</v>
      </c>
      <c r="E2955" s="24">
        <v>24.11</v>
      </c>
      <c r="F2955" s="24">
        <v>1.04</v>
      </c>
    </row>
    <row r="2956" s="24" customFormat="1" spans="1:6">
      <c r="A2956" s="24" t="s">
        <v>140</v>
      </c>
      <c r="B2956" s="24" t="str">
        <f>"603037"</f>
        <v>603037</v>
      </c>
      <c r="C2956" s="24" t="s">
        <v>3162</v>
      </c>
      <c r="D2956" s="24" t="s">
        <v>204</v>
      </c>
      <c r="E2956" s="24">
        <v>24.08</v>
      </c>
      <c r="F2956" s="24">
        <v>2.42</v>
      </c>
    </row>
    <row r="2957" s="24" customFormat="1" spans="1:6">
      <c r="A2957" s="24" t="s">
        <v>140</v>
      </c>
      <c r="B2957" s="24" t="str">
        <f>"600968"</f>
        <v>600968</v>
      </c>
      <c r="C2957" s="24" t="s">
        <v>3163</v>
      </c>
      <c r="D2957" s="24" t="s">
        <v>377</v>
      </c>
      <c r="E2957" s="24">
        <v>23.98</v>
      </c>
      <c r="F2957" s="24">
        <v>1.45</v>
      </c>
    </row>
    <row r="2958" s="24" customFormat="1" spans="1:6">
      <c r="A2958" s="24" t="s">
        <v>140</v>
      </c>
      <c r="B2958" s="24" t="str">
        <f>"603488"</f>
        <v>603488</v>
      </c>
      <c r="C2958" s="24" t="s">
        <v>3164</v>
      </c>
      <c r="D2958" s="24" t="s">
        <v>251</v>
      </c>
      <c r="E2958" s="24">
        <v>23.95</v>
      </c>
      <c r="F2958" s="24">
        <v>1.92</v>
      </c>
    </row>
    <row r="2959" s="24" customFormat="1" spans="1:6">
      <c r="A2959" s="24" t="s">
        <v>140</v>
      </c>
      <c r="B2959" s="24" t="str">
        <f>"600984"</f>
        <v>600984</v>
      </c>
      <c r="C2959" s="24" t="s">
        <v>3165</v>
      </c>
      <c r="D2959" s="24" t="s">
        <v>173</v>
      </c>
      <c r="E2959" s="24">
        <v>23.93</v>
      </c>
      <c r="F2959" s="24">
        <v>2.71</v>
      </c>
    </row>
    <row r="2960" s="24" customFormat="1" spans="1:6">
      <c r="A2960" s="24" t="s">
        <v>142</v>
      </c>
      <c r="B2960" s="24" t="str">
        <f>"300737"</f>
        <v>300737</v>
      </c>
      <c r="C2960" s="24" t="s">
        <v>3166</v>
      </c>
      <c r="D2960" s="24" t="s">
        <v>667</v>
      </c>
      <c r="E2960" s="24">
        <v>23.92</v>
      </c>
      <c r="F2960" s="24">
        <v>2.3</v>
      </c>
    </row>
    <row r="2961" s="24" customFormat="1" spans="1:6">
      <c r="A2961" s="24" t="s">
        <v>142</v>
      </c>
      <c r="B2961" s="24" t="str">
        <f>"002649"</f>
        <v>002649</v>
      </c>
      <c r="C2961" s="24" t="s">
        <v>3167</v>
      </c>
      <c r="D2961" s="24" t="s">
        <v>159</v>
      </c>
      <c r="E2961" s="24">
        <v>23.91</v>
      </c>
      <c r="F2961" s="24">
        <v>2.7</v>
      </c>
    </row>
    <row r="2962" s="24" customFormat="1" spans="1:6">
      <c r="A2962" s="24" t="s">
        <v>140</v>
      </c>
      <c r="B2962" s="24" t="str">
        <f>"603797"</f>
        <v>603797</v>
      </c>
      <c r="C2962" s="24" t="s">
        <v>3168</v>
      </c>
      <c r="D2962" s="24" t="s">
        <v>908</v>
      </c>
      <c r="E2962" s="24">
        <v>23.87</v>
      </c>
      <c r="F2962" s="24">
        <v>2.59</v>
      </c>
    </row>
    <row r="2963" s="24" customFormat="1" spans="1:6">
      <c r="A2963" s="24" t="s">
        <v>140</v>
      </c>
      <c r="B2963" s="24" t="str">
        <f>"600702"</f>
        <v>600702</v>
      </c>
      <c r="C2963" s="24" t="s">
        <v>3169</v>
      </c>
      <c r="D2963" s="24" t="s">
        <v>309</v>
      </c>
      <c r="E2963" s="24">
        <v>23.84</v>
      </c>
      <c r="F2963" s="24">
        <v>3.06</v>
      </c>
    </row>
    <row r="2964" s="24" customFormat="1" spans="1:6">
      <c r="A2964" s="24" t="s">
        <v>140</v>
      </c>
      <c r="B2964" s="24" t="str">
        <f>"603813"</f>
        <v>603813</v>
      </c>
      <c r="C2964" s="24" t="s">
        <v>3170</v>
      </c>
      <c r="D2964" s="24" t="s">
        <v>540</v>
      </c>
      <c r="E2964" s="24">
        <v>23.84</v>
      </c>
      <c r="F2964" s="24">
        <v>2.33</v>
      </c>
    </row>
    <row r="2965" s="24" customFormat="1" spans="1:6">
      <c r="A2965" s="24" t="s">
        <v>142</v>
      </c>
      <c r="B2965" s="24" t="str">
        <f>"300580"</f>
        <v>300580</v>
      </c>
      <c r="C2965" s="24" t="s">
        <v>3171</v>
      </c>
      <c r="D2965" s="24" t="s">
        <v>204</v>
      </c>
      <c r="E2965" s="24">
        <v>23.84</v>
      </c>
      <c r="F2965" s="24">
        <v>2.45</v>
      </c>
    </row>
    <row r="2966" s="24" customFormat="1" spans="1:6">
      <c r="A2966" s="24" t="s">
        <v>140</v>
      </c>
      <c r="B2966" s="24" t="str">
        <f>"601333"</f>
        <v>601333</v>
      </c>
      <c r="C2966" s="24" t="s">
        <v>3172</v>
      </c>
      <c r="D2966" s="24" t="s">
        <v>540</v>
      </c>
      <c r="E2966" s="24">
        <v>23.79</v>
      </c>
      <c r="F2966" s="24">
        <v>0.64</v>
      </c>
    </row>
    <row r="2967" s="24" customFormat="1" spans="1:6">
      <c r="A2967" s="24" t="s">
        <v>140</v>
      </c>
      <c r="B2967" s="24" t="str">
        <f>"600356"</f>
        <v>600356</v>
      </c>
      <c r="C2967" s="24" t="s">
        <v>3173</v>
      </c>
      <c r="D2967" s="24" t="s">
        <v>509</v>
      </c>
      <c r="E2967" s="24">
        <v>23.77</v>
      </c>
      <c r="F2967" s="24">
        <v>0.91</v>
      </c>
    </row>
    <row r="2968" s="24" customFormat="1" spans="1:6">
      <c r="A2968" s="24" t="s">
        <v>142</v>
      </c>
      <c r="B2968" s="24" t="str">
        <f>"300047"</f>
        <v>300047</v>
      </c>
      <c r="C2968" s="24" t="s">
        <v>3174</v>
      </c>
      <c r="D2968" s="24" t="s">
        <v>156</v>
      </c>
      <c r="E2968" s="24">
        <v>23.76</v>
      </c>
      <c r="F2968" s="24">
        <v>1.95</v>
      </c>
    </row>
    <row r="2969" s="24" customFormat="1" spans="1:6">
      <c r="A2969" s="24" t="s">
        <v>142</v>
      </c>
      <c r="B2969" s="24" t="str">
        <f>"002487"</f>
        <v>002487</v>
      </c>
      <c r="C2969" s="24" t="s">
        <v>3175</v>
      </c>
      <c r="D2969" s="24" t="s">
        <v>293</v>
      </c>
      <c r="E2969" s="24">
        <v>23.75</v>
      </c>
      <c r="F2969" s="24">
        <v>1.31</v>
      </c>
    </row>
    <row r="2970" s="24" customFormat="1" spans="1:6">
      <c r="A2970" s="24" t="s">
        <v>142</v>
      </c>
      <c r="B2970" s="24" t="str">
        <f>"300145"</f>
        <v>300145</v>
      </c>
      <c r="C2970" s="24" t="s">
        <v>3176</v>
      </c>
      <c r="D2970" s="24" t="s">
        <v>165</v>
      </c>
      <c r="E2970" s="24">
        <v>23.73</v>
      </c>
      <c r="F2970" s="24">
        <v>3.32</v>
      </c>
    </row>
    <row r="2971" s="24" customFormat="1" spans="1:6">
      <c r="A2971" s="24" t="s">
        <v>140</v>
      </c>
      <c r="B2971" s="24" t="str">
        <f>"600362"</f>
        <v>600362</v>
      </c>
      <c r="C2971" s="24" t="s">
        <v>3177</v>
      </c>
      <c r="D2971" s="24" t="s">
        <v>167</v>
      </c>
      <c r="E2971" s="24">
        <v>23.73</v>
      </c>
      <c r="F2971" s="24">
        <v>1</v>
      </c>
    </row>
    <row r="2972" s="24" customFormat="1" spans="1:6">
      <c r="A2972" s="24" t="s">
        <v>140</v>
      </c>
      <c r="B2972" s="24" t="str">
        <f>"600006"</f>
        <v>600006</v>
      </c>
      <c r="C2972" s="24" t="s">
        <v>3178</v>
      </c>
      <c r="D2972" s="24" t="s">
        <v>175</v>
      </c>
      <c r="E2972" s="24">
        <v>23.71</v>
      </c>
      <c r="F2972" s="24">
        <v>1.07</v>
      </c>
    </row>
    <row r="2973" s="24" customFormat="1" spans="1:6">
      <c r="A2973" s="24" t="s">
        <v>140</v>
      </c>
      <c r="B2973" s="24" t="str">
        <f>"603611"</f>
        <v>603611</v>
      </c>
      <c r="C2973" s="24" t="s">
        <v>3179</v>
      </c>
      <c r="D2973" s="24" t="s">
        <v>165</v>
      </c>
      <c r="E2973" s="24">
        <v>23.7</v>
      </c>
      <c r="F2973" s="24">
        <v>5.05</v>
      </c>
    </row>
    <row r="2974" s="24" customFormat="1" spans="1:6">
      <c r="A2974" s="24" t="s">
        <v>140</v>
      </c>
      <c r="B2974" s="24" t="str">
        <f>"603790"</f>
        <v>603790</v>
      </c>
      <c r="C2974" s="24" t="s">
        <v>3180</v>
      </c>
      <c r="D2974" s="24" t="s">
        <v>228</v>
      </c>
      <c r="E2974" s="24">
        <v>23.68</v>
      </c>
      <c r="F2974" s="24">
        <v>2.39</v>
      </c>
    </row>
    <row r="2975" s="24" customFormat="1" spans="1:6">
      <c r="A2975" s="24" t="s">
        <v>142</v>
      </c>
      <c r="B2975" s="24" t="str">
        <f>"000099"</f>
        <v>000099</v>
      </c>
      <c r="C2975" s="24" t="s">
        <v>3181</v>
      </c>
      <c r="D2975" s="24" t="s">
        <v>423</v>
      </c>
      <c r="E2975" s="24">
        <v>23.63</v>
      </c>
      <c r="F2975" s="24">
        <v>1.24</v>
      </c>
    </row>
    <row r="2976" s="24" customFormat="1" spans="1:6">
      <c r="A2976" s="24" t="s">
        <v>142</v>
      </c>
      <c r="B2976" s="24" t="str">
        <f>"300070"</f>
        <v>300070</v>
      </c>
      <c r="C2976" s="24" t="s">
        <v>3182</v>
      </c>
      <c r="D2976" s="24" t="s">
        <v>214</v>
      </c>
      <c r="E2976" s="24">
        <v>23.63</v>
      </c>
      <c r="F2976" s="24">
        <v>1.42</v>
      </c>
    </row>
    <row r="2977" s="24" customFormat="1" spans="1:6">
      <c r="A2977" s="24" t="s">
        <v>142</v>
      </c>
      <c r="B2977" s="24" t="str">
        <f>"300233"</f>
        <v>300233</v>
      </c>
      <c r="C2977" s="24" t="s">
        <v>3183</v>
      </c>
      <c r="D2977" s="24" t="s">
        <v>997</v>
      </c>
      <c r="E2977" s="24">
        <v>23.61</v>
      </c>
      <c r="F2977" s="24">
        <v>2.4</v>
      </c>
    </row>
    <row r="2978" s="24" customFormat="1" spans="1:6">
      <c r="A2978" s="24" t="s">
        <v>142</v>
      </c>
      <c r="B2978" s="24" t="str">
        <f>"300067"</f>
        <v>300067</v>
      </c>
      <c r="C2978" s="24" t="s">
        <v>3184</v>
      </c>
      <c r="D2978" s="24" t="s">
        <v>228</v>
      </c>
      <c r="E2978" s="24">
        <v>23.61</v>
      </c>
      <c r="F2978" s="24">
        <v>2.12</v>
      </c>
    </row>
    <row r="2979" s="24" customFormat="1" spans="1:6">
      <c r="A2979" s="24" t="s">
        <v>142</v>
      </c>
      <c r="B2979" s="24" t="str">
        <f>"002004"</f>
        <v>002004</v>
      </c>
      <c r="C2979" s="24" t="s">
        <v>3185</v>
      </c>
      <c r="D2979" s="24" t="s">
        <v>278</v>
      </c>
      <c r="E2979" s="24">
        <v>23.58</v>
      </c>
      <c r="F2979" s="24">
        <v>1.79</v>
      </c>
    </row>
    <row r="2980" s="24" customFormat="1" spans="1:6">
      <c r="A2980" s="24" t="s">
        <v>140</v>
      </c>
      <c r="B2980" s="24" t="str">
        <f>"603798"</f>
        <v>603798</v>
      </c>
      <c r="C2980" s="24" t="s">
        <v>3186</v>
      </c>
      <c r="D2980" s="24" t="s">
        <v>228</v>
      </c>
      <c r="E2980" s="24">
        <v>23.58</v>
      </c>
      <c r="F2980" s="24">
        <v>2.21</v>
      </c>
    </row>
    <row r="2981" s="24" customFormat="1" spans="1:6">
      <c r="A2981" s="24" t="s">
        <v>142</v>
      </c>
      <c r="B2981" s="24" t="str">
        <f>"002267"</f>
        <v>002267</v>
      </c>
      <c r="C2981" s="24" t="s">
        <v>3187</v>
      </c>
      <c r="D2981" s="24" t="s">
        <v>246</v>
      </c>
      <c r="E2981" s="24">
        <v>23.57</v>
      </c>
      <c r="F2981" s="24">
        <v>1.21</v>
      </c>
    </row>
    <row r="2982" s="24" customFormat="1" spans="1:6">
      <c r="A2982" s="24" t="s">
        <v>140</v>
      </c>
      <c r="B2982" s="24" t="str">
        <f>"600406"</f>
        <v>600406</v>
      </c>
      <c r="C2982" s="24" t="s">
        <v>3188</v>
      </c>
      <c r="D2982" s="24" t="s">
        <v>293</v>
      </c>
      <c r="E2982" s="24">
        <v>23.56</v>
      </c>
      <c r="F2982" s="24">
        <v>3.08</v>
      </c>
    </row>
    <row r="2983" s="24" customFormat="1" spans="1:6">
      <c r="A2983" s="24" t="s">
        <v>142</v>
      </c>
      <c r="B2983" s="24" t="str">
        <f>"300439"</f>
        <v>300439</v>
      </c>
      <c r="C2983" s="24" t="s">
        <v>3189</v>
      </c>
      <c r="D2983" s="24" t="s">
        <v>326</v>
      </c>
      <c r="E2983" s="24">
        <v>23.55</v>
      </c>
      <c r="F2983" s="24">
        <v>3.82</v>
      </c>
    </row>
    <row r="2984" s="24" customFormat="1" spans="1:6">
      <c r="A2984" s="24" t="s">
        <v>140</v>
      </c>
      <c r="B2984" s="24" t="str">
        <f>"600909"</f>
        <v>600909</v>
      </c>
      <c r="C2984" s="24" t="s">
        <v>3190</v>
      </c>
      <c r="D2984" s="24" t="s">
        <v>714</v>
      </c>
      <c r="E2984" s="24">
        <v>23.54</v>
      </c>
      <c r="F2984" s="24">
        <v>1.94</v>
      </c>
    </row>
    <row r="2985" s="24" customFormat="1" spans="1:6">
      <c r="A2985" s="24" t="s">
        <v>142</v>
      </c>
      <c r="B2985" s="24" t="str">
        <f>"000952"</f>
        <v>000952</v>
      </c>
      <c r="C2985" s="24" t="s">
        <v>3191</v>
      </c>
      <c r="D2985" s="24" t="s">
        <v>997</v>
      </c>
      <c r="E2985" s="24">
        <v>23.54</v>
      </c>
      <c r="F2985" s="24">
        <v>2.7</v>
      </c>
    </row>
    <row r="2986" s="24" customFormat="1" spans="1:6">
      <c r="A2986" s="24" t="s">
        <v>140</v>
      </c>
      <c r="B2986" s="24" t="str">
        <f>"600073"</f>
        <v>600073</v>
      </c>
      <c r="C2986" s="24" t="s">
        <v>3192</v>
      </c>
      <c r="D2986" s="24" t="s">
        <v>190</v>
      </c>
      <c r="E2986" s="24">
        <v>23.49</v>
      </c>
      <c r="F2986" s="24">
        <v>1.93</v>
      </c>
    </row>
    <row r="2987" s="24" customFormat="1" spans="1:6">
      <c r="A2987" s="24" t="s">
        <v>140</v>
      </c>
      <c r="B2987" s="24" t="str">
        <f>"601555"</f>
        <v>601555</v>
      </c>
      <c r="C2987" s="24" t="s">
        <v>3193</v>
      </c>
      <c r="D2987" s="24" t="s">
        <v>714</v>
      </c>
      <c r="E2987" s="24">
        <v>23.47</v>
      </c>
      <c r="F2987" s="24">
        <v>1.25</v>
      </c>
    </row>
    <row r="2988" s="24" customFormat="1" spans="1:6">
      <c r="A2988" s="24" t="s">
        <v>140</v>
      </c>
      <c r="B2988" s="24" t="str">
        <f>"603180"</f>
        <v>603180</v>
      </c>
      <c r="C2988" s="24" t="s">
        <v>3194</v>
      </c>
      <c r="D2988" s="24" t="s">
        <v>200</v>
      </c>
      <c r="E2988" s="24">
        <v>23.47</v>
      </c>
      <c r="F2988" s="24">
        <v>3.9</v>
      </c>
    </row>
    <row r="2989" s="24" customFormat="1" spans="1:6">
      <c r="A2989" s="24" t="s">
        <v>142</v>
      </c>
      <c r="B2989" s="24" t="str">
        <f>"300430"</f>
        <v>300430</v>
      </c>
      <c r="C2989" s="24" t="s">
        <v>3195</v>
      </c>
      <c r="D2989" s="24" t="s">
        <v>173</v>
      </c>
      <c r="E2989" s="24">
        <v>23.46</v>
      </c>
      <c r="F2989" s="24">
        <v>1.86</v>
      </c>
    </row>
    <row r="2990" s="24" customFormat="1" spans="1:6">
      <c r="A2990" s="24" t="s">
        <v>140</v>
      </c>
      <c r="B2990" s="24" t="str">
        <f>"603123"</f>
        <v>603123</v>
      </c>
      <c r="C2990" s="24" t="s">
        <v>3196</v>
      </c>
      <c r="D2990" s="24" t="s">
        <v>148</v>
      </c>
      <c r="E2990" s="24">
        <v>23.45</v>
      </c>
      <c r="F2990" s="24">
        <v>1.09</v>
      </c>
    </row>
    <row r="2991" s="24" customFormat="1" spans="1:6">
      <c r="A2991" s="24" t="s">
        <v>140</v>
      </c>
      <c r="B2991" s="24" t="str">
        <f>"600771"</f>
        <v>600771</v>
      </c>
      <c r="C2991" s="24" t="s">
        <v>3197</v>
      </c>
      <c r="D2991" s="24" t="s">
        <v>388</v>
      </c>
      <c r="E2991" s="24">
        <v>23.43</v>
      </c>
      <c r="F2991" s="24">
        <v>2.97</v>
      </c>
    </row>
    <row r="2992" s="24" customFormat="1" spans="1:6">
      <c r="A2992" s="24" t="s">
        <v>140</v>
      </c>
      <c r="B2992" s="24" t="str">
        <f>"601952"</f>
        <v>601952</v>
      </c>
      <c r="C2992" s="24" t="s">
        <v>3198</v>
      </c>
      <c r="D2992" s="24" t="s">
        <v>145</v>
      </c>
      <c r="E2992" s="24">
        <v>23.4</v>
      </c>
      <c r="F2992" s="24">
        <v>1.9</v>
      </c>
    </row>
    <row r="2993" s="24" customFormat="1" spans="1:6">
      <c r="A2993" s="24" t="s">
        <v>142</v>
      </c>
      <c r="B2993" s="24" t="str">
        <f>"002664"</f>
        <v>002664</v>
      </c>
      <c r="C2993" s="24" t="s">
        <v>3199</v>
      </c>
      <c r="D2993" s="24" t="s">
        <v>204</v>
      </c>
      <c r="E2993" s="24">
        <v>23.37</v>
      </c>
      <c r="F2993" s="24">
        <v>3.11</v>
      </c>
    </row>
    <row r="2994" s="24" customFormat="1" spans="1:6">
      <c r="A2994" s="24" t="s">
        <v>142</v>
      </c>
      <c r="B2994" s="24" t="str">
        <f>"002202"</f>
        <v>002202</v>
      </c>
      <c r="C2994" s="24" t="s">
        <v>3200</v>
      </c>
      <c r="D2994" s="24" t="s">
        <v>293</v>
      </c>
      <c r="E2994" s="24">
        <v>23.36</v>
      </c>
      <c r="F2994" s="24">
        <v>1.71</v>
      </c>
    </row>
    <row r="2995" s="24" customFormat="1" spans="1:6">
      <c r="A2995" s="24" t="s">
        <v>142</v>
      </c>
      <c r="B2995" s="24" t="str">
        <f>"300388"</f>
        <v>300388</v>
      </c>
      <c r="C2995" s="24" t="s">
        <v>3201</v>
      </c>
      <c r="D2995" s="24" t="s">
        <v>214</v>
      </c>
      <c r="E2995" s="24">
        <v>23.34</v>
      </c>
      <c r="F2995" s="24">
        <v>2.29</v>
      </c>
    </row>
    <row r="2996" s="24" customFormat="1" spans="1:6">
      <c r="A2996" s="24" t="s">
        <v>142</v>
      </c>
      <c r="B2996" s="24" t="str">
        <f>"002375"</f>
        <v>002375</v>
      </c>
      <c r="C2996" s="24" t="s">
        <v>3202</v>
      </c>
      <c r="D2996" s="24" t="s">
        <v>315</v>
      </c>
      <c r="E2996" s="24">
        <v>23.33</v>
      </c>
      <c r="F2996" s="24">
        <v>0.89</v>
      </c>
    </row>
    <row r="2997" s="24" customFormat="1" spans="1:6">
      <c r="A2997" s="24" t="s">
        <v>140</v>
      </c>
      <c r="B2997" s="24" t="str">
        <f>"603500"</f>
        <v>603500</v>
      </c>
      <c r="C2997" s="24" t="s">
        <v>3203</v>
      </c>
      <c r="D2997" s="24" t="s">
        <v>165</v>
      </c>
      <c r="E2997" s="24">
        <v>23.33</v>
      </c>
      <c r="F2997" s="24">
        <v>2.38</v>
      </c>
    </row>
    <row r="2998" s="24" customFormat="1" spans="1:6">
      <c r="A2998" s="24" t="s">
        <v>140</v>
      </c>
      <c r="B2998" s="24" t="str">
        <f>"603839"</f>
        <v>603839</v>
      </c>
      <c r="C2998" s="24" t="s">
        <v>3204</v>
      </c>
      <c r="D2998" s="24" t="s">
        <v>161</v>
      </c>
      <c r="E2998" s="24">
        <v>23.29</v>
      </c>
      <c r="F2998" s="24">
        <v>2.23</v>
      </c>
    </row>
    <row r="2999" s="24" customFormat="1" spans="1:6">
      <c r="A2999" s="24" t="s">
        <v>140</v>
      </c>
      <c r="B2999" s="24" t="str">
        <f>"600026"</f>
        <v>600026</v>
      </c>
      <c r="C2999" s="24" t="s">
        <v>3205</v>
      </c>
      <c r="D2999" s="24" t="s">
        <v>397</v>
      </c>
      <c r="E2999" s="24">
        <v>23.26</v>
      </c>
      <c r="F2999" s="24">
        <v>0.81</v>
      </c>
    </row>
    <row r="3000" s="24" customFormat="1" spans="1:6">
      <c r="A3000" s="24" t="s">
        <v>140</v>
      </c>
      <c r="B3000" s="24" t="str">
        <f>"603966"</f>
        <v>603966</v>
      </c>
      <c r="C3000" s="24" t="s">
        <v>3206</v>
      </c>
      <c r="D3000" s="24" t="s">
        <v>165</v>
      </c>
      <c r="E3000" s="24">
        <v>23.25</v>
      </c>
      <c r="F3000" s="24">
        <v>3.97</v>
      </c>
    </row>
    <row r="3001" s="24" customFormat="1" spans="1:6">
      <c r="A3001" s="24" t="s">
        <v>142</v>
      </c>
      <c r="B3001" s="24" t="str">
        <f>"000557"</f>
        <v>000557</v>
      </c>
      <c r="C3001" s="24" t="s">
        <v>3207</v>
      </c>
      <c r="D3001" s="24" t="s">
        <v>540</v>
      </c>
      <c r="E3001" s="24">
        <v>23.24</v>
      </c>
      <c r="F3001" s="24">
        <v>0.84</v>
      </c>
    </row>
    <row r="3002" s="24" customFormat="1" spans="1:6">
      <c r="A3002" s="24" t="s">
        <v>140</v>
      </c>
      <c r="B3002" s="24" t="str">
        <f>"600798"</f>
        <v>600798</v>
      </c>
      <c r="C3002" s="24" t="s">
        <v>3208</v>
      </c>
      <c r="D3002" s="24" t="s">
        <v>397</v>
      </c>
      <c r="E3002" s="24">
        <v>23.24</v>
      </c>
      <c r="F3002" s="24">
        <v>1.06</v>
      </c>
    </row>
    <row r="3003" s="24" customFormat="1" spans="1:6">
      <c r="A3003" s="24" t="s">
        <v>142</v>
      </c>
      <c r="B3003" s="24" t="str">
        <f>"000524"</f>
        <v>000524</v>
      </c>
      <c r="C3003" s="24" t="s">
        <v>3209</v>
      </c>
      <c r="D3003" s="24" t="s">
        <v>453</v>
      </c>
      <c r="E3003" s="24">
        <v>23.24</v>
      </c>
      <c r="F3003" s="24">
        <v>1.65</v>
      </c>
    </row>
    <row r="3004" s="24" customFormat="1" spans="1:6">
      <c r="A3004" s="24" t="s">
        <v>140</v>
      </c>
      <c r="B3004" s="24" t="str">
        <f>"600258"</f>
        <v>600258</v>
      </c>
      <c r="C3004" s="24" t="s">
        <v>3210</v>
      </c>
      <c r="D3004" s="24" t="s">
        <v>453</v>
      </c>
      <c r="E3004" s="24">
        <v>23.24</v>
      </c>
      <c r="F3004" s="24">
        <v>4.06</v>
      </c>
    </row>
    <row r="3005" s="24" customFormat="1" spans="1:6">
      <c r="A3005" s="24" t="s">
        <v>142</v>
      </c>
      <c r="B3005" s="24" t="str">
        <f>"002047"</f>
        <v>002047</v>
      </c>
      <c r="C3005" s="24" t="s">
        <v>3211</v>
      </c>
      <c r="D3005" s="24" t="s">
        <v>315</v>
      </c>
      <c r="E3005" s="24">
        <v>23.2</v>
      </c>
      <c r="F3005" s="24">
        <v>1.61</v>
      </c>
    </row>
    <row r="3006" s="24" customFormat="1" spans="1:6">
      <c r="A3006" s="24" t="s">
        <v>142</v>
      </c>
      <c r="B3006" s="24" t="str">
        <f>"000019"</f>
        <v>000019</v>
      </c>
      <c r="C3006" s="24" t="s">
        <v>3212</v>
      </c>
      <c r="D3006" s="24" t="s">
        <v>309</v>
      </c>
      <c r="E3006" s="24">
        <v>23.19</v>
      </c>
      <c r="F3006" s="24">
        <v>1.49</v>
      </c>
    </row>
    <row r="3007" s="24" customFormat="1" spans="1:6">
      <c r="A3007" s="24" t="s">
        <v>142</v>
      </c>
      <c r="B3007" s="24" t="str">
        <f>"000722"</f>
        <v>000722</v>
      </c>
      <c r="C3007" s="24" t="s">
        <v>3213</v>
      </c>
      <c r="D3007" s="24" t="s">
        <v>188</v>
      </c>
      <c r="E3007" s="24">
        <v>23.18</v>
      </c>
      <c r="F3007" s="24">
        <v>0.93</v>
      </c>
    </row>
    <row r="3008" s="24" customFormat="1" spans="1:6">
      <c r="A3008" s="24" t="s">
        <v>140</v>
      </c>
      <c r="B3008" s="24" t="str">
        <f>"603136"</f>
        <v>603136</v>
      </c>
      <c r="C3008" s="24" t="s">
        <v>3214</v>
      </c>
      <c r="D3008" s="24" t="s">
        <v>453</v>
      </c>
      <c r="E3008" s="24">
        <v>23.17</v>
      </c>
      <c r="F3008" s="24">
        <v>3.01</v>
      </c>
    </row>
    <row r="3009" s="24" customFormat="1" spans="1:6">
      <c r="A3009" s="24" t="s">
        <v>142</v>
      </c>
      <c r="B3009" s="24" t="str">
        <f>"000876"</f>
        <v>000876</v>
      </c>
      <c r="C3009" s="24" t="s">
        <v>3215</v>
      </c>
      <c r="D3009" s="24" t="s">
        <v>145</v>
      </c>
      <c r="E3009" s="24">
        <v>23.15</v>
      </c>
      <c r="F3009" s="24">
        <v>3.63</v>
      </c>
    </row>
    <row r="3010" s="24" customFormat="1" spans="1:6">
      <c r="A3010" s="24" t="s">
        <v>142</v>
      </c>
      <c r="B3010" s="24" t="str">
        <f>"002926"</f>
        <v>002926</v>
      </c>
      <c r="C3010" s="24" t="s">
        <v>3216</v>
      </c>
      <c r="D3010" s="24" t="s">
        <v>714</v>
      </c>
      <c r="E3010" s="24">
        <v>23.14</v>
      </c>
      <c r="F3010" s="24">
        <v>1.39</v>
      </c>
    </row>
    <row r="3011" s="24" customFormat="1" spans="1:6">
      <c r="A3011" s="24" t="s">
        <v>140</v>
      </c>
      <c r="B3011" s="24" t="str">
        <f>"601010"</f>
        <v>601010</v>
      </c>
      <c r="C3011" s="24" t="s">
        <v>3217</v>
      </c>
      <c r="D3011" s="24" t="s">
        <v>148</v>
      </c>
      <c r="E3011" s="24">
        <v>23.12</v>
      </c>
      <c r="F3011" s="24">
        <v>1.18</v>
      </c>
    </row>
    <row r="3012" s="24" customFormat="1" spans="1:6">
      <c r="A3012" s="24" t="s">
        <v>142</v>
      </c>
      <c r="B3012" s="24" t="str">
        <f>"002403"</f>
        <v>002403</v>
      </c>
      <c r="C3012" s="24" t="s">
        <v>3218</v>
      </c>
      <c r="D3012" s="24" t="s">
        <v>200</v>
      </c>
      <c r="E3012" s="24">
        <v>23.12</v>
      </c>
      <c r="F3012" s="24">
        <v>1.42</v>
      </c>
    </row>
    <row r="3013" s="24" customFormat="1" spans="1:6">
      <c r="A3013" s="24" t="s">
        <v>140</v>
      </c>
      <c r="B3013" s="24" t="str">
        <f>"600469"</f>
        <v>600469</v>
      </c>
      <c r="C3013" s="24" t="s">
        <v>3219</v>
      </c>
      <c r="D3013" s="24" t="s">
        <v>204</v>
      </c>
      <c r="E3013" s="24">
        <v>23.1</v>
      </c>
      <c r="F3013" s="24">
        <v>1.36</v>
      </c>
    </row>
    <row r="3014" s="24" customFormat="1" spans="1:6">
      <c r="A3014" s="24" t="s">
        <v>142</v>
      </c>
      <c r="B3014" s="24" t="str">
        <f>"300371"</f>
        <v>300371</v>
      </c>
      <c r="C3014" s="24" t="s">
        <v>3220</v>
      </c>
      <c r="D3014" s="24" t="s">
        <v>152</v>
      </c>
      <c r="E3014" s="24">
        <v>23.08</v>
      </c>
      <c r="F3014" s="24">
        <v>3.06</v>
      </c>
    </row>
    <row r="3015" s="24" customFormat="1" spans="1:6">
      <c r="A3015" s="24" t="s">
        <v>142</v>
      </c>
      <c r="B3015" s="24" t="str">
        <f>"002236"</f>
        <v>002236</v>
      </c>
      <c r="C3015" s="24" t="s">
        <v>3221</v>
      </c>
      <c r="D3015" s="24" t="s">
        <v>152</v>
      </c>
      <c r="E3015" s="24">
        <v>23.07</v>
      </c>
      <c r="F3015" s="24">
        <v>4.26</v>
      </c>
    </row>
    <row r="3016" s="24" customFormat="1" spans="1:6">
      <c r="A3016" s="24" t="s">
        <v>140</v>
      </c>
      <c r="B3016" s="24" t="str">
        <f>"600731"</f>
        <v>600731</v>
      </c>
      <c r="C3016" s="24" t="s">
        <v>3222</v>
      </c>
      <c r="D3016" s="24" t="s">
        <v>278</v>
      </c>
      <c r="E3016" s="24">
        <v>23.03</v>
      </c>
      <c r="F3016" s="24">
        <v>2.16</v>
      </c>
    </row>
    <row r="3017" s="24" customFormat="1" spans="1:6">
      <c r="A3017" s="24" t="s">
        <v>142</v>
      </c>
      <c r="B3017" s="24" t="str">
        <f>"300697"</f>
        <v>300697</v>
      </c>
      <c r="C3017" s="24" t="s">
        <v>3223</v>
      </c>
      <c r="D3017" s="24" t="s">
        <v>167</v>
      </c>
      <c r="E3017" s="24">
        <v>23.03</v>
      </c>
      <c r="F3017" s="24">
        <v>3.38</v>
      </c>
    </row>
    <row r="3018" s="24" customFormat="1" spans="1:6">
      <c r="A3018" s="24" t="s">
        <v>140</v>
      </c>
      <c r="B3018" s="24" t="str">
        <f>"600419"</f>
        <v>600419</v>
      </c>
      <c r="C3018" s="24" t="s">
        <v>3224</v>
      </c>
      <c r="D3018" s="24" t="s">
        <v>190</v>
      </c>
      <c r="E3018" s="24">
        <v>22.99</v>
      </c>
      <c r="F3018" s="24">
        <v>2.11</v>
      </c>
    </row>
    <row r="3019" s="24" customFormat="1" spans="1:6">
      <c r="A3019" s="24" t="s">
        <v>142</v>
      </c>
      <c r="B3019" s="24" t="str">
        <f>"002587"</f>
        <v>002587</v>
      </c>
      <c r="C3019" s="24" t="s">
        <v>3225</v>
      </c>
      <c r="D3019" s="24" t="s">
        <v>230</v>
      </c>
      <c r="E3019" s="24">
        <v>22.98</v>
      </c>
      <c r="F3019" s="24">
        <v>3.95</v>
      </c>
    </row>
    <row r="3020" s="24" customFormat="1" spans="1:6">
      <c r="A3020" s="24" t="s">
        <v>142</v>
      </c>
      <c r="B3020" s="24" t="str">
        <f>"300637"</f>
        <v>300637</v>
      </c>
      <c r="C3020" s="24" t="s">
        <v>3226</v>
      </c>
      <c r="D3020" s="24" t="s">
        <v>228</v>
      </c>
      <c r="E3020" s="24">
        <v>22.93</v>
      </c>
      <c r="F3020" s="24">
        <v>3.59</v>
      </c>
    </row>
    <row r="3021" s="24" customFormat="1" spans="1:6">
      <c r="A3021" s="24" t="s">
        <v>142</v>
      </c>
      <c r="B3021" s="24" t="str">
        <f>"300434"</f>
        <v>300434</v>
      </c>
      <c r="C3021" s="24" t="s">
        <v>3227</v>
      </c>
      <c r="D3021" s="24" t="s">
        <v>464</v>
      </c>
      <c r="E3021" s="24">
        <v>22.92</v>
      </c>
      <c r="F3021" s="24">
        <v>1.76</v>
      </c>
    </row>
    <row r="3022" s="24" customFormat="1" spans="1:6">
      <c r="A3022" s="24" t="s">
        <v>140</v>
      </c>
      <c r="B3022" s="24" t="str">
        <f>"600487"</f>
        <v>600487</v>
      </c>
      <c r="C3022" s="24" t="s">
        <v>3228</v>
      </c>
      <c r="D3022" s="24" t="s">
        <v>193</v>
      </c>
      <c r="E3022" s="24">
        <v>22.9</v>
      </c>
      <c r="F3022" s="24">
        <v>2.34</v>
      </c>
    </row>
    <row r="3023" s="24" customFormat="1" spans="1:6">
      <c r="A3023" s="24" t="s">
        <v>142</v>
      </c>
      <c r="B3023" s="24" t="str">
        <f>"000615"</f>
        <v>000615</v>
      </c>
      <c r="C3023" s="24" t="s">
        <v>3229</v>
      </c>
      <c r="D3023" s="24" t="s">
        <v>244</v>
      </c>
      <c r="E3023" s="24">
        <v>22.89</v>
      </c>
      <c r="F3023" s="24">
        <v>1.59</v>
      </c>
    </row>
    <row r="3024" s="24" customFormat="1" spans="1:6">
      <c r="A3024" s="24" t="s">
        <v>142</v>
      </c>
      <c r="B3024" s="24" t="str">
        <f>"300690"</f>
        <v>300690</v>
      </c>
      <c r="C3024" s="24" t="s">
        <v>3230</v>
      </c>
      <c r="D3024" s="24" t="s">
        <v>644</v>
      </c>
      <c r="E3024" s="24">
        <v>22.87</v>
      </c>
      <c r="F3024" s="24">
        <v>2.67</v>
      </c>
    </row>
    <row r="3025" s="24" customFormat="1" spans="1:6">
      <c r="A3025" s="24" t="s">
        <v>142</v>
      </c>
      <c r="B3025" s="24" t="str">
        <f>"002727"</f>
        <v>002727</v>
      </c>
      <c r="C3025" s="24" t="s">
        <v>3231</v>
      </c>
      <c r="D3025" s="24" t="s">
        <v>584</v>
      </c>
      <c r="E3025" s="24">
        <v>22.87</v>
      </c>
      <c r="F3025" s="24">
        <v>3.97</v>
      </c>
    </row>
    <row r="3026" s="24" customFormat="1" spans="1:6">
      <c r="A3026" s="24" t="s">
        <v>142</v>
      </c>
      <c r="B3026" s="24" t="str">
        <f>"000999"</f>
        <v>000999</v>
      </c>
      <c r="C3026" s="24" t="s">
        <v>3232</v>
      </c>
      <c r="D3026" s="24" t="s">
        <v>464</v>
      </c>
      <c r="E3026" s="24">
        <v>22.87</v>
      </c>
      <c r="F3026" s="24">
        <v>3.63</v>
      </c>
    </row>
    <row r="3027" s="24" customFormat="1" spans="1:6">
      <c r="A3027" s="24" t="s">
        <v>140</v>
      </c>
      <c r="B3027" s="24" t="str">
        <f>"603351"</f>
        <v>603351</v>
      </c>
      <c r="C3027" s="24" t="s">
        <v>3233</v>
      </c>
      <c r="D3027" s="24" t="s">
        <v>228</v>
      </c>
      <c r="E3027" s="24">
        <v>22.86</v>
      </c>
      <c r="F3027" s="24">
        <v>2.4</v>
      </c>
    </row>
    <row r="3028" s="24" customFormat="1" spans="1:6">
      <c r="A3028" s="24" t="s">
        <v>142</v>
      </c>
      <c r="B3028" s="24" t="str">
        <f>"002753"</f>
        <v>002753</v>
      </c>
      <c r="C3028" s="24" t="s">
        <v>3234</v>
      </c>
      <c r="D3028" s="24" t="s">
        <v>256</v>
      </c>
      <c r="E3028" s="24">
        <v>22.86</v>
      </c>
      <c r="F3028" s="24">
        <v>1.52</v>
      </c>
    </row>
    <row r="3029" s="24" customFormat="1" spans="1:6">
      <c r="A3029" s="24" t="s">
        <v>142</v>
      </c>
      <c r="B3029" s="24" t="str">
        <f>"300512"</f>
        <v>300512</v>
      </c>
      <c r="C3029" s="24" t="s">
        <v>3235</v>
      </c>
      <c r="D3029" s="24" t="s">
        <v>165</v>
      </c>
      <c r="E3029" s="24">
        <v>22.84</v>
      </c>
      <c r="F3029" s="24">
        <v>2.13</v>
      </c>
    </row>
    <row r="3030" s="24" customFormat="1" spans="1:6">
      <c r="A3030" s="24" t="s">
        <v>142</v>
      </c>
      <c r="B3030" s="24" t="str">
        <f>"000421"</f>
        <v>000421</v>
      </c>
      <c r="C3030" s="24" t="s">
        <v>3236</v>
      </c>
      <c r="D3030" s="24" t="s">
        <v>195</v>
      </c>
      <c r="E3030" s="24">
        <v>22.83</v>
      </c>
      <c r="F3030" s="24">
        <v>0.91</v>
      </c>
    </row>
    <row r="3031" s="24" customFormat="1" spans="1:6">
      <c r="A3031" s="24" t="s">
        <v>140</v>
      </c>
      <c r="B3031" s="24" t="str">
        <f>"600422"</f>
        <v>600422</v>
      </c>
      <c r="C3031" s="24" t="s">
        <v>3237</v>
      </c>
      <c r="D3031" s="24" t="s">
        <v>388</v>
      </c>
      <c r="E3031" s="24">
        <v>22.83</v>
      </c>
      <c r="F3031" s="24">
        <v>2.04</v>
      </c>
    </row>
    <row r="3032" s="24" customFormat="1" spans="1:6">
      <c r="A3032" s="24" t="s">
        <v>142</v>
      </c>
      <c r="B3032" s="24" t="str">
        <f>"000539"</f>
        <v>000539</v>
      </c>
      <c r="C3032" s="24" t="s">
        <v>3238</v>
      </c>
      <c r="D3032" s="24" t="s">
        <v>188</v>
      </c>
      <c r="E3032" s="24">
        <v>22.8</v>
      </c>
      <c r="F3032" s="24">
        <v>0.75</v>
      </c>
    </row>
    <row r="3033" s="24" customFormat="1" spans="1:6">
      <c r="A3033" s="24" t="s">
        <v>140</v>
      </c>
      <c r="B3033" s="24" t="str">
        <f>"600339"</f>
        <v>600339</v>
      </c>
      <c r="C3033" s="24" t="s">
        <v>3239</v>
      </c>
      <c r="D3033" s="24" t="s">
        <v>377</v>
      </c>
      <c r="E3033" s="24">
        <v>22.79</v>
      </c>
      <c r="F3033" s="24">
        <v>0.69</v>
      </c>
    </row>
    <row r="3034" s="24" customFormat="1" spans="1:6">
      <c r="A3034" s="24" t="s">
        <v>142</v>
      </c>
      <c r="B3034" s="24" t="str">
        <f>"002275"</f>
        <v>002275</v>
      </c>
      <c r="C3034" s="24" t="s">
        <v>3240</v>
      </c>
      <c r="D3034" s="24" t="s">
        <v>388</v>
      </c>
      <c r="E3034" s="24">
        <v>22.77</v>
      </c>
      <c r="F3034" s="24">
        <v>2.93</v>
      </c>
    </row>
    <row r="3035" s="24" customFormat="1" spans="1:6">
      <c r="A3035" s="24" t="s">
        <v>140</v>
      </c>
      <c r="B3035" s="24" t="str">
        <f>"601566"</f>
        <v>601566</v>
      </c>
      <c r="C3035" s="24" t="s">
        <v>3241</v>
      </c>
      <c r="D3035" s="24" t="s">
        <v>161</v>
      </c>
      <c r="E3035" s="24">
        <v>22.77</v>
      </c>
      <c r="F3035" s="24">
        <v>1.45</v>
      </c>
    </row>
    <row r="3036" s="24" customFormat="1" spans="1:6">
      <c r="A3036" s="24" t="s">
        <v>142</v>
      </c>
      <c r="B3036" s="24" t="str">
        <f>"002612"</f>
        <v>002612</v>
      </c>
      <c r="C3036" s="24" t="s">
        <v>3242</v>
      </c>
      <c r="D3036" s="24" t="s">
        <v>161</v>
      </c>
      <c r="E3036" s="24">
        <v>22.77</v>
      </c>
      <c r="F3036" s="24">
        <v>1.36</v>
      </c>
    </row>
    <row r="3037" s="24" customFormat="1" spans="1:6">
      <c r="A3037" s="24" t="s">
        <v>142</v>
      </c>
      <c r="B3037" s="24" t="str">
        <f>"002705"</f>
        <v>002705</v>
      </c>
      <c r="C3037" s="24" t="s">
        <v>3243</v>
      </c>
      <c r="D3037" s="24" t="s">
        <v>184</v>
      </c>
      <c r="E3037" s="24">
        <v>22.76</v>
      </c>
      <c r="F3037" s="24">
        <v>4.01</v>
      </c>
    </row>
    <row r="3038" s="24" customFormat="1" spans="1:6">
      <c r="A3038" s="24" t="s">
        <v>140</v>
      </c>
      <c r="B3038" s="24" t="str">
        <f>"601021"</f>
        <v>601021</v>
      </c>
      <c r="C3038" s="24" t="s">
        <v>3244</v>
      </c>
      <c r="D3038" s="24" t="s">
        <v>423</v>
      </c>
      <c r="E3038" s="24">
        <v>22.72</v>
      </c>
      <c r="F3038" s="24">
        <v>2.34</v>
      </c>
    </row>
    <row r="3039" s="24" customFormat="1" spans="1:6">
      <c r="A3039" s="24" t="s">
        <v>142</v>
      </c>
      <c r="B3039" s="24" t="str">
        <f>"002084"</f>
        <v>002084</v>
      </c>
      <c r="C3039" s="24" t="s">
        <v>3245</v>
      </c>
      <c r="D3039" s="24" t="s">
        <v>200</v>
      </c>
      <c r="E3039" s="24">
        <v>22.7</v>
      </c>
      <c r="F3039" s="24">
        <v>1.8</v>
      </c>
    </row>
    <row r="3040" s="24" customFormat="1" spans="1:6">
      <c r="A3040" s="24" t="s">
        <v>140</v>
      </c>
      <c r="B3040" s="24" t="str">
        <f>"603199"</f>
        <v>603199</v>
      </c>
      <c r="C3040" s="24" t="s">
        <v>3246</v>
      </c>
      <c r="D3040" s="24" t="s">
        <v>453</v>
      </c>
      <c r="E3040" s="24">
        <v>22.66</v>
      </c>
      <c r="F3040" s="24">
        <v>2.04</v>
      </c>
    </row>
    <row r="3041" s="24" customFormat="1" spans="1:6">
      <c r="A3041" s="24" t="s">
        <v>142</v>
      </c>
      <c r="B3041" s="24" t="str">
        <f>"000686"</f>
        <v>000686</v>
      </c>
      <c r="C3041" s="24" t="s">
        <v>3247</v>
      </c>
      <c r="D3041" s="24" t="s">
        <v>714</v>
      </c>
      <c r="E3041" s="24">
        <v>22.66</v>
      </c>
      <c r="F3041" s="24">
        <v>1.25</v>
      </c>
    </row>
    <row r="3042" s="24" customFormat="1" spans="1:6">
      <c r="A3042" s="24" t="s">
        <v>142</v>
      </c>
      <c r="B3042" s="24" t="str">
        <f>"300500"</f>
        <v>300500</v>
      </c>
      <c r="C3042" s="24" t="s">
        <v>3248</v>
      </c>
      <c r="D3042" s="24" t="s">
        <v>214</v>
      </c>
      <c r="E3042" s="24">
        <v>22.63</v>
      </c>
      <c r="F3042" s="24">
        <v>2.58</v>
      </c>
    </row>
    <row r="3043" s="24" customFormat="1" spans="1:6">
      <c r="A3043" s="24" t="s">
        <v>140</v>
      </c>
      <c r="B3043" s="24" t="str">
        <f>"601137"</f>
        <v>601137</v>
      </c>
      <c r="C3043" s="24" t="s">
        <v>3249</v>
      </c>
      <c r="D3043" s="24" t="s">
        <v>1003</v>
      </c>
      <c r="E3043" s="24">
        <v>22.62</v>
      </c>
      <c r="F3043" s="24">
        <v>2.16</v>
      </c>
    </row>
    <row r="3044" s="24" customFormat="1" spans="1:6">
      <c r="A3044" s="24" t="s">
        <v>140</v>
      </c>
      <c r="B3044" s="24" t="str">
        <f>"603868"</f>
        <v>603868</v>
      </c>
      <c r="C3044" s="24" t="s">
        <v>3250</v>
      </c>
      <c r="D3044" s="24" t="s">
        <v>184</v>
      </c>
      <c r="E3044" s="24">
        <v>22.59</v>
      </c>
      <c r="F3044" s="24">
        <v>6.23</v>
      </c>
    </row>
    <row r="3045" s="24" customFormat="1" spans="1:6">
      <c r="A3045" s="24" t="s">
        <v>142</v>
      </c>
      <c r="B3045" s="24" t="str">
        <f>"300038"</f>
        <v>300038</v>
      </c>
      <c r="C3045" s="24" t="s">
        <v>3251</v>
      </c>
      <c r="D3045" s="24" t="s">
        <v>163</v>
      </c>
      <c r="E3045" s="24">
        <v>22.57</v>
      </c>
      <c r="F3045" s="24">
        <v>2.35</v>
      </c>
    </row>
    <row r="3046" s="24" customFormat="1" spans="1:6">
      <c r="A3046" s="24" t="s">
        <v>142</v>
      </c>
      <c r="B3046" s="24" t="str">
        <f>"300497"</f>
        <v>300497</v>
      </c>
      <c r="C3046" s="24" t="s">
        <v>3252</v>
      </c>
      <c r="D3046" s="24" t="s">
        <v>997</v>
      </c>
      <c r="E3046" s="24">
        <v>22.57</v>
      </c>
      <c r="F3046" s="24">
        <v>4.13</v>
      </c>
    </row>
    <row r="3047" s="24" customFormat="1" spans="1:6">
      <c r="A3047" s="24" t="s">
        <v>140</v>
      </c>
      <c r="B3047" s="24" t="str">
        <f>"600219"</f>
        <v>600219</v>
      </c>
      <c r="C3047" s="24" t="s">
        <v>3253</v>
      </c>
      <c r="D3047" s="24" t="s">
        <v>167</v>
      </c>
      <c r="E3047" s="24">
        <v>22.56</v>
      </c>
      <c r="F3047" s="24">
        <v>0.65</v>
      </c>
    </row>
    <row r="3048" s="24" customFormat="1" spans="1:6">
      <c r="A3048" s="24" t="s">
        <v>140</v>
      </c>
      <c r="B3048" s="24" t="str">
        <f>"601326"</f>
        <v>601326</v>
      </c>
      <c r="C3048" s="24" t="s">
        <v>3254</v>
      </c>
      <c r="D3048" s="24" t="s">
        <v>1016</v>
      </c>
      <c r="E3048" s="24">
        <v>22.55</v>
      </c>
      <c r="F3048" s="24">
        <v>1.07</v>
      </c>
    </row>
    <row r="3049" s="24" customFormat="1" spans="1:6">
      <c r="A3049" s="24" t="s">
        <v>140</v>
      </c>
      <c r="B3049" s="24" t="str">
        <f>"603306"</f>
        <v>603306</v>
      </c>
      <c r="C3049" s="24" t="s">
        <v>3255</v>
      </c>
      <c r="D3049" s="24" t="s">
        <v>204</v>
      </c>
      <c r="E3049" s="24">
        <v>22.55</v>
      </c>
      <c r="F3049" s="24">
        <v>1.75</v>
      </c>
    </row>
    <row r="3050" s="24" customFormat="1" spans="1:6">
      <c r="A3050" s="24" t="s">
        <v>142</v>
      </c>
      <c r="B3050" s="24" t="str">
        <f>"000026"</f>
        <v>000026</v>
      </c>
      <c r="C3050" s="24" t="s">
        <v>3256</v>
      </c>
      <c r="D3050" s="24" t="s">
        <v>207</v>
      </c>
      <c r="E3050" s="24">
        <v>22.53</v>
      </c>
      <c r="F3050" s="24">
        <v>1.58</v>
      </c>
    </row>
    <row r="3051" s="24" customFormat="1" spans="1:6">
      <c r="A3051" s="24" t="s">
        <v>142</v>
      </c>
      <c r="B3051" s="24" t="str">
        <f>"002111"</f>
        <v>002111</v>
      </c>
      <c r="C3051" s="24" t="s">
        <v>3257</v>
      </c>
      <c r="D3051" s="24" t="s">
        <v>173</v>
      </c>
      <c r="E3051" s="24">
        <v>22.53</v>
      </c>
      <c r="F3051" s="24">
        <v>2.56</v>
      </c>
    </row>
    <row r="3052" s="24" customFormat="1" spans="1:6">
      <c r="A3052" s="24" t="s">
        <v>140</v>
      </c>
      <c r="B3052" s="24" t="str">
        <f>"600497"</f>
        <v>600497</v>
      </c>
      <c r="C3052" s="24" t="s">
        <v>3258</v>
      </c>
      <c r="D3052" s="24" t="s">
        <v>167</v>
      </c>
      <c r="E3052" s="24">
        <v>22.52</v>
      </c>
      <c r="F3052" s="24">
        <v>1.3</v>
      </c>
    </row>
    <row r="3053" s="24" customFormat="1" spans="1:6">
      <c r="A3053" s="24" t="s">
        <v>140</v>
      </c>
      <c r="B3053" s="24" t="str">
        <f>"603556"</f>
        <v>603556</v>
      </c>
      <c r="C3053" s="24" t="s">
        <v>3259</v>
      </c>
      <c r="D3053" s="24" t="s">
        <v>251</v>
      </c>
      <c r="E3053" s="24">
        <v>22.51</v>
      </c>
      <c r="F3053" s="24">
        <v>1.46</v>
      </c>
    </row>
    <row r="3054" s="24" customFormat="1" spans="1:6">
      <c r="A3054" s="24" t="s">
        <v>140</v>
      </c>
      <c r="B3054" s="24" t="str">
        <f>"600030"</f>
        <v>600030</v>
      </c>
      <c r="C3054" s="24" t="s">
        <v>3260</v>
      </c>
      <c r="D3054" s="24" t="s">
        <v>714</v>
      </c>
      <c r="E3054" s="24">
        <v>22.45</v>
      </c>
      <c r="F3054" s="24">
        <v>1.83</v>
      </c>
    </row>
    <row r="3055" s="24" customFormat="1" spans="1:6">
      <c r="A3055" s="24" t="s">
        <v>140</v>
      </c>
      <c r="B3055" s="24" t="str">
        <f>"603332"</f>
        <v>603332</v>
      </c>
      <c r="C3055" s="24" t="s">
        <v>3261</v>
      </c>
      <c r="D3055" s="24" t="s">
        <v>302</v>
      </c>
      <c r="E3055" s="24">
        <v>22.43</v>
      </c>
      <c r="F3055" s="24">
        <v>2.14</v>
      </c>
    </row>
    <row r="3056" s="24" customFormat="1" spans="1:6">
      <c r="A3056" s="24" t="s">
        <v>140</v>
      </c>
      <c r="B3056" s="24" t="str">
        <f>"603360"</f>
        <v>603360</v>
      </c>
      <c r="C3056" s="24" t="s">
        <v>3262</v>
      </c>
      <c r="D3056" s="24" t="s">
        <v>228</v>
      </c>
      <c r="E3056" s="24">
        <v>22.42</v>
      </c>
      <c r="F3056" s="24">
        <v>6.18</v>
      </c>
    </row>
    <row r="3057" s="24" customFormat="1" spans="1:6">
      <c r="A3057" s="24" t="s">
        <v>140</v>
      </c>
      <c r="B3057" s="24" t="str">
        <f>"600619"</f>
        <v>600619</v>
      </c>
      <c r="C3057" s="24" t="s">
        <v>3263</v>
      </c>
      <c r="D3057" s="24" t="s">
        <v>165</v>
      </c>
      <c r="E3057" s="24">
        <v>22.41</v>
      </c>
      <c r="F3057" s="24">
        <v>1.55</v>
      </c>
    </row>
    <row r="3058" s="24" customFormat="1" spans="1:6">
      <c r="A3058" s="24" t="s">
        <v>140</v>
      </c>
      <c r="B3058" s="24" t="str">
        <f>"600623"</f>
        <v>600623</v>
      </c>
      <c r="C3058" s="24" t="s">
        <v>3264</v>
      </c>
      <c r="D3058" s="24" t="s">
        <v>228</v>
      </c>
      <c r="E3058" s="24">
        <v>22.4</v>
      </c>
      <c r="F3058" s="24">
        <v>0.68</v>
      </c>
    </row>
    <row r="3059" s="24" customFormat="1" spans="1:6">
      <c r="A3059" s="24" t="s">
        <v>142</v>
      </c>
      <c r="B3059" s="24" t="str">
        <f>"300610"</f>
        <v>300610</v>
      </c>
      <c r="C3059" s="24" t="s">
        <v>3265</v>
      </c>
      <c r="D3059" s="24" t="s">
        <v>256</v>
      </c>
      <c r="E3059" s="24">
        <v>22.39</v>
      </c>
      <c r="F3059" s="24">
        <v>2.04</v>
      </c>
    </row>
    <row r="3060" s="24" customFormat="1" spans="1:6">
      <c r="A3060" s="24" t="s">
        <v>142</v>
      </c>
      <c r="B3060" s="24" t="str">
        <f>"002743"</f>
        <v>002743</v>
      </c>
      <c r="C3060" s="24" t="s">
        <v>3266</v>
      </c>
      <c r="D3060" s="24" t="s">
        <v>573</v>
      </c>
      <c r="E3060" s="24">
        <v>22.38</v>
      </c>
      <c r="F3060" s="24">
        <v>0.92</v>
      </c>
    </row>
    <row r="3061" s="24" customFormat="1" spans="1:6">
      <c r="A3061" s="24" t="s">
        <v>142</v>
      </c>
      <c r="B3061" s="24" t="str">
        <f>"300164"</f>
        <v>300164</v>
      </c>
      <c r="C3061" s="24" t="s">
        <v>3267</v>
      </c>
      <c r="D3061" s="24" t="s">
        <v>377</v>
      </c>
      <c r="E3061" s="24">
        <v>22.38</v>
      </c>
      <c r="F3061" s="24">
        <v>2.24</v>
      </c>
    </row>
    <row r="3062" s="24" customFormat="1" spans="1:6">
      <c r="A3062" s="24" t="s">
        <v>140</v>
      </c>
      <c r="B3062" s="24" t="str">
        <f>"603192"</f>
        <v>603192</v>
      </c>
      <c r="C3062" s="24" t="s">
        <v>3268</v>
      </c>
      <c r="D3062" s="24" t="s">
        <v>228</v>
      </c>
      <c r="E3062" s="24">
        <v>22.37</v>
      </c>
      <c r="F3062" s="24">
        <v>2.18</v>
      </c>
    </row>
    <row r="3063" s="24" customFormat="1" spans="1:6">
      <c r="A3063" s="24" t="s">
        <v>140</v>
      </c>
      <c r="B3063" s="24" t="str">
        <f>"603967"</f>
        <v>603967</v>
      </c>
      <c r="C3063" s="24" t="s">
        <v>3269</v>
      </c>
      <c r="D3063" s="24" t="s">
        <v>177</v>
      </c>
      <c r="E3063" s="24">
        <v>22.37</v>
      </c>
      <c r="F3063" s="24">
        <v>2.03</v>
      </c>
    </row>
    <row r="3064" s="24" customFormat="1" spans="1:6">
      <c r="A3064" s="24" t="s">
        <v>142</v>
      </c>
      <c r="B3064" s="24" t="str">
        <f>"002457"</f>
        <v>002457</v>
      </c>
      <c r="C3064" s="24" t="s">
        <v>3270</v>
      </c>
      <c r="D3064" s="24" t="s">
        <v>573</v>
      </c>
      <c r="E3064" s="24">
        <v>22.32</v>
      </c>
      <c r="F3064" s="24">
        <v>1.37</v>
      </c>
    </row>
    <row r="3065" s="24" customFormat="1" spans="1:6">
      <c r="A3065" s="24" t="s">
        <v>140</v>
      </c>
      <c r="B3065" s="24" t="str">
        <f>"601138"</f>
        <v>601138</v>
      </c>
      <c r="C3065" s="24" t="s">
        <v>3271</v>
      </c>
      <c r="D3065" s="24" t="s">
        <v>152</v>
      </c>
      <c r="E3065" s="24">
        <v>22.3</v>
      </c>
      <c r="F3065" s="24">
        <v>4.54</v>
      </c>
    </row>
    <row r="3066" s="24" customFormat="1" spans="1:6">
      <c r="A3066" s="24" t="s">
        <v>140</v>
      </c>
      <c r="B3066" s="24" t="str">
        <f>"600814"</f>
        <v>600814</v>
      </c>
      <c r="C3066" s="24" t="s">
        <v>3272</v>
      </c>
      <c r="D3066" s="24" t="s">
        <v>148</v>
      </c>
      <c r="E3066" s="24">
        <v>22.29</v>
      </c>
      <c r="F3066" s="24">
        <v>1.38</v>
      </c>
    </row>
    <row r="3067" s="24" customFormat="1" spans="1:6">
      <c r="A3067" s="24" t="s">
        <v>140</v>
      </c>
      <c r="B3067" s="24" t="str">
        <f>"603081"</f>
        <v>603081</v>
      </c>
      <c r="C3067" s="24" t="s">
        <v>3273</v>
      </c>
      <c r="D3067" s="24" t="s">
        <v>173</v>
      </c>
      <c r="E3067" s="24">
        <v>22.24</v>
      </c>
      <c r="F3067" s="24">
        <v>2.72</v>
      </c>
    </row>
    <row r="3068" s="24" customFormat="1" spans="1:6">
      <c r="A3068" s="24" t="s">
        <v>140</v>
      </c>
      <c r="B3068" s="24" t="str">
        <f>"900902"</f>
        <v>900902</v>
      </c>
      <c r="C3068" s="24" t="s">
        <v>3274</v>
      </c>
      <c r="D3068" s="24"/>
      <c r="E3068" s="24">
        <v>22.22</v>
      </c>
      <c r="F3068" s="24">
        <v>0.73</v>
      </c>
    </row>
    <row r="3069" s="24" customFormat="1" spans="1:6">
      <c r="A3069" s="24" t="s">
        <v>140</v>
      </c>
      <c r="B3069" s="24" t="str">
        <f>"601788"</f>
        <v>601788</v>
      </c>
      <c r="C3069" s="24" t="s">
        <v>3275</v>
      </c>
      <c r="D3069" s="24" t="s">
        <v>714</v>
      </c>
      <c r="E3069" s="24">
        <v>22.16</v>
      </c>
      <c r="F3069" s="24">
        <v>1.1</v>
      </c>
    </row>
    <row r="3070" s="24" customFormat="1" spans="1:6">
      <c r="A3070" s="24" t="s">
        <v>140</v>
      </c>
      <c r="B3070" s="24" t="str">
        <f>"603699"</f>
        <v>603699</v>
      </c>
      <c r="C3070" s="24" t="s">
        <v>3276</v>
      </c>
      <c r="D3070" s="24" t="s">
        <v>165</v>
      </c>
      <c r="E3070" s="24">
        <v>22.14</v>
      </c>
      <c r="F3070" s="24">
        <v>3.63</v>
      </c>
    </row>
    <row r="3071" s="24" customFormat="1" spans="1:6">
      <c r="A3071" s="24" t="s">
        <v>142</v>
      </c>
      <c r="B3071" s="24" t="str">
        <f>"300396"</f>
        <v>300396</v>
      </c>
      <c r="C3071" s="24" t="s">
        <v>3277</v>
      </c>
      <c r="D3071" s="24" t="s">
        <v>618</v>
      </c>
      <c r="E3071" s="24">
        <v>22.13</v>
      </c>
      <c r="F3071" s="24">
        <v>4.49</v>
      </c>
    </row>
    <row r="3072" s="24" customFormat="1" spans="1:6">
      <c r="A3072" s="24" t="s">
        <v>142</v>
      </c>
      <c r="B3072" s="24" t="str">
        <f>"000417"</f>
        <v>000417</v>
      </c>
      <c r="C3072" s="24" t="s">
        <v>3278</v>
      </c>
      <c r="D3072" s="24" t="s">
        <v>148</v>
      </c>
      <c r="E3072" s="24">
        <v>22.12</v>
      </c>
      <c r="F3072" s="24">
        <v>0.88</v>
      </c>
    </row>
    <row r="3073" s="24" customFormat="1" spans="1:6">
      <c r="A3073" s="24" t="s">
        <v>142</v>
      </c>
      <c r="B3073" s="24" t="str">
        <f>"002722"</f>
        <v>002722</v>
      </c>
      <c r="C3073" s="24" t="s">
        <v>3279</v>
      </c>
      <c r="D3073" s="24" t="s">
        <v>258</v>
      </c>
      <c r="E3073" s="24">
        <v>22.09</v>
      </c>
      <c r="F3073" s="24">
        <v>1.7</v>
      </c>
    </row>
    <row r="3074" s="24" customFormat="1" spans="1:6">
      <c r="A3074" s="24" t="s">
        <v>142</v>
      </c>
      <c r="B3074" s="24" t="str">
        <f>"002911"</f>
        <v>002911</v>
      </c>
      <c r="C3074" s="24" t="s">
        <v>3280</v>
      </c>
      <c r="D3074" s="24" t="s">
        <v>195</v>
      </c>
      <c r="E3074" s="24">
        <v>22.05</v>
      </c>
      <c r="F3074" s="24">
        <v>2.91</v>
      </c>
    </row>
    <row r="3075" s="24" customFormat="1" spans="1:6">
      <c r="A3075" s="24" t="s">
        <v>140</v>
      </c>
      <c r="B3075" s="24" t="str">
        <f>"603586"</f>
        <v>603586</v>
      </c>
      <c r="C3075" s="24" t="s">
        <v>3281</v>
      </c>
      <c r="D3075" s="24" t="s">
        <v>204</v>
      </c>
      <c r="E3075" s="24">
        <v>22.01</v>
      </c>
      <c r="F3075" s="24">
        <v>1.73</v>
      </c>
    </row>
    <row r="3076" s="24" customFormat="1" spans="1:6">
      <c r="A3076" s="24" t="s">
        <v>142</v>
      </c>
      <c r="B3076" s="24" t="str">
        <f>"300495"</f>
        <v>300495</v>
      </c>
      <c r="C3076" s="24" t="s">
        <v>3282</v>
      </c>
      <c r="D3076" s="24" t="s">
        <v>315</v>
      </c>
      <c r="E3076" s="24">
        <v>21.99</v>
      </c>
      <c r="F3076" s="24">
        <v>1.76</v>
      </c>
    </row>
    <row r="3077" s="24" customFormat="1" spans="1:6">
      <c r="A3077" s="24" t="s">
        <v>142</v>
      </c>
      <c r="B3077" s="24" t="str">
        <f>"002508"</f>
        <v>002508</v>
      </c>
      <c r="C3077" s="24" t="s">
        <v>77</v>
      </c>
      <c r="D3077" s="24" t="s">
        <v>184</v>
      </c>
      <c r="E3077" s="24">
        <v>21.97</v>
      </c>
      <c r="F3077" s="24">
        <v>5</v>
      </c>
    </row>
    <row r="3078" s="24" customFormat="1" spans="1:6">
      <c r="A3078" s="24" t="s">
        <v>142</v>
      </c>
      <c r="B3078" s="24" t="str">
        <f>"000407"</f>
        <v>000407</v>
      </c>
      <c r="C3078" s="24" t="s">
        <v>3283</v>
      </c>
      <c r="D3078" s="24" t="s">
        <v>195</v>
      </c>
      <c r="E3078" s="24">
        <v>21.93</v>
      </c>
      <c r="F3078" s="24">
        <v>2.55</v>
      </c>
    </row>
    <row r="3079" s="24" customFormat="1" spans="1:6">
      <c r="A3079" s="24" t="s">
        <v>140</v>
      </c>
      <c r="B3079" s="24" t="str">
        <f>"600109"</f>
        <v>600109</v>
      </c>
      <c r="C3079" s="24" t="s">
        <v>3284</v>
      </c>
      <c r="D3079" s="24" t="s">
        <v>714</v>
      </c>
      <c r="E3079" s="24">
        <v>21.92</v>
      </c>
      <c r="F3079" s="24">
        <v>1.22</v>
      </c>
    </row>
    <row r="3080" s="24" customFormat="1" spans="1:6">
      <c r="A3080" s="24" t="s">
        <v>140</v>
      </c>
      <c r="B3080" s="24" t="str">
        <f>"603876"</f>
        <v>603876</v>
      </c>
      <c r="C3080" s="24" t="s">
        <v>3285</v>
      </c>
      <c r="D3080" s="24" t="s">
        <v>167</v>
      </c>
      <c r="E3080" s="24">
        <v>21.9</v>
      </c>
      <c r="F3080" s="24">
        <v>1.64</v>
      </c>
    </row>
    <row r="3081" s="24" customFormat="1" spans="1:6">
      <c r="A3081" s="24" t="s">
        <v>140</v>
      </c>
      <c r="B3081" s="24" t="str">
        <f>"601002"</f>
        <v>601002</v>
      </c>
      <c r="C3081" s="24" t="s">
        <v>3286</v>
      </c>
      <c r="D3081" s="24" t="s">
        <v>165</v>
      </c>
      <c r="E3081" s="24">
        <v>21.9</v>
      </c>
      <c r="F3081" s="24">
        <v>1.5</v>
      </c>
    </row>
    <row r="3082" s="24" customFormat="1" spans="1:6">
      <c r="A3082" s="24" t="s">
        <v>142</v>
      </c>
      <c r="B3082" s="24" t="str">
        <f>"000423"</f>
        <v>000423</v>
      </c>
      <c r="C3082" s="24" t="s">
        <v>3287</v>
      </c>
      <c r="D3082" s="24" t="s">
        <v>388</v>
      </c>
      <c r="E3082" s="24">
        <v>21.84</v>
      </c>
      <c r="F3082" s="24">
        <v>1.95</v>
      </c>
    </row>
    <row r="3083" s="24" customFormat="1" spans="1:6">
      <c r="A3083" s="24" t="s">
        <v>140</v>
      </c>
      <c r="B3083" s="24" t="str">
        <f>"603897"</f>
        <v>603897</v>
      </c>
      <c r="C3083" s="24" t="s">
        <v>3288</v>
      </c>
      <c r="D3083" s="24" t="s">
        <v>251</v>
      </c>
      <c r="E3083" s="24">
        <v>21.82</v>
      </c>
      <c r="F3083" s="24">
        <v>1.69</v>
      </c>
    </row>
    <row r="3084" s="24" customFormat="1" spans="1:6">
      <c r="A3084" s="24" t="s">
        <v>140</v>
      </c>
      <c r="B3084" s="24" t="str">
        <f>"600660"</f>
        <v>600660</v>
      </c>
      <c r="C3084" s="24" t="s">
        <v>3289</v>
      </c>
      <c r="D3084" s="24" t="s">
        <v>204</v>
      </c>
      <c r="E3084" s="24">
        <v>21.78</v>
      </c>
      <c r="F3084" s="24">
        <v>2.92</v>
      </c>
    </row>
    <row r="3085" s="24" customFormat="1" spans="1:6">
      <c r="A3085" s="24" t="s">
        <v>142</v>
      </c>
      <c r="B3085" s="24" t="str">
        <f>"000895"</f>
        <v>000895</v>
      </c>
      <c r="C3085" s="24" t="s">
        <v>74</v>
      </c>
      <c r="D3085" s="24" t="s">
        <v>190</v>
      </c>
      <c r="E3085" s="24">
        <v>21.76</v>
      </c>
      <c r="F3085" s="24">
        <v>7.08</v>
      </c>
    </row>
    <row r="3086" s="24" customFormat="1" spans="1:6">
      <c r="A3086" s="24" t="s">
        <v>142</v>
      </c>
      <c r="B3086" s="24" t="str">
        <f>"002645"</f>
        <v>002645</v>
      </c>
      <c r="C3086" s="24" t="s">
        <v>3290</v>
      </c>
      <c r="D3086" s="24" t="s">
        <v>173</v>
      </c>
      <c r="E3086" s="24">
        <v>21.76</v>
      </c>
      <c r="F3086" s="24">
        <v>2.71</v>
      </c>
    </row>
    <row r="3087" s="24" customFormat="1" spans="1:6">
      <c r="A3087" s="24" t="s">
        <v>140</v>
      </c>
      <c r="B3087" s="24" t="str">
        <f>"603919"</f>
        <v>603919</v>
      </c>
      <c r="C3087" s="24" t="s">
        <v>3291</v>
      </c>
      <c r="D3087" s="24" t="s">
        <v>309</v>
      </c>
      <c r="E3087" s="24">
        <v>21.71</v>
      </c>
      <c r="F3087" s="24">
        <v>2.31</v>
      </c>
    </row>
    <row r="3088" s="24" customFormat="1" spans="1:6">
      <c r="A3088" s="24" t="s">
        <v>140</v>
      </c>
      <c r="B3088" s="24" t="str">
        <f>"603260"</f>
        <v>603260</v>
      </c>
      <c r="C3088" s="24" t="s">
        <v>3292</v>
      </c>
      <c r="D3088" s="24" t="s">
        <v>228</v>
      </c>
      <c r="E3088" s="24">
        <v>21.68</v>
      </c>
      <c r="F3088" s="24">
        <v>3.31</v>
      </c>
    </row>
    <row r="3089" s="24" customFormat="1" spans="1:6">
      <c r="A3089" s="24" t="s">
        <v>140</v>
      </c>
      <c r="B3089" s="24" t="str">
        <f>"600332"</f>
        <v>600332</v>
      </c>
      <c r="C3089" s="24" t="s">
        <v>3293</v>
      </c>
      <c r="D3089" s="24" t="s">
        <v>388</v>
      </c>
      <c r="E3089" s="24">
        <v>21.65</v>
      </c>
      <c r="F3089" s="24">
        <v>2.5</v>
      </c>
    </row>
    <row r="3090" s="24" customFormat="1" spans="1:6">
      <c r="A3090" s="24" t="s">
        <v>142</v>
      </c>
      <c r="B3090" s="24" t="str">
        <f>"300297"</f>
        <v>300297</v>
      </c>
      <c r="C3090" s="24" t="s">
        <v>3294</v>
      </c>
      <c r="D3090" s="24" t="s">
        <v>159</v>
      </c>
      <c r="E3090" s="24">
        <v>21.64</v>
      </c>
      <c r="F3090" s="24">
        <v>1.78</v>
      </c>
    </row>
    <row r="3091" s="24" customFormat="1" spans="1:6">
      <c r="A3091" s="24" t="s">
        <v>140</v>
      </c>
      <c r="B3091" s="24" t="str">
        <f>"601678"</f>
        <v>601678</v>
      </c>
      <c r="C3091" s="24" t="s">
        <v>3295</v>
      </c>
      <c r="D3091" s="24" t="s">
        <v>256</v>
      </c>
      <c r="E3091" s="24">
        <v>21.63</v>
      </c>
      <c r="F3091" s="24">
        <v>1.27</v>
      </c>
    </row>
    <row r="3092" s="24" customFormat="1" spans="1:6">
      <c r="A3092" s="24" t="s">
        <v>142</v>
      </c>
      <c r="B3092" s="24" t="str">
        <f>"002728"</f>
        <v>002728</v>
      </c>
      <c r="C3092" s="24" t="s">
        <v>3296</v>
      </c>
      <c r="D3092" s="24" t="s">
        <v>464</v>
      </c>
      <c r="E3092" s="24">
        <v>21.61</v>
      </c>
      <c r="F3092" s="24">
        <v>7.14</v>
      </c>
    </row>
    <row r="3093" s="24" customFormat="1" spans="1:6">
      <c r="A3093" s="24" t="s">
        <v>142</v>
      </c>
      <c r="B3093" s="24" t="str">
        <f>"300427"</f>
        <v>300427</v>
      </c>
      <c r="C3093" s="24" t="s">
        <v>3297</v>
      </c>
      <c r="D3093" s="24" t="s">
        <v>251</v>
      </c>
      <c r="E3093" s="24">
        <v>21.61</v>
      </c>
      <c r="F3093" s="24">
        <v>4.85</v>
      </c>
    </row>
    <row r="3094" s="24" customFormat="1" spans="1:6">
      <c r="A3094" s="24" t="s">
        <v>140</v>
      </c>
      <c r="B3094" s="24" t="str">
        <f>"600736"</f>
        <v>600736</v>
      </c>
      <c r="C3094" s="24" t="s">
        <v>3298</v>
      </c>
      <c r="D3094" s="24" t="s">
        <v>244</v>
      </c>
      <c r="E3094" s="24">
        <v>21.61</v>
      </c>
      <c r="F3094" s="24">
        <v>0.98</v>
      </c>
    </row>
    <row r="3095" s="24" customFormat="1" spans="1:6">
      <c r="A3095" s="24" t="s">
        <v>140</v>
      </c>
      <c r="B3095" s="24" t="str">
        <f>"601238"</f>
        <v>601238</v>
      </c>
      <c r="C3095" s="24" t="s">
        <v>3299</v>
      </c>
      <c r="D3095" s="24" t="s">
        <v>175</v>
      </c>
      <c r="E3095" s="24">
        <v>21.6</v>
      </c>
      <c r="F3095" s="24">
        <v>1.35</v>
      </c>
    </row>
    <row r="3096" s="24" customFormat="1" spans="1:6">
      <c r="A3096" s="24" t="s">
        <v>140</v>
      </c>
      <c r="B3096" s="24" t="str">
        <f>"601900"</f>
        <v>601900</v>
      </c>
      <c r="C3096" s="24" t="s">
        <v>3300</v>
      </c>
      <c r="D3096" s="24" t="s">
        <v>170</v>
      </c>
      <c r="E3096" s="24">
        <v>21.57</v>
      </c>
      <c r="F3096" s="24">
        <v>2</v>
      </c>
    </row>
    <row r="3097" s="24" customFormat="1" spans="1:6">
      <c r="A3097" s="24" t="s">
        <v>140</v>
      </c>
      <c r="B3097" s="24" t="str">
        <f>"603588"</f>
        <v>603588</v>
      </c>
      <c r="C3097" s="24" t="s">
        <v>3301</v>
      </c>
      <c r="D3097" s="24" t="s">
        <v>214</v>
      </c>
      <c r="E3097" s="24">
        <v>21.56</v>
      </c>
      <c r="F3097" s="24">
        <v>3.34</v>
      </c>
    </row>
    <row r="3098" s="24" customFormat="1" spans="1:6">
      <c r="A3098" s="24" t="s">
        <v>140</v>
      </c>
      <c r="B3098" s="24" t="str">
        <f>"600098"</f>
        <v>600098</v>
      </c>
      <c r="C3098" s="24" t="s">
        <v>3302</v>
      </c>
      <c r="D3098" s="24" t="s">
        <v>188</v>
      </c>
      <c r="E3098" s="24">
        <v>21.53</v>
      </c>
      <c r="F3098" s="24">
        <v>1.07</v>
      </c>
    </row>
    <row r="3099" s="24" customFormat="1" spans="1:6">
      <c r="A3099" s="24" t="s">
        <v>142</v>
      </c>
      <c r="B3099" s="24" t="str">
        <f>"002498"</f>
        <v>002498</v>
      </c>
      <c r="C3099" s="24" t="s">
        <v>3303</v>
      </c>
      <c r="D3099" s="24" t="s">
        <v>251</v>
      </c>
      <c r="E3099" s="24">
        <v>21.5</v>
      </c>
      <c r="F3099" s="24">
        <v>1.94</v>
      </c>
    </row>
    <row r="3100" s="24" customFormat="1" spans="1:6">
      <c r="A3100" s="24" t="s">
        <v>142</v>
      </c>
      <c r="B3100" s="24" t="str">
        <f>"002942"</f>
        <v>002942</v>
      </c>
      <c r="C3100" s="24" t="s">
        <v>3304</v>
      </c>
      <c r="D3100" s="24" t="s">
        <v>278</v>
      </c>
      <c r="E3100" s="24">
        <v>21.48</v>
      </c>
      <c r="F3100" s="24">
        <v>3.46</v>
      </c>
    </row>
    <row r="3101" s="24" customFormat="1" spans="1:6">
      <c r="A3101" s="24" t="s">
        <v>142</v>
      </c>
      <c r="B3101" s="24" t="str">
        <f>"000525"</f>
        <v>000525</v>
      </c>
      <c r="C3101" s="24" t="s">
        <v>3305</v>
      </c>
      <c r="D3101" s="24" t="s">
        <v>278</v>
      </c>
      <c r="E3101" s="24">
        <v>21.47</v>
      </c>
      <c r="F3101" s="24">
        <v>1.29</v>
      </c>
    </row>
    <row r="3102" s="24" customFormat="1" spans="1:6">
      <c r="A3102" s="24" t="s">
        <v>140</v>
      </c>
      <c r="B3102" s="24" t="str">
        <f>"600993"</f>
        <v>600993</v>
      </c>
      <c r="C3102" s="24" t="s">
        <v>3306</v>
      </c>
      <c r="D3102" s="24" t="s">
        <v>388</v>
      </c>
      <c r="E3102" s="24">
        <v>21.45</v>
      </c>
      <c r="F3102" s="24">
        <v>2.83</v>
      </c>
    </row>
    <row r="3103" s="24" customFormat="1" spans="1:6">
      <c r="A3103" s="24" t="s">
        <v>140</v>
      </c>
      <c r="B3103" s="24" t="str">
        <f>"600838"</f>
        <v>600838</v>
      </c>
      <c r="C3103" s="24" t="s">
        <v>3307</v>
      </c>
      <c r="D3103" s="24" t="s">
        <v>148</v>
      </c>
      <c r="E3103" s="24">
        <v>21.43</v>
      </c>
      <c r="F3103" s="24">
        <v>1.63</v>
      </c>
    </row>
    <row r="3104" s="24" customFormat="1" spans="1:6">
      <c r="A3104" s="24" t="s">
        <v>142</v>
      </c>
      <c r="B3104" s="24" t="str">
        <f>"000811"</f>
        <v>000811</v>
      </c>
      <c r="C3104" s="24" t="s">
        <v>3308</v>
      </c>
      <c r="D3104" s="24" t="s">
        <v>165</v>
      </c>
      <c r="E3104" s="24">
        <v>21.38</v>
      </c>
      <c r="F3104" s="24">
        <v>1.86</v>
      </c>
    </row>
    <row r="3105" s="24" customFormat="1" spans="1:6">
      <c r="A3105" s="24" t="s">
        <v>142</v>
      </c>
      <c r="B3105" s="24" t="str">
        <f>"000049"</f>
        <v>000049</v>
      </c>
      <c r="C3105" s="24" t="s">
        <v>71</v>
      </c>
      <c r="D3105" s="24" t="s">
        <v>152</v>
      </c>
      <c r="E3105" s="24">
        <v>21.38</v>
      </c>
      <c r="F3105" s="24">
        <v>4.59</v>
      </c>
    </row>
    <row r="3106" s="24" customFormat="1" spans="1:6">
      <c r="A3106" s="24" t="s">
        <v>140</v>
      </c>
      <c r="B3106" s="24" t="str">
        <f>"601881"</f>
        <v>601881</v>
      </c>
      <c r="C3106" s="24" t="s">
        <v>3309</v>
      </c>
      <c r="D3106" s="24" t="s">
        <v>714</v>
      </c>
      <c r="E3106" s="24">
        <v>21.34</v>
      </c>
      <c r="F3106" s="24">
        <v>1.51</v>
      </c>
    </row>
    <row r="3107" s="24" customFormat="1" spans="1:6">
      <c r="A3107" s="24" t="s">
        <v>140</v>
      </c>
      <c r="B3107" s="24" t="str">
        <f>"601919"</f>
        <v>601919</v>
      </c>
      <c r="C3107" s="24" t="s">
        <v>3310</v>
      </c>
      <c r="D3107" s="24" t="s">
        <v>397</v>
      </c>
      <c r="E3107" s="24">
        <v>21.31</v>
      </c>
      <c r="F3107" s="24">
        <v>2.12</v>
      </c>
    </row>
    <row r="3108" s="24" customFormat="1" spans="1:6">
      <c r="A3108" s="24" t="s">
        <v>140</v>
      </c>
      <c r="B3108" s="24" t="str">
        <f>"603867"</f>
        <v>603867</v>
      </c>
      <c r="C3108" s="24" t="s">
        <v>3311</v>
      </c>
      <c r="D3108" s="24" t="s">
        <v>228</v>
      </c>
      <c r="E3108" s="24">
        <v>21.3</v>
      </c>
      <c r="F3108" s="24">
        <v>2.27</v>
      </c>
    </row>
    <row r="3109" s="24" customFormat="1" spans="1:6">
      <c r="A3109" s="24" t="s">
        <v>140</v>
      </c>
      <c r="B3109" s="24" t="str">
        <f>"600113"</f>
        <v>600113</v>
      </c>
      <c r="C3109" s="24" t="s">
        <v>3312</v>
      </c>
      <c r="D3109" s="24" t="s">
        <v>506</v>
      </c>
      <c r="E3109" s="24">
        <v>21.3</v>
      </c>
      <c r="F3109" s="24">
        <v>1.77</v>
      </c>
    </row>
    <row r="3110" s="24" customFormat="1" spans="1:6">
      <c r="A3110" s="24" t="s">
        <v>140</v>
      </c>
      <c r="B3110" s="24" t="str">
        <f>"601200"</f>
        <v>601200</v>
      </c>
      <c r="C3110" s="24" t="s">
        <v>3313</v>
      </c>
      <c r="D3110" s="24" t="s">
        <v>450</v>
      </c>
      <c r="E3110" s="24">
        <v>21.29</v>
      </c>
      <c r="F3110" s="24">
        <v>1.7</v>
      </c>
    </row>
    <row r="3111" s="24" customFormat="1" spans="1:6">
      <c r="A3111" s="24" t="s">
        <v>142</v>
      </c>
      <c r="B3111" s="24" t="str">
        <f>"002595"</f>
        <v>002595</v>
      </c>
      <c r="C3111" s="24" t="s">
        <v>3314</v>
      </c>
      <c r="D3111" s="24" t="s">
        <v>173</v>
      </c>
      <c r="E3111" s="24">
        <v>21.28</v>
      </c>
      <c r="F3111" s="24">
        <v>3.56</v>
      </c>
    </row>
    <row r="3112" s="24" customFormat="1" spans="1:6">
      <c r="A3112" s="24" t="s">
        <v>140</v>
      </c>
      <c r="B3112" s="24" t="str">
        <f>"601789"</f>
        <v>601789</v>
      </c>
      <c r="C3112" s="24" t="s">
        <v>3315</v>
      </c>
      <c r="D3112" s="24" t="s">
        <v>315</v>
      </c>
      <c r="E3112" s="24">
        <v>21.22</v>
      </c>
      <c r="F3112" s="24">
        <v>1.38</v>
      </c>
    </row>
    <row r="3113" s="24" customFormat="1" spans="1:6">
      <c r="A3113" s="24" t="s">
        <v>142</v>
      </c>
      <c r="B3113" s="24" t="str">
        <f>"300120"</f>
        <v>300120</v>
      </c>
      <c r="C3113" s="24" t="s">
        <v>3316</v>
      </c>
      <c r="D3113" s="24" t="s">
        <v>251</v>
      </c>
      <c r="E3113" s="24">
        <v>21.22</v>
      </c>
      <c r="F3113" s="24">
        <v>1.7</v>
      </c>
    </row>
    <row r="3114" s="24" customFormat="1" spans="1:6">
      <c r="A3114" s="24" t="s">
        <v>142</v>
      </c>
      <c r="B3114" s="24" t="str">
        <f>"002918"</f>
        <v>002918</v>
      </c>
      <c r="C3114" s="24" t="s">
        <v>3317</v>
      </c>
      <c r="D3114" s="24" t="s">
        <v>644</v>
      </c>
      <c r="E3114" s="24">
        <v>21.2</v>
      </c>
      <c r="F3114" s="24">
        <v>2.76</v>
      </c>
    </row>
    <row r="3115" s="24" customFormat="1" spans="1:6">
      <c r="A3115" s="24" t="s">
        <v>142</v>
      </c>
      <c r="B3115" s="24" t="str">
        <f>"002314"</f>
        <v>002314</v>
      </c>
      <c r="C3115" s="24" t="s">
        <v>3318</v>
      </c>
      <c r="D3115" s="24" t="s">
        <v>244</v>
      </c>
      <c r="E3115" s="24">
        <v>21.17</v>
      </c>
      <c r="F3115" s="24">
        <v>1</v>
      </c>
    </row>
    <row r="3116" s="24" customFormat="1" spans="1:6">
      <c r="A3116" s="24" t="s">
        <v>142</v>
      </c>
      <c r="B3116" s="24" t="str">
        <f>"000062"</f>
        <v>000062</v>
      </c>
      <c r="C3116" s="24" t="s">
        <v>3319</v>
      </c>
      <c r="D3116" s="24" t="s">
        <v>152</v>
      </c>
      <c r="E3116" s="24">
        <v>21.17</v>
      </c>
      <c r="F3116" s="24">
        <v>4.22</v>
      </c>
    </row>
    <row r="3117" s="24" customFormat="1" spans="1:6">
      <c r="A3117" s="24" t="s">
        <v>142</v>
      </c>
      <c r="B3117" s="24" t="str">
        <f>"002640"</f>
        <v>002640</v>
      </c>
      <c r="C3117" s="24" t="s">
        <v>3320</v>
      </c>
      <c r="D3117" s="24" t="s">
        <v>207</v>
      </c>
      <c r="E3117" s="24">
        <v>21.16</v>
      </c>
      <c r="F3117" s="24">
        <v>1.77</v>
      </c>
    </row>
    <row r="3118" s="24" customFormat="1" spans="1:6">
      <c r="A3118" s="24" t="s">
        <v>140</v>
      </c>
      <c r="B3118" s="24" t="str">
        <f>"603606"</f>
        <v>603606</v>
      </c>
      <c r="C3118" s="24" t="s">
        <v>3321</v>
      </c>
      <c r="D3118" s="24" t="s">
        <v>251</v>
      </c>
      <c r="E3118" s="24">
        <v>21.15</v>
      </c>
      <c r="F3118" s="24">
        <v>3.72</v>
      </c>
    </row>
    <row r="3119" s="24" customFormat="1" spans="1:6">
      <c r="A3119" s="24" t="s">
        <v>142</v>
      </c>
      <c r="B3119" s="24" t="str">
        <f>"300668"</f>
        <v>300668</v>
      </c>
      <c r="C3119" s="24" t="s">
        <v>3322</v>
      </c>
      <c r="D3119" s="24" t="s">
        <v>214</v>
      </c>
      <c r="E3119" s="24">
        <v>21.15</v>
      </c>
      <c r="F3119" s="24">
        <v>3.56</v>
      </c>
    </row>
    <row r="3120" s="24" customFormat="1" spans="1:6">
      <c r="A3120" s="24" t="s">
        <v>140</v>
      </c>
      <c r="B3120" s="24" t="str">
        <f>"603313"</f>
        <v>603313</v>
      </c>
      <c r="C3120" s="24" t="s">
        <v>3323</v>
      </c>
      <c r="D3120" s="24" t="s">
        <v>253</v>
      </c>
      <c r="E3120" s="24">
        <v>21.13</v>
      </c>
      <c r="F3120" s="24">
        <v>4.01</v>
      </c>
    </row>
    <row r="3121" s="24" customFormat="1" spans="1:6">
      <c r="A3121" s="24" t="s">
        <v>142</v>
      </c>
      <c r="B3121" s="24" t="str">
        <f>"002448"</f>
        <v>002448</v>
      </c>
      <c r="C3121" s="24" t="s">
        <v>3324</v>
      </c>
      <c r="D3121" s="24" t="s">
        <v>204</v>
      </c>
      <c r="E3121" s="24">
        <v>21.05</v>
      </c>
      <c r="F3121" s="24">
        <v>1.46</v>
      </c>
    </row>
    <row r="3122" s="24" customFormat="1" spans="1:6">
      <c r="A3122" s="24" t="s">
        <v>142</v>
      </c>
      <c r="B3122" s="24" t="str">
        <f>"200029"</f>
        <v>200029</v>
      </c>
      <c r="C3122" s="24" t="s">
        <v>3325</v>
      </c>
      <c r="D3122" s="24"/>
      <c r="E3122" s="24">
        <v>21.04</v>
      </c>
      <c r="F3122" s="24">
        <v>2.01</v>
      </c>
    </row>
    <row r="3123" s="24" customFormat="1" spans="1:6">
      <c r="A3123" s="24" t="s">
        <v>142</v>
      </c>
      <c r="B3123" s="24" t="str">
        <f>"200553"</f>
        <v>200553</v>
      </c>
      <c r="C3123" s="24" t="s">
        <v>3326</v>
      </c>
      <c r="D3123" s="24"/>
      <c r="E3123" s="24">
        <v>20.99</v>
      </c>
      <c r="F3123" s="24">
        <v>0.57</v>
      </c>
    </row>
    <row r="3124" s="24" customFormat="1" spans="1:6">
      <c r="A3124" s="24" t="s">
        <v>142</v>
      </c>
      <c r="B3124" s="24" t="str">
        <f>"002304"</f>
        <v>002304</v>
      </c>
      <c r="C3124" s="24" t="s">
        <v>68</v>
      </c>
      <c r="D3124" s="24" t="s">
        <v>309</v>
      </c>
      <c r="E3124" s="24">
        <v>20.99</v>
      </c>
      <c r="F3124" s="24">
        <v>4.3</v>
      </c>
    </row>
    <row r="3125" s="24" customFormat="1" spans="1:6">
      <c r="A3125" s="24" t="s">
        <v>142</v>
      </c>
      <c r="B3125" s="24" t="str">
        <f>"300232"</f>
        <v>300232</v>
      </c>
      <c r="C3125" s="24" t="s">
        <v>3327</v>
      </c>
      <c r="D3125" s="24" t="s">
        <v>230</v>
      </c>
      <c r="E3125" s="24">
        <v>20.94</v>
      </c>
      <c r="F3125" s="24">
        <v>4.38</v>
      </c>
    </row>
    <row r="3126" s="24" customFormat="1" spans="1:6">
      <c r="A3126" s="24" t="s">
        <v>142</v>
      </c>
      <c r="B3126" s="24" t="str">
        <f>"300621"</f>
        <v>300621</v>
      </c>
      <c r="C3126" s="24" t="s">
        <v>3328</v>
      </c>
      <c r="D3126" s="24" t="s">
        <v>315</v>
      </c>
      <c r="E3126" s="24">
        <v>20.92</v>
      </c>
      <c r="F3126" s="24">
        <v>2.28</v>
      </c>
    </row>
    <row r="3127" s="24" customFormat="1" spans="1:6">
      <c r="A3127" s="24" t="s">
        <v>140</v>
      </c>
      <c r="B3127" s="24" t="str">
        <f>"688009"</f>
        <v>688009</v>
      </c>
      <c r="C3127" s="24" t="s">
        <v>3329</v>
      </c>
      <c r="D3127" s="24" t="s">
        <v>214</v>
      </c>
      <c r="E3127" s="24">
        <v>20.92</v>
      </c>
      <c r="F3127" s="24">
        <v>1.94</v>
      </c>
    </row>
    <row r="3128" s="24" customFormat="1" spans="1:6">
      <c r="A3128" s="24" t="s">
        <v>142</v>
      </c>
      <c r="B3128" s="24" t="str">
        <f>"002869"</f>
        <v>002869</v>
      </c>
      <c r="C3128" s="24" t="s">
        <v>3330</v>
      </c>
      <c r="D3128" s="24" t="s">
        <v>152</v>
      </c>
      <c r="E3128" s="24">
        <v>20.91</v>
      </c>
      <c r="F3128" s="24">
        <v>5.83</v>
      </c>
    </row>
    <row r="3129" s="24" customFormat="1" spans="1:6">
      <c r="A3129" s="24" t="s">
        <v>140</v>
      </c>
      <c r="B3129" s="24" t="str">
        <f>"600998"</f>
        <v>600998</v>
      </c>
      <c r="C3129" s="24" t="s">
        <v>3331</v>
      </c>
      <c r="D3129" s="24" t="s">
        <v>584</v>
      </c>
      <c r="E3129" s="24">
        <v>20.81</v>
      </c>
      <c r="F3129" s="24">
        <v>1.88</v>
      </c>
    </row>
    <row r="3130" s="24" customFormat="1" spans="1:6">
      <c r="A3130" s="24" t="s">
        <v>140</v>
      </c>
      <c r="B3130" s="24" t="str">
        <f>"601016"</f>
        <v>601016</v>
      </c>
      <c r="C3130" s="24" t="s">
        <v>3332</v>
      </c>
      <c r="D3130" s="24" t="s">
        <v>188</v>
      </c>
      <c r="E3130" s="24">
        <v>20.78</v>
      </c>
      <c r="F3130" s="24">
        <v>1.3</v>
      </c>
    </row>
    <row r="3131" s="24" customFormat="1" spans="1:6">
      <c r="A3131" s="24" t="s">
        <v>140</v>
      </c>
      <c r="B3131" s="24" t="str">
        <f>"600477"</f>
        <v>600477</v>
      </c>
      <c r="C3131" s="24" t="s">
        <v>3333</v>
      </c>
      <c r="D3131" s="24" t="s">
        <v>573</v>
      </c>
      <c r="E3131" s="24">
        <v>20.75</v>
      </c>
      <c r="F3131" s="24">
        <v>2.53</v>
      </c>
    </row>
    <row r="3132" s="24" customFormat="1" spans="1:6">
      <c r="A3132" s="24" t="s">
        <v>142</v>
      </c>
      <c r="B3132" s="24" t="str">
        <f>"002598"</f>
        <v>002598</v>
      </c>
      <c r="C3132" s="24" t="s">
        <v>3334</v>
      </c>
      <c r="D3132" s="24" t="s">
        <v>165</v>
      </c>
      <c r="E3132" s="24">
        <v>20.75</v>
      </c>
      <c r="F3132" s="24">
        <v>2.16</v>
      </c>
    </row>
    <row r="3133" s="24" customFormat="1" spans="1:6">
      <c r="A3133" s="24" t="s">
        <v>140</v>
      </c>
      <c r="B3133" s="24" t="str">
        <f>"600159"</f>
        <v>600159</v>
      </c>
      <c r="C3133" s="24" t="s">
        <v>3335</v>
      </c>
      <c r="D3133" s="24" t="s">
        <v>244</v>
      </c>
      <c r="E3133" s="24">
        <v>20.72</v>
      </c>
      <c r="F3133" s="24">
        <v>0.82</v>
      </c>
    </row>
    <row r="3134" s="24" customFormat="1" spans="1:6">
      <c r="A3134" s="24" t="s">
        <v>142</v>
      </c>
      <c r="B3134" s="24" t="str">
        <f>"002789"</f>
        <v>002789</v>
      </c>
      <c r="C3134" s="24" t="s">
        <v>3336</v>
      </c>
      <c r="D3134" s="24" t="s">
        <v>315</v>
      </c>
      <c r="E3134" s="24">
        <v>20.7</v>
      </c>
      <c r="F3134" s="24">
        <v>1.42</v>
      </c>
    </row>
    <row r="3135" s="24" customFormat="1" spans="1:6">
      <c r="A3135" s="24" t="s">
        <v>140</v>
      </c>
      <c r="B3135" s="24" t="str">
        <f>"603026"</f>
        <v>603026</v>
      </c>
      <c r="C3135" s="24" t="s">
        <v>3337</v>
      </c>
      <c r="D3135" s="24" t="s">
        <v>256</v>
      </c>
      <c r="E3135" s="24">
        <v>20.69</v>
      </c>
      <c r="F3135" s="24">
        <v>3.85</v>
      </c>
    </row>
    <row r="3136" s="24" customFormat="1" spans="1:6">
      <c r="A3136" s="24" t="s">
        <v>142</v>
      </c>
      <c r="B3136" s="24" t="str">
        <f>"002144"</f>
        <v>002144</v>
      </c>
      <c r="C3136" s="24" t="s">
        <v>3338</v>
      </c>
      <c r="D3136" s="24" t="s">
        <v>253</v>
      </c>
      <c r="E3136" s="24">
        <v>20.68</v>
      </c>
      <c r="F3136" s="24">
        <v>1.02</v>
      </c>
    </row>
    <row r="3137" s="24" customFormat="1" spans="1:6">
      <c r="A3137" s="24" t="s">
        <v>142</v>
      </c>
      <c r="B3137" s="24" t="str">
        <f>"002203"</f>
        <v>002203</v>
      </c>
      <c r="C3137" s="24" t="s">
        <v>3339</v>
      </c>
      <c r="D3137" s="24" t="s">
        <v>167</v>
      </c>
      <c r="E3137" s="24">
        <v>20.66</v>
      </c>
      <c r="F3137" s="24">
        <v>2.18</v>
      </c>
    </row>
    <row r="3138" s="24" customFormat="1" spans="1:6">
      <c r="A3138" s="24" t="s">
        <v>140</v>
      </c>
      <c r="B3138" s="24" t="str">
        <f>"603181"</f>
        <v>603181</v>
      </c>
      <c r="C3138" s="24" t="s">
        <v>3340</v>
      </c>
      <c r="D3138" s="24" t="s">
        <v>256</v>
      </c>
      <c r="E3138" s="24">
        <v>20.63</v>
      </c>
      <c r="F3138" s="24">
        <v>2.98</v>
      </c>
    </row>
    <row r="3139" s="24" customFormat="1" spans="1:6">
      <c r="A3139" s="24" t="s">
        <v>140</v>
      </c>
      <c r="B3139" s="24" t="str">
        <f>"600168"</f>
        <v>600168</v>
      </c>
      <c r="C3139" s="24" t="s">
        <v>3341</v>
      </c>
      <c r="D3139" s="24" t="s">
        <v>908</v>
      </c>
      <c r="E3139" s="24">
        <v>20.61</v>
      </c>
      <c r="F3139" s="24">
        <v>1.09</v>
      </c>
    </row>
    <row r="3140" s="24" customFormat="1" spans="1:6">
      <c r="A3140" s="24" t="s">
        <v>142</v>
      </c>
      <c r="B3140" s="24" t="str">
        <f>"002043"</f>
        <v>002043</v>
      </c>
      <c r="C3140" s="24" t="s">
        <v>3342</v>
      </c>
      <c r="D3140" s="24" t="s">
        <v>509</v>
      </c>
      <c r="E3140" s="24">
        <v>20.59</v>
      </c>
      <c r="F3140" s="24">
        <v>4.41</v>
      </c>
    </row>
    <row r="3141" s="24" customFormat="1" spans="1:6">
      <c r="A3141" s="24" t="s">
        <v>142</v>
      </c>
      <c r="B3141" s="24" t="str">
        <f>"300403"</f>
        <v>300403</v>
      </c>
      <c r="C3141" s="24" t="s">
        <v>3343</v>
      </c>
      <c r="D3141" s="24" t="s">
        <v>184</v>
      </c>
      <c r="E3141" s="24">
        <v>20.57</v>
      </c>
      <c r="F3141" s="24">
        <v>2.19</v>
      </c>
    </row>
    <row r="3142" s="24" customFormat="1" spans="1:6">
      <c r="A3142" s="24" t="s">
        <v>142</v>
      </c>
      <c r="B3142" s="24" t="str">
        <f>"300382"</f>
        <v>300382</v>
      </c>
      <c r="C3142" s="24" t="s">
        <v>3344</v>
      </c>
      <c r="D3142" s="24" t="s">
        <v>173</v>
      </c>
      <c r="E3142" s="24">
        <v>20.57</v>
      </c>
      <c r="F3142" s="24">
        <v>2.92</v>
      </c>
    </row>
    <row r="3143" s="24" customFormat="1" spans="1:6">
      <c r="A3143" s="24" t="s">
        <v>142</v>
      </c>
      <c r="B3143" s="24" t="str">
        <f>"300230"</f>
        <v>300230</v>
      </c>
      <c r="C3143" s="24" t="s">
        <v>3345</v>
      </c>
      <c r="D3143" s="24" t="s">
        <v>165</v>
      </c>
      <c r="E3143" s="24">
        <v>20.55</v>
      </c>
      <c r="F3143" s="24">
        <v>2.22</v>
      </c>
    </row>
    <row r="3144" s="24" customFormat="1" spans="1:6">
      <c r="A3144" s="24" t="s">
        <v>142</v>
      </c>
      <c r="B3144" s="24" t="str">
        <f>"300695"</f>
        <v>300695</v>
      </c>
      <c r="C3144" s="24" t="s">
        <v>3346</v>
      </c>
      <c r="D3144" s="24" t="s">
        <v>204</v>
      </c>
      <c r="E3144" s="24">
        <v>20.55</v>
      </c>
      <c r="F3144" s="24">
        <v>2.09</v>
      </c>
    </row>
    <row r="3145" s="24" customFormat="1" spans="1:6">
      <c r="A3145" s="24" t="s">
        <v>142</v>
      </c>
      <c r="B3145" s="24" t="str">
        <f>"300190"</f>
        <v>300190</v>
      </c>
      <c r="C3145" s="24" t="s">
        <v>3347</v>
      </c>
      <c r="D3145" s="24" t="s">
        <v>214</v>
      </c>
      <c r="E3145" s="24">
        <v>20.55</v>
      </c>
      <c r="F3145" s="24">
        <v>2.13</v>
      </c>
    </row>
    <row r="3146" s="24" customFormat="1" spans="1:6">
      <c r="A3146" s="24" t="s">
        <v>142</v>
      </c>
      <c r="B3146" s="24" t="str">
        <f>"002441"</f>
        <v>002441</v>
      </c>
      <c r="C3146" s="24" t="s">
        <v>3348</v>
      </c>
      <c r="D3146" s="24" t="s">
        <v>267</v>
      </c>
      <c r="E3146" s="24">
        <v>20.54</v>
      </c>
      <c r="F3146" s="24">
        <v>1.28</v>
      </c>
    </row>
    <row r="3147" s="24" customFormat="1" spans="1:6">
      <c r="A3147" s="24" t="s">
        <v>142</v>
      </c>
      <c r="B3147" s="24" t="str">
        <f>"000756"</f>
        <v>000756</v>
      </c>
      <c r="C3147" s="24" t="s">
        <v>3349</v>
      </c>
      <c r="D3147" s="24" t="s">
        <v>997</v>
      </c>
      <c r="E3147" s="24">
        <v>20.52</v>
      </c>
      <c r="F3147" s="24">
        <v>1.89</v>
      </c>
    </row>
    <row r="3148" s="24" customFormat="1" spans="1:6">
      <c r="A3148" s="24" t="s">
        <v>140</v>
      </c>
      <c r="B3148" s="24" t="str">
        <f>"600233"</f>
        <v>600233</v>
      </c>
      <c r="C3148" s="24" t="s">
        <v>3350</v>
      </c>
      <c r="D3148" s="24" t="s">
        <v>177</v>
      </c>
      <c r="E3148" s="24">
        <v>20.51</v>
      </c>
      <c r="F3148" s="24">
        <v>3.62</v>
      </c>
    </row>
    <row r="3149" s="24" customFormat="1" spans="1:6">
      <c r="A3149" s="24" t="s">
        <v>140</v>
      </c>
      <c r="B3149" s="24" t="str">
        <f>"601801"</f>
        <v>601801</v>
      </c>
      <c r="C3149" s="24" t="s">
        <v>3351</v>
      </c>
      <c r="D3149" s="24" t="s">
        <v>170</v>
      </c>
      <c r="E3149" s="24">
        <v>20.46</v>
      </c>
      <c r="F3149" s="24">
        <v>0.99</v>
      </c>
    </row>
    <row r="3150" s="24" customFormat="1" spans="1:6">
      <c r="A3150" s="24" t="s">
        <v>140</v>
      </c>
      <c r="B3150" s="24" t="str">
        <f>"600312"</f>
        <v>600312</v>
      </c>
      <c r="C3150" s="24" t="s">
        <v>3352</v>
      </c>
      <c r="D3150" s="24" t="s">
        <v>251</v>
      </c>
      <c r="E3150" s="24">
        <v>20.46</v>
      </c>
      <c r="F3150" s="24">
        <v>0.9</v>
      </c>
    </row>
    <row r="3151" s="24" customFormat="1" spans="1:6">
      <c r="A3151" s="24" t="s">
        <v>140</v>
      </c>
      <c r="B3151" s="24" t="str">
        <f>"603608"</f>
        <v>603608</v>
      </c>
      <c r="C3151" s="24" t="s">
        <v>3353</v>
      </c>
      <c r="D3151" s="24" t="s">
        <v>161</v>
      </c>
      <c r="E3151" s="24">
        <v>20.43</v>
      </c>
      <c r="F3151" s="24">
        <v>2.72</v>
      </c>
    </row>
    <row r="3152" s="24" customFormat="1" spans="1:6">
      <c r="A3152" s="24" t="s">
        <v>140</v>
      </c>
      <c r="B3152" s="24" t="str">
        <f>"603108"</f>
        <v>603108</v>
      </c>
      <c r="C3152" s="24" t="s">
        <v>3354</v>
      </c>
      <c r="D3152" s="24" t="s">
        <v>326</v>
      </c>
      <c r="E3152" s="24">
        <v>20.4</v>
      </c>
      <c r="F3152" s="24">
        <v>6.26</v>
      </c>
    </row>
    <row r="3153" s="24" customFormat="1" spans="1:6">
      <c r="A3153" s="24" t="s">
        <v>140</v>
      </c>
      <c r="B3153" s="24" t="str">
        <f>"600535"</f>
        <v>600535</v>
      </c>
      <c r="C3153" s="24" t="s">
        <v>3355</v>
      </c>
      <c r="D3153" s="24" t="s">
        <v>388</v>
      </c>
      <c r="E3153" s="24">
        <v>20.39</v>
      </c>
      <c r="F3153" s="24">
        <v>2.17</v>
      </c>
    </row>
    <row r="3154" s="24" customFormat="1" spans="1:6">
      <c r="A3154" s="24" t="s">
        <v>142</v>
      </c>
      <c r="B3154" s="24" t="str">
        <f>"002573"</f>
        <v>002573</v>
      </c>
      <c r="C3154" s="24" t="s">
        <v>3356</v>
      </c>
      <c r="D3154" s="24" t="s">
        <v>214</v>
      </c>
      <c r="E3154" s="24">
        <v>20.37</v>
      </c>
      <c r="F3154" s="24">
        <v>1.33</v>
      </c>
    </row>
    <row r="3155" s="24" customFormat="1" spans="1:6">
      <c r="A3155" s="24" t="s">
        <v>142</v>
      </c>
      <c r="B3155" s="24" t="str">
        <f>"002303"</f>
        <v>002303</v>
      </c>
      <c r="C3155" s="24" t="s">
        <v>3357</v>
      </c>
      <c r="D3155" s="24" t="s">
        <v>290</v>
      </c>
      <c r="E3155" s="24">
        <v>20.36</v>
      </c>
      <c r="F3155" s="24">
        <v>1.46</v>
      </c>
    </row>
    <row r="3156" s="24" customFormat="1" spans="1:6">
      <c r="A3156" s="24" t="s">
        <v>142</v>
      </c>
      <c r="B3156" s="24" t="str">
        <f>"300415"</f>
        <v>300415</v>
      </c>
      <c r="C3156" s="24" t="s">
        <v>3358</v>
      </c>
      <c r="D3156" s="24" t="s">
        <v>173</v>
      </c>
      <c r="E3156" s="24">
        <v>20.31</v>
      </c>
      <c r="F3156" s="24">
        <v>2.76</v>
      </c>
    </row>
    <row r="3157" s="24" customFormat="1" spans="1:6">
      <c r="A3157" s="24" t="s">
        <v>140</v>
      </c>
      <c r="B3157" s="24" t="str">
        <f>"600217"</f>
        <v>600217</v>
      </c>
      <c r="C3157" s="24" t="s">
        <v>3359</v>
      </c>
      <c r="D3157" s="24" t="s">
        <v>214</v>
      </c>
      <c r="E3157" s="24">
        <v>20.31</v>
      </c>
      <c r="F3157" s="24">
        <v>4.64</v>
      </c>
    </row>
    <row r="3158" s="24" customFormat="1" spans="1:6">
      <c r="A3158" s="24" t="s">
        <v>140</v>
      </c>
      <c r="B3158" s="24" t="str">
        <f>"603161"</f>
        <v>603161</v>
      </c>
      <c r="C3158" s="24" t="s">
        <v>3360</v>
      </c>
      <c r="D3158" s="24" t="s">
        <v>204</v>
      </c>
      <c r="E3158" s="24">
        <v>20.31</v>
      </c>
      <c r="F3158" s="24">
        <v>1.31</v>
      </c>
    </row>
    <row r="3159" s="24" customFormat="1" spans="1:6">
      <c r="A3159" s="24" t="s">
        <v>140</v>
      </c>
      <c r="B3159" s="24" t="str">
        <f>"603187"</f>
        <v>603187</v>
      </c>
      <c r="C3159" s="24" t="s">
        <v>3361</v>
      </c>
      <c r="D3159" s="24" t="s">
        <v>173</v>
      </c>
      <c r="E3159" s="24">
        <v>20.29</v>
      </c>
      <c r="F3159" s="24">
        <v>2.72</v>
      </c>
    </row>
    <row r="3160" s="24" customFormat="1" spans="1:6">
      <c r="A3160" s="24" t="s">
        <v>140</v>
      </c>
      <c r="B3160" s="24" t="str">
        <f>"603006"</f>
        <v>603006</v>
      </c>
      <c r="C3160" s="24" t="s">
        <v>3362</v>
      </c>
      <c r="D3160" s="24" t="s">
        <v>204</v>
      </c>
      <c r="E3160" s="24">
        <v>20.29</v>
      </c>
      <c r="F3160" s="24">
        <v>1.95</v>
      </c>
    </row>
    <row r="3161" s="24" customFormat="1" spans="1:6">
      <c r="A3161" s="24" t="s">
        <v>140</v>
      </c>
      <c r="B3161" s="24" t="str">
        <f>"601211"</f>
        <v>601211</v>
      </c>
      <c r="C3161" s="24" t="s">
        <v>3363</v>
      </c>
      <c r="D3161" s="24" t="s">
        <v>714</v>
      </c>
      <c r="E3161" s="24">
        <v>20.27</v>
      </c>
      <c r="F3161" s="24">
        <v>1.25</v>
      </c>
    </row>
    <row r="3162" s="24" customFormat="1" spans="1:6">
      <c r="A3162" s="24" t="s">
        <v>140</v>
      </c>
      <c r="B3162" s="24" t="str">
        <f>"603877"</f>
        <v>603877</v>
      </c>
      <c r="C3162" s="24" t="s">
        <v>3364</v>
      </c>
      <c r="D3162" s="24" t="s">
        <v>161</v>
      </c>
      <c r="E3162" s="24">
        <v>20.27</v>
      </c>
      <c r="F3162" s="24">
        <v>2.32</v>
      </c>
    </row>
    <row r="3163" s="24" customFormat="1" spans="1:6">
      <c r="A3163" s="24" t="s">
        <v>142</v>
      </c>
      <c r="B3163" s="24" t="str">
        <f>"300660"</f>
        <v>300660</v>
      </c>
      <c r="C3163" s="24" t="s">
        <v>3365</v>
      </c>
      <c r="D3163" s="24" t="s">
        <v>251</v>
      </c>
      <c r="E3163" s="24">
        <v>20.27</v>
      </c>
      <c r="F3163" s="24">
        <v>1.74</v>
      </c>
    </row>
    <row r="3164" s="24" customFormat="1" spans="1:6">
      <c r="A3164" s="24" t="s">
        <v>140</v>
      </c>
      <c r="B3164" s="24" t="str">
        <f>"600409"</f>
        <v>600409</v>
      </c>
      <c r="C3164" s="24" t="s">
        <v>3366</v>
      </c>
      <c r="D3164" s="24" t="s">
        <v>256</v>
      </c>
      <c r="E3164" s="24">
        <v>20.26</v>
      </c>
      <c r="F3164" s="24">
        <v>1.17</v>
      </c>
    </row>
    <row r="3165" s="24" customFormat="1" spans="1:6">
      <c r="A3165" s="24" t="s">
        <v>140</v>
      </c>
      <c r="B3165" s="24" t="str">
        <f>"603569"</f>
        <v>603569</v>
      </c>
      <c r="C3165" s="24" t="s">
        <v>3367</v>
      </c>
      <c r="D3165" s="24" t="s">
        <v>177</v>
      </c>
      <c r="E3165" s="24">
        <v>20.25</v>
      </c>
      <c r="F3165" s="24">
        <v>2.16</v>
      </c>
    </row>
    <row r="3166" s="24" customFormat="1" spans="1:6">
      <c r="A3166" s="24" t="s">
        <v>140</v>
      </c>
      <c r="B3166" s="24" t="str">
        <f>"603319"</f>
        <v>603319</v>
      </c>
      <c r="C3166" s="24" t="s">
        <v>3368</v>
      </c>
      <c r="D3166" s="24" t="s">
        <v>204</v>
      </c>
      <c r="E3166" s="24">
        <v>20.24</v>
      </c>
      <c r="F3166" s="24">
        <v>2.52</v>
      </c>
    </row>
    <row r="3167" s="24" customFormat="1" spans="1:6">
      <c r="A3167" s="24" t="s">
        <v>140</v>
      </c>
      <c r="B3167" s="24" t="str">
        <f>"603519"</f>
        <v>603519</v>
      </c>
      <c r="C3167" s="24" t="s">
        <v>3369</v>
      </c>
      <c r="D3167" s="24" t="s">
        <v>228</v>
      </c>
      <c r="E3167" s="24">
        <v>20.24</v>
      </c>
      <c r="F3167" s="24">
        <v>4.06</v>
      </c>
    </row>
    <row r="3168" s="24" customFormat="1" spans="1:6">
      <c r="A3168" s="24" t="s">
        <v>140</v>
      </c>
      <c r="B3168" s="24" t="str">
        <f>"603680"</f>
        <v>603680</v>
      </c>
      <c r="C3168" s="24" t="s">
        <v>3370</v>
      </c>
      <c r="D3168" s="24" t="s">
        <v>173</v>
      </c>
      <c r="E3168" s="24">
        <v>20.22</v>
      </c>
      <c r="F3168" s="24">
        <v>1.77</v>
      </c>
    </row>
    <row r="3169" s="24" customFormat="1" spans="1:6">
      <c r="A3169" s="24" t="s">
        <v>140</v>
      </c>
      <c r="B3169" s="24" t="str">
        <f>"600717"</f>
        <v>600717</v>
      </c>
      <c r="C3169" s="24" t="s">
        <v>3371</v>
      </c>
      <c r="D3169" s="24" t="s">
        <v>1016</v>
      </c>
      <c r="E3169" s="24">
        <v>20.21</v>
      </c>
      <c r="F3169" s="24">
        <v>0.68</v>
      </c>
    </row>
    <row r="3170" s="24" customFormat="1" spans="1:6">
      <c r="A3170" s="24" t="s">
        <v>142</v>
      </c>
      <c r="B3170" s="24" t="str">
        <f>"000967"</f>
        <v>000967</v>
      </c>
      <c r="C3170" s="24" t="s">
        <v>3372</v>
      </c>
      <c r="D3170" s="24" t="s">
        <v>251</v>
      </c>
      <c r="E3170" s="24">
        <v>20.17</v>
      </c>
      <c r="F3170" s="24">
        <v>2.31</v>
      </c>
    </row>
    <row r="3171" s="24" customFormat="1" spans="1:6">
      <c r="A3171" s="24" t="s">
        <v>140</v>
      </c>
      <c r="B3171" s="24" t="str">
        <f>"600688"</f>
        <v>600688</v>
      </c>
      <c r="C3171" s="24" t="s">
        <v>3373</v>
      </c>
      <c r="D3171" s="24" t="s">
        <v>246</v>
      </c>
      <c r="E3171" s="24">
        <v>20.15</v>
      </c>
      <c r="F3171" s="24">
        <v>1.32</v>
      </c>
    </row>
    <row r="3172" s="24" customFormat="1" spans="1:6">
      <c r="A3172" s="24" t="s">
        <v>142</v>
      </c>
      <c r="B3172" s="24" t="str">
        <f>"300320"</f>
        <v>300320</v>
      </c>
      <c r="C3172" s="24" t="s">
        <v>3374</v>
      </c>
      <c r="D3172" s="24" t="s">
        <v>644</v>
      </c>
      <c r="E3172" s="24">
        <v>20.1</v>
      </c>
      <c r="F3172" s="24">
        <v>2.79</v>
      </c>
    </row>
    <row r="3173" s="24" customFormat="1" spans="1:6">
      <c r="A3173" s="24" t="s">
        <v>140</v>
      </c>
      <c r="B3173" s="24" t="str">
        <f>"600650"</f>
        <v>600650</v>
      </c>
      <c r="C3173" s="24" t="s">
        <v>3375</v>
      </c>
      <c r="D3173" s="24" t="s">
        <v>540</v>
      </c>
      <c r="E3173" s="24">
        <v>20.09</v>
      </c>
      <c r="F3173" s="24">
        <v>1.4</v>
      </c>
    </row>
    <row r="3174" s="24" customFormat="1" spans="1:6">
      <c r="A3174" s="24" t="s">
        <v>142</v>
      </c>
      <c r="B3174" s="24" t="str">
        <f>"002109"</f>
        <v>002109</v>
      </c>
      <c r="C3174" s="24" t="s">
        <v>3376</v>
      </c>
      <c r="D3174" s="24" t="s">
        <v>256</v>
      </c>
      <c r="E3174" s="24">
        <v>20.08</v>
      </c>
      <c r="F3174" s="24">
        <v>0.87</v>
      </c>
    </row>
    <row r="3175" s="24" customFormat="1" spans="1:6">
      <c r="A3175" s="24" t="s">
        <v>142</v>
      </c>
      <c r="B3175" s="24" t="str">
        <f>"000039"</f>
        <v>000039</v>
      </c>
      <c r="C3175" s="24" t="s">
        <v>3377</v>
      </c>
      <c r="D3175" s="24" t="s">
        <v>165</v>
      </c>
      <c r="E3175" s="24">
        <v>20.07</v>
      </c>
      <c r="F3175" s="24">
        <v>0.84</v>
      </c>
    </row>
    <row r="3176" s="24" customFormat="1" spans="1:6">
      <c r="A3176" s="24" t="s">
        <v>140</v>
      </c>
      <c r="B3176" s="24" t="str">
        <f>"603809"</f>
        <v>603809</v>
      </c>
      <c r="C3176" s="24" t="s">
        <v>3378</v>
      </c>
      <c r="D3176" s="24" t="s">
        <v>204</v>
      </c>
      <c r="E3176" s="24">
        <v>20.06</v>
      </c>
      <c r="F3176" s="24">
        <v>1.35</v>
      </c>
    </row>
    <row r="3177" s="24" customFormat="1" spans="1:6">
      <c r="A3177" s="24" t="s">
        <v>140</v>
      </c>
      <c r="B3177" s="24" t="str">
        <f>"601858"</f>
        <v>601858</v>
      </c>
      <c r="C3177" s="24" t="s">
        <v>3379</v>
      </c>
      <c r="D3177" s="24" t="s">
        <v>170</v>
      </c>
      <c r="E3177" s="24">
        <v>20.06</v>
      </c>
      <c r="F3177" s="24">
        <v>2.41</v>
      </c>
    </row>
    <row r="3178" s="24" customFormat="1" spans="1:6">
      <c r="A3178" s="24" t="s">
        <v>142</v>
      </c>
      <c r="B3178" s="24" t="str">
        <f>"000166"</f>
        <v>000166</v>
      </c>
      <c r="C3178" s="24" t="s">
        <v>3380</v>
      </c>
      <c r="D3178" s="24" t="s">
        <v>714</v>
      </c>
      <c r="E3178" s="24">
        <v>20.02</v>
      </c>
      <c r="F3178" s="24">
        <v>1.36</v>
      </c>
    </row>
    <row r="3179" s="24" customFormat="1" spans="1:6">
      <c r="A3179" s="24" t="s">
        <v>142</v>
      </c>
      <c r="B3179" s="24" t="str">
        <f>"002430"</f>
        <v>002430</v>
      </c>
      <c r="C3179" s="24" t="s">
        <v>3381</v>
      </c>
      <c r="D3179" s="24" t="s">
        <v>173</v>
      </c>
      <c r="E3179" s="24">
        <v>19.95</v>
      </c>
      <c r="F3179" s="24">
        <v>2.42</v>
      </c>
    </row>
    <row r="3180" s="24" customFormat="1" spans="1:6">
      <c r="A3180" s="24" t="s">
        <v>142</v>
      </c>
      <c r="B3180" s="24" t="str">
        <f>"002572"</f>
        <v>002572</v>
      </c>
      <c r="C3180" s="24" t="s">
        <v>3382</v>
      </c>
      <c r="D3180" s="24" t="s">
        <v>200</v>
      </c>
      <c r="E3180" s="24">
        <v>19.93</v>
      </c>
      <c r="F3180" s="24">
        <v>3.49</v>
      </c>
    </row>
    <row r="3181" s="24" customFormat="1" spans="1:6">
      <c r="A3181" s="24" t="s">
        <v>140</v>
      </c>
      <c r="B3181" s="24" t="str">
        <f>"603937"</f>
        <v>603937</v>
      </c>
      <c r="C3181" s="24" t="s">
        <v>3383</v>
      </c>
      <c r="D3181" s="24" t="s">
        <v>167</v>
      </c>
      <c r="E3181" s="24">
        <v>19.92</v>
      </c>
      <c r="F3181" s="24">
        <v>1.45</v>
      </c>
    </row>
    <row r="3182" s="24" customFormat="1" spans="1:6">
      <c r="A3182" s="24" t="s">
        <v>140</v>
      </c>
      <c r="B3182" s="24" t="str">
        <f>"600939"</f>
        <v>600939</v>
      </c>
      <c r="C3182" s="24" t="s">
        <v>3384</v>
      </c>
      <c r="D3182" s="24" t="s">
        <v>315</v>
      </c>
      <c r="E3182" s="24">
        <v>19.91</v>
      </c>
      <c r="F3182" s="24">
        <v>1.11</v>
      </c>
    </row>
    <row r="3183" s="24" customFormat="1" spans="1:6">
      <c r="A3183" s="24" t="s">
        <v>140</v>
      </c>
      <c r="B3183" s="24" t="str">
        <f>"601857"</f>
        <v>601857</v>
      </c>
      <c r="C3183" s="24" t="s">
        <v>3385</v>
      </c>
      <c r="D3183" s="24" t="s">
        <v>246</v>
      </c>
      <c r="E3183" s="24">
        <v>19.85</v>
      </c>
      <c r="F3183" s="24">
        <v>0.82</v>
      </c>
    </row>
    <row r="3184" s="24" customFormat="1" spans="1:6">
      <c r="A3184" s="24" t="s">
        <v>142</v>
      </c>
      <c r="B3184" s="24" t="str">
        <f>"300791"</f>
        <v>300791</v>
      </c>
      <c r="C3184" s="24" t="s">
        <v>3386</v>
      </c>
      <c r="D3184" s="24" t="s">
        <v>348</v>
      </c>
      <c r="E3184" s="24">
        <v>19.78</v>
      </c>
      <c r="F3184" s="24">
        <v>2.31</v>
      </c>
    </row>
    <row r="3185" s="24" customFormat="1" spans="1:6">
      <c r="A3185" s="24" t="s">
        <v>142</v>
      </c>
      <c r="B3185" s="24" t="str">
        <f>"000923"</f>
        <v>000923</v>
      </c>
      <c r="C3185" s="24" t="s">
        <v>3387</v>
      </c>
      <c r="D3185" s="24" t="s">
        <v>258</v>
      </c>
      <c r="E3185" s="24">
        <v>19.78</v>
      </c>
      <c r="F3185" s="24">
        <v>1.23</v>
      </c>
    </row>
    <row r="3186" s="24" customFormat="1" spans="1:6">
      <c r="A3186" s="24" t="s">
        <v>140</v>
      </c>
      <c r="B3186" s="24" t="str">
        <f>"900903"</f>
        <v>900903</v>
      </c>
      <c r="C3186" s="24" t="s">
        <v>3388</v>
      </c>
      <c r="D3186" s="24"/>
      <c r="E3186" s="24">
        <v>19.71</v>
      </c>
      <c r="F3186" s="24">
        <v>0.73</v>
      </c>
    </row>
    <row r="3187" s="24" customFormat="1" spans="1:6">
      <c r="A3187" s="24" t="s">
        <v>140</v>
      </c>
      <c r="B3187" s="24" t="str">
        <f>"600097"</f>
        <v>600097</v>
      </c>
      <c r="C3187" s="24" t="s">
        <v>3389</v>
      </c>
      <c r="D3187" s="24" t="s">
        <v>145</v>
      </c>
      <c r="E3187" s="24">
        <v>19.71</v>
      </c>
      <c r="F3187" s="24">
        <v>1.39</v>
      </c>
    </row>
    <row r="3188" s="24" customFormat="1" spans="1:6">
      <c r="A3188" s="24" t="s">
        <v>140</v>
      </c>
      <c r="B3188" s="24" t="str">
        <f>"603303"</f>
        <v>603303</v>
      </c>
      <c r="C3188" s="24" t="s">
        <v>3390</v>
      </c>
      <c r="D3188" s="24" t="s">
        <v>184</v>
      </c>
      <c r="E3188" s="24">
        <v>19.68</v>
      </c>
      <c r="F3188" s="24">
        <v>1.71</v>
      </c>
    </row>
    <row r="3189" s="24" customFormat="1" spans="1:6">
      <c r="A3189" s="24" t="s">
        <v>142</v>
      </c>
      <c r="B3189" s="24" t="str">
        <f>"002020"</f>
        <v>002020</v>
      </c>
      <c r="C3189" s="24" t="s">
        <v>3391</v>
      </c>
      <c r="D3189" s="24" t="s">
        <v>997</v>
      </c>
      <c r="E3189" s="24">
        <v>19.68</v>
      </c>
      <c r="F3189" s="24">
        <v>2.27</v>
      </c>
    </row>
    <row r="3190" s="24" customFormat="1" spans="1:6">
      <c r="A3190" s="24" t="s">
        <v>142</v>
      </c>
      <c r="B3190" s="24" t="str">
        <f>"002294"</f>
        <v>002294</v>
      </c>
      <c r="C3190" s="24" t="s">
        <v>3392</v>
      </c>
      <c r="D3190" s="24" t="s">
        <v>464</v>
      </c>
      <c r="E3190" s="24">
        <v>19.68</v>
      </c>
      <c r="F3190" s="24">
        <v>3.06</v>
      </c>
    </row>
    <row r="3191" s="24" customFormat="1" spans="1:6">
      <c r="A3191" s="24" t="s">
        <v>142</v>
      </c>
      <c r="B3191" s="24" t="str">
        <f>"000776"</f>
        <v>000776</v>
      </c>
      <c r="C3191" s="24" t="s">
        <v>3393</v>
      </c>
      <c r="D3191" s="24" t="s">
        <v>714</v>
      </c>
      <c r="E3191" s="24">
        <v>19.64</v>
      </c>
      <c r="F3191" s="24">
        <v>1.21</v>
      </c>
    </row>
    <row r="3192" s="24" customFormat="1" spans="1:6">
      <c r="A3192" s="24" t="s">
        <v>142</v>
      </c>
      <c r="B3192" s="24" t="str">
        <f>"000779"</f>
        <v>000779</v>
      </c>
      <c r="C3192" s="24" t="s">
        <v>3394</v>
      </c>
      <c r="D3192" s="24" t="s">
        <v>253</v>
      </c>
      <c r="E3192" s="24">
        <v>19.63</v>
      </c>
      <c r="F3192" s="24">
        <v>1.97</v>
      </c>
    </row>
    <row r="3193" s="24" customFormat="1" spans="1:6">
      <c r="A3193" s="24" t="s">
        <v>140</v>
      </c>
      <c r="B3193" s="24" t="str">
        <f>"603685"</f>
        <v>603685</v>
      </c>
      <c r="C3193" s="24" t="s">
        <v>3395</v>
      </c>
      <c r="D3193" s="24" t="s">
        <v>184</v>
      </c>
      <c r="E3193" s="24">
        <v>19.63</v>
      </c>
      <c r="F3193" s="24">
        <v>2.06</v>
      </c>
    </row>
    <row r="3194" s="24" customFormat="1" spans="1:6">
      <c r="A3194" s="24" t="s">
        <v>140</v>
      </c>
      <c r="B3194" s="24" t="str">
        <f>"601628"</f>
        <v>601628</v>
      </c>
      <c r="C3194" s="24" t="s">
        <v>3396</v>
      </c>
      <c r="D3194" s="24" t="s">
        <v>575</v>
      </c>
      <c r="E3194" s="24">
        <v>19.61</v>
      </c>
      <c r="F3194" s="24">
        <v>2.23</v>
      </c>
    </row>
    <row r="3195" s="24" customFormat="1" spans="1:6">
      <c r="A3195" s="24" t="s">
        <v>142</v>
      </c>
      <c r="B3195" s="24" t="str">
        <f>"002811"</f>
        <v>002811</v>
      </c>
      <c r="C3195" s="24" t="s">
        <v>3397</v>
      </c>
      <c r="D3195" s="24" t="s">
        <v>315</v>
      </c>
      <c r="E3195" s="24">
        <v>19.61</v>
      </c>
      <c r="F3195" s="24">
        <v>1.65</v>
      </c>
    </row>
    <row r="3196" s="24" customFormat="1" spans="1:6">
      <c r="A3196" s="24" t="s">
        <v>140</v>
      </c>
      <c r="B3196" s="24" t="str">
        <f>"603697"</f>
        <v>603697</v>
      </c>
      <c r="C3196" s="24" t="s">
        <v>3398</v>
      </c>
      <c r="D3196" s="24" t="s">
        <v>190</v>
      </c>
      <c r="E3196" s="24">
        <v>19.59</v>
      </c>
      <c r="F3196" s="24">
        <v>2.29</v>
      </c>
    </row>
    <row r="3197" s="24" customFormat="1" spans="1:6">
      <c r="A3197" s="24" t="s">
        <v>142</v>
      </c>
      <c r="B3197" s="24" t="str">
        <f>"000544"</f>
        <v>000544</v>
      </c>
      <c r="C3197" s="24" t="s">
        <v>3399</v>
      </c>
      <c r="D3197" s="24" t="s">
        <v>450</v>
      </c>
      <c r="E3197" s="24">
        <v>19.59</v>
      </c>
      <c r="F3197" s="24">
        <v>1.02</v>
      </c>
    </row>
    <row r="3198" s="24" customFormat="1" spans="1:6">
      <c r="A3198" s="24" t="s">
        <v>140</v>
      </c>
      <c r="B3198" s="24" t="str">
        <f>"603299"</f>
        <v>603299</v>
      </c>
      <c r="C3198" s="24" t="s">
        <v>3400</v>
      </c>
      <c r="D3198" s="24" t="s">
        <v>190</v>
      </c>
      <c r="E3198" s="24">
        <v>19.54</v>
      </c>
      <c r="F3198" s="24">
        <v>1.22</v>
      </c>
    </row>
    <row r="3199" s="24" customFormat="1" spans="1:6">
      <c r="A3199" s="24" t="s">
        <v>140</v>
      </c>
      <c r="B3199" s="24" t="str">
        <f>"601975"</f>
        <v>601975</v>
      </c>
      <c r="C3199" s="24" t="s">
        <v>3401</v>
      </c>
      <c r="D3199" s="24" t="s">
        <v>397</v>
      </c>
      <c r="E3199" s="24">
        <v>19.53</v>
      </c>
      <c r="F3199" s="24">
        <v>2.78</v>
      </c>
    </row>
    <row r="3200" s="24" customFormat="1" spans="1:6">
      <c r="A3200" s="24" t="s">
        <v>140</v>
      </c>
      <c r="B3200" s="24" t="str">
        <f>"603100"</f>
        <v>603100</v>
      </c>
      <c r="C3200" s="24" t="s">
        <v>3402</v>
      </c>
      <c r="D3200" s="24" t="s">
        <v>152</v>
      </c>
      <c r="E3200" s="24">
        <v>19.52</v>
      </c>
      <c r="F3200" s="24">
        <v>1.39</v>
      </c>
    </row>
    <row r="3201" s="24" customFormat="1" spans="1:6">
      <c r="A3201" s="24" t="s">
        <v>140</v>
      </c>
      <c r="B3201" s="24" t="str">
        <f>"603328"</f>
        <v>603328</v>
      </c>
      <c r="C3201" s="24" t="s">
        <v>3403</v>
      </c>
      <c r="D3201" s="24" t="s">
        <v>197</v>
      </c>
      <c r="E3201" s="24">
        <v>19.51</v>
      </c>
      <c r="F3201" s="24">
        <v>3.2</v>
      </c>
    </row>
    <row r="3202" s="24" customFormat="1" spans="1:6">
      <c r="A3202" s="24" t="s">
        <v>140</v>
      </c>
      <c r="B3202" s="24" t="str">
        <f>"603903"</f>
        <v>603903</v>
      </c>
      <c r="C3202" s="24" t="s">
        <v>3404</v>
      </c>
      <c r="D3202" s="24" t="s">
        <v>908</v>
      </c>
      <c r="E3202" s="24">
        <v>19.51</v>
      </c>
      <c r="F3202" s="24">
        <v>2.98</v>
      </c>
    </row>
    <row r="3203" s="24" customFormat="1" spans="1:6">
      <c r="A3203" s="24" t="s">
        <v>140</v>
      </c>
      <c r="B3203" s="24" t="str">
        <f>"601512"</f>
        <v>601512</v>
      </c>
      <c r="C3203" s="24" t="s">
        <v>3405</v>
      </c>
      <c r="D3203" s="24" t="s">
        <v>1076</v>
      </c>
      <c r="E3203" s="24">
        <v>19.51</v>
      </c>
      <c r="F3203" s="24">
        <v>1.68</v>
      </c>
    </row>
    <row r="3204" s="24" customFormat="1" spans="1:6">
      <c r="A3204" s="24" t="s">
        <v>140</v>
      </c>
      <c r="B3204" s="24" t="str">
        <f>"603579"</f>
        <v>603579</v>
      </c>
      <c r="C3204" s="24" t="s">
        <v>3406</v>
      </c>
      <c r="D3204" s="24" t="s">
        <v>283</v>
      </c>
      <c r="E3204" s="24">
        <v>19.51</v>
      </c>
      <c r="F3204" s="24">
        <v>2.63</v>
      </c>
    </row>
    <row r="3205" s="24" customFormat="1" spans="1:6">
      <c r="A3205" s="24" t="s">
        <v>142</v>
      </c>
      <c r="B3205" s="24" t="str">
        <f>"002372"</f>
        <v>002372</v>
      </c>
      <c r="C3205" s="24" t="s">
        <v>110</v>
      </c>
      <c r="D3205" s="24" t="s">
        <v>573</v>
      </c>
      <c r="E3205" s="24">
        <v>19.5</v>
      </c>
      <c r="F3205" s="24">
        <v>5.23</v>
      </c>
    </row>
    <row r="3206" s="24" customFormat="1" spans="1:6">
      <c r="A3206" s="24" t="s">
        <v>140</v>
      </c>
      <c r="B3206" s="24" t="str">
        <f>"600285"</f>
        <v>600285</v>
      </c>
      <c r="C3206" s="24" t="s">
        <v>3407</v>
      </c>
      <c r="D3206" s="24" t="s">
        <v>388</v>
      </c>
      <c r="E3206" s="24">
        <v>19.46</v>
      </c>
      <c r="F3206" s="24">
        <v>2.45</v>
      </c>
    </row>
    <row r="3207" s="24" customFormat="1" spans="1:6">
      <c r="A3207" s="24" t="s">
        <v>140</v>
      </c>
      <c r="B3207" s="24" t="str">
        <f>"600337"</f>
        <v>600337</v>
      </c>
      <c r="C3207" s="24" t="s">
        <v>3408</v>
      </c>
      <c r="D3207" s="24" t="s">
        <v>200</v>
      </c>
      <c r="E3207" s="24">
        <v>19.45</v>
      </c>
      <c r="F3207" s="24">
        <v>1.65</v>
      </c>
    </row>
    <row r="3208" s="24" customFormat="1" spans="1:6">
      <c r="A3208" s="24" t="s">
        <v>142</v>
      </c>
      <c r="B3208" s="24" t="str">
        <f>"002208"</f>
        <v>002208</v>
      </c>
      <c r="C3208" s="24" t="s">
        <v>3409</v>
      </c>
      <c r="D3208" s="24" t="s">
        <v>244</v>
      </c>
      <c r="E3208" s="24">
        <v>19.44</v>
      </c>
      <c r="F3208" s="24">
        <v>1.6</v>
      </c>
    </row>
    <row r="3209" s="24" customFormat="1" spans="1:6">
      <c r="A3209" s="24" t="s">
        <v>140</v>
      </c>
      <c r="B3209" s="24" t="str">
        <f>"600827"</f>
        <v>600827</v>
      </c>
      <c r="C3209" s="24" t="s">
        <v>3410</v>
      </c>
      <c r="D3209" s="24" t="s">
        <v>148</v>
      </c>
      <c r="E3209" s="24">
        <v>19.43</v>
      </c>
      <c r="F3209" s="24">
        <v>0.78</v>
      </c>
    </row>
    <row r="3210" s="24" customFormat="1" spans="1:6">
      <c r="A3210" s="24" t="s">
        <v>142</v>
      </c>
      <c r="B3210" s="24" t="str">
        <f>"002468"</f>
        <v>002468</v>
      </c>
      <c r="C3210" s="24" t="s">
        <v>3411</v>
      </c>
      <c r="D3210" s="24" t="s">
        <v>177</v>
      </c>
      <c r="E3210" s="24">
        <v>19.42</v>
      </c>
      <c r="F3210" s="24">
        <v>3.91</v>
      </c>
    </row>
    <row r="3211" s="24" customFormat="1" spans="1:6">
      <c r="A3211" s="24" t="s">
        <v>140</v>
      </c>
      <c r="B3211" s="24" t="str">
        <f>"601965"</f>
        <v>601965</v>
      </c>
      <c r="C3211" s="24" t="s">
        <v>3412</v>
      </c>
      <c r="D3211" s="24" t="s">
        <v>175</v>
      </c>
      <c r="E3211" s="24">
        <v>19.4</v>
      </c>
      <c r="F3211" s="24">
        <v>1.69</v>
      </c>
    </row>
    <row r="3212" s="24" customFormat="1" spans="1:6">
      <c r="A3212" s="24" t="s">
        <v>140</v>
      </c>
      <c r="B3212" s="24" t="str">
        <f>"603289"</f>
        <v>603289</v>
      </c>
      <c r="C3212" s="24" t="s">
        <v>3413</v>
      </c>
      <c r="D3212" s="24" t="s">
        <v>173</v>
      </c>
      <c r="E3212" s="24">
        <v>19.39</v>
      </c>
      <c r="F3212" s="24">
        <v>2.16</v>
      </c>
    </row>
    <row r="3213" s="24" customFormat="1" spans="1:6">
      <c r="A3213" s="24" t="s">
        <v>140</v>
      </c>
      <c r="B3213" s="24" t="str">
        <f>"601996"</f>
        <v>601996</v>
      </c>
      <c r="C3213" s="24" t="s">
        <v>3414</v>
      </c>
      <c r="D3213" s="24" t="s">
        <v>509</v>
      </c>
      <c r="E3213" s="24">
        <v>19.38</v>
      </c>
      <c r="F3213" s="24">
        <v>1.1</v>
      </c>
    </row>
    <row r="3214" s="24" customFormat="1" spans="1:6">
      <c r="A3214" s="24" t="s">
        <v>140</v>
      </c>
      <c r="B3214" s="24" t="str">
        <f>"600496"</f>
        <v>600496</v>
      </c>
      <c r="C3214" s="24" t="s">
        <v>3415</v>
      </c>
      <c r="D3214" s="24" t="s">
        <v>573</v>
      </c>
      <c r="E3214" s="24">
        <v>19.37</v>
      </c>
      <c r="F3214" s="24">
        <v>1.2</v>
      </c>
    </row>
    <row r="3215" s="24" customFormat="1" spans="1:6">
      <c r="A3215" s="24" t="s">
        <v>140</v>
      </c>
      <c r="B3215" s="24" t="str">
        <f>"600598"</f>
        <v>600598</v>
      </c>
      <c r="C3215" s="24" t="s">
        <v>3416</v>
      </c>
      <c r="D3215" s="24" t="s">
        <v>145</v>
      </c>
      <c r="E3215" s="24">
        <v>19.35</v>
      </c>
      <c r="F3215" s="24">
        <v>3.07</v>
      </c>
    </row>
    <row r="3216" s="24" customFormat="1" spans="1:6">
      <c r="A3216" s="24" t="s">
        <v>142</v>
      </c>
      <c r="B3216" s="24" t="str">
        <f>"000802"</f>
        <v>000802</v>
      </c>
      <c r="C3216" s="24" t="s">
        <v>3417</v>
      </c>
      <c r="D3216" s="24" t="s">
        <v>170</v>
      </c>
      <c r="E3216" s="24">
        <v>19.27</v>
      </c>
      <c r="F3216" s="24">
        <v>2.07</v>
      </c>
    </row>
    <row r="3217" s="24" customFormat="1" spans="1:6">
      <c r="A3217" s="24" t="s">
        <v>142</v>
      </c>
      <c r="B3217" s="24" t="str">
        <f>"002408"</f>
        <v>002408</v>
      </c>
      <c r="C3217" s="24" t="s">
        <v>3418</v>
      </c>
      <c r="D3217" s="24" t="s">
        <v>256</v>
      </c>
      <c r="E3217" s="24">
        <v>19.27</v>
      </c>
      <c r="F3217" s="24">
        <v>1.77</v>
      </c>
    </row>
    <row r="3218" s="24" customFormat="1" spans="1:6">
      <c r="A3218" s="24" t="s">
        <v>140</v>
      </c>
      <c r="B3218" s="24" t="str">
        <f>"600612"</f>
        <v>600612</v>
      </c>
      <c r="C3218" s="24" t="s">
        <v>62</v>
      </c>
      <c r="D3218" s="24" t="s">
        <v>161</v>
      </c>
      <c r="E3218" s="24">
        <v>19.25</v>
      </c>
      <c r="F3218" s="24">
        <v>3.56</v>
      </c>
    </row>
    <row r="3219" s="24" customFormat="1" spans="1:6">
      <c r="A3219" s="24" t="s">
        <v>142</v>
      </c>
      <c r="B3219" s="24" t="str">
        <f>"300417"</f>
        <v>300417</v>
      </c>
      <c r="C3219" s="24" t="s">
        <v>3419</v>
      </c>
      <c r="D3219" s="24" t="s">
        <v>152</v>
      </c>
      <c r="E3219" s="24">
        <v>19.25</v>
      </c>
      <c r="F3219" s="24">
        <v>6.91</v>
      </c>
    </row>
    <row r="3220" s="24" customFormat="1" spans="1:6">
      <c r="A3220" s="24" t="s">
        <v>140</v>
      </c>
      <c r="B3220" s="24" t="str">
        <f>"601966"</f>
        <v>601966</v>
      </c>
      <c r="C3220" s="24" t="s">
        <v>3420</v>
      </c>
      <c r="D3220" s="24" t="s">
        <v>204</v>
      </c>
      <c r="E3220" s="24">
        <v>19.2</v>
      </c>
      <c r="F3220" s="24">
        <v>2.65</v>
      </c>
    </row>
    <row r="3221" s="24" customFormat="1" spans="1:6">
      <c r="A3221" s="24" t="s">
        <v>142</v>
      </c>
      <c r="B3221" s="24" t="str">
        <f>"300043"</f>
        <v>300043</v>
      </c>
      <c r="C3221" s="24" t="s">
        <v>3421</v>
      </c>
      <c r="D3221" s="24" t="s">
        <v>156</v>
      </c>
      <c r="E3221" s="24">
        <v>19.19</v>
      </c>
      <c r="F3221" s="24">
        <v>3.25</v>
      </c>
    </row>
    <row r="3222" s="24" customFormat="1" spans="1:6">
      <c r="A3222" s="24" t="s">
        <v>142</v>
      </c>
      <c r="B3222" s="24" t="str">
        <f>"002597"</f>
        <v>002597</v>
      </c>
      <c r="C3222" s="24" t="s">
        <v>3422</v>
      </c>
      <c r="D3222" s="24" t="s">
        <v>256</v>
      </c>
      <c r="E3222" s="24">
        <v>19.19</v>
      </c>
      <c r="F3222" s="24">
        <v>3.33</v>
      </c>
    </row>
    <row r="3223" s="24" customFormat="1" spans="1:6">
      <c r="A3223" s="24" t="s">
        <v>142</v>
      </c>
      <c r="B3223" s="24" t="str">
        <f>"002302"</f>
        <v>002302</v>
      </c>
      <c r="C3223" s="24" t="s">
        <v>3423</v>
      </c>
      <c r="D3223" s="24" t="s">
        <v>667</v>
      </c>
      <c r="E3223" s="24">
        <v>19.16</v>
      </c>
      <c r="F3223" s="24">
        <v>1.83</v>
      </c>
    </row>
    <row r="3224" s="24" customFormat="1" spans="1:6">
      <c r="A3224" s="24" t="s">
        <v>142</v>
      </c>
      <c r="B3224" s="24" t="str">
        <f>"300200"</f>
        <v>300200</v>
      </c>
      <c r="C3224" s="24" t="s">
        <v>3424</v>
      </c>
      <c r="D3224" s="24" t="s">
        <v>256</v>
      </c>
      <c r="E3224" s="24">
        <v>19.15</v>
      </c>
      <c r="F3224" s="24">
        <v>3.28</v>
      </c>
    </row>
    <row r="3225" s="24" customFormat="1" spans="1:6">
      <c r="A3225" s="24" t="s">
        <v>140</v>
      </c>
      <c r="B3225" s="24" t="str">
        <f>"603080"</f>
        <v>603080</v>
      </c>
      <c r="C3225" s="24" t="s">
        <v>3425</v>
      </c>
      <c r="D3225" s="24" t="s">
        <v>195</v>
      </c>
      <c r="E3225" s="24">
        <v>19.12</v>
      </c>
      <c r="F3225" s="24">
        <v>2.04</v>
      </c>
    </row>
    <row r="3226" s="24" customFormat="1" spans="1:6">
      <c r="A3226" s="24" t="s">
        <v>142</v>
      </c>
      <c r="B3226" s="24" t="str">
        <f>"002435"</f>
        <v>002435</v>
      </c>
      <c r="C3226" s="24" t="s">
        <v>3426</v>
      </c>
      <c r="D3226" s="24" t="s">
        <v>464</v>
      </c>
      <c r="E3226" s="24">
        <v>19.11</v>
      </c>
      <c r="F3226" s="24">
        <v>1.89</v>
      </c>
    </row>
    <row r="3227" s="24" customFormat="1" spans="1:6">
      <c r="A3227" s="24" t="s">
        <v>142</v>
      </c>
      <c r="B3227" s="24" t="str">
        <f>"002533"</f>
        <v>002533</v>
      </c>
      <c r="C3227" s="24" t="s">
        <v>3427</v>
      </c>
      <c r="D3227" s="24" t="s">
        <v>251</v>
      </c>
      <c r="E3227" s="24">
        <v>19.11</v>
      </c>
      <c r="F3227" s="24">
        <v>1.14</v>
      </c>
    </row>
    <row r="3228" s="24" customFormat="1" spans="1:6">
      <c r="A3228" s="24" t="s">
        <v>140</v>
      </c>
      <c r="B3228" s="24" t="str">
        <f>"600785"</f>
        <v>600785</v>
      </c>
      <c r="C3228" s="24" t="s">
        <v>3428</v>
      </c>
      <c r="D3228" s="24" t="s">
        <v>148</v>
      </c>
      <c r="E3228" s="24">
        <v>19.11</v>
      </c>
      <c r="F3228" s="24">
        <v>1.33</v>
      </c>
    </row>
    <row r="3229" s="24" customFormat="1" spans="1:6">
      <c r="A3229" s="24" t="s">
        <v>142</v>
      </c>
      <c r="B3229" s="24" t="str">
        <f>"002262"</f>
        <v>002262</v>
      </c>
      <c r="C3229" s="24" t="s">
        <v>60</v>
      </c>
      <c r="D3229" s="24" t="s">
        <v>464</v>
      </c>
      <c r="E3229" s="24">
        <v>19.1</v>
      </c>
      <c r="F3229" s="24">
        <v>3.31</v>
      </c>
    </row>
    <row r="3230" s="24" customFormat="1" spans="1:6">
      <c r="A3230" s="24" t="s">
        <v>140</v>
      </c>
      <c r="B3230" s="24" t="str">
        <f>"603917"</f>
        <v>603917</v>
      </c>
      <c r="C3230" s="24" t="s">
        <v>3429</v>
      </c>
      <c r="D3230" s="24" t="s">
        <v>173</v>
      </c>
      <c r="E3230" s="24">
        <v>19.09</v>
      </c>
      <c r="F3230" s="24">
        <v>1.54</v>
      </c>
    </row>
    <row r="3231" s="24" customFormat="1" spans="1:6">
      <c r="A3231" s="24" t="s">
        <v>142</v>
      </c>
      <c r="B3231" s="24" t="str">
        <f>"000655"</f>
        <v>000655</v>
      </c>
      <c r="C3231" s="24" t="s">
        <v>3430</v>
      </c>
      <c r="D3231" s="24" t="s">
        <v>258</v>
      </c>
      <c r="E3231" s="24">
        <v>19.06</v>
      </c>
      <c r="F3231" s="24">
        <v>1.46</v>
      </c>
    </row>
    <row r="3232" s="24" customFormat="1" spans="1:6">
      <c r="A3232" s="24" t="s">
        <v>140</v>
      </c>
      <c r="B3232" s="24" t="str">
        <f>"603089"</f>
        <v>603089</v>
      </c>
      <c r="C3232" s="24" t="s">
        <v>3431</v>
      </c>
      <c r="D3232" s="24" t="s">
        <v>204</v>
      </c>
      <c r="E3232" s="24">
        <v>19.06</v>
      </c>
      <c r="F3232" s="24">
        <v>3.29</v>
      </c>
    </row>
    <row r="3233" s="24" customFormat="1" spans="1:6">
      <c r="A3233" s="24" t="s">
        <v>140</v>
      </c>
      <c r="B3233" s="24" t="str">
        <f>"600751"</f>
        <v>600751</v>
      </c>
      <c r="C3233" s="24" t="s">
        <v>3432</v>
      </c>
      <c r="D3233" s="24" t="s">
        <v>267</v>
      </c>
      <c r="E3233" s="24">
        <v>19.02</v>
      </c>
      <c r="F3233" s="24">
        <v>-3.99</v>
      </c>
    </row>
    <row r="3234" s="24" customFormat="1" spans="1:6">
      <c r="A3234" s="24" t="s">
        <v>142</v>
      </c>
      <c r="B3234" s="24" t="str">
        <f>"002357"</f>
        <v>002357</v>
      </c>
      <c r="C3234" s="24" t="s">
        <v>3433</v>
      </c>
      <c r="D3234" s="24" t="s">
        <v>540</v>
      </c>
      <c r="E3234" s="24">
        <v>18.95</v>
      </c>
      <c r="F3234" s="24">
        <v>1.61</v>
      </c>
    </row>
    <row r="3235" s="24" customFormat="1" spans="1:6">
      <c r="A3235" s="24" t="s">
        <v>142</v>
      </c>
      <c r="B3235" s="24" t="str">
        <f>"002798"</f>
        <v>002798</v>
      </c>
      <c r="C3235" s="24" t="s">
        <v>3434</v>
      </c>
      <c r="D3235" s="24" t="s">
        <v>200</v>
      </c>
      <c r="E3235" s="24">
        <v>18.94</v>
      </c>
      <c r="F3235" s="24">
        <v>2.98</v>
      </c>
    </row>
    <row r="3236" s="24" customFormat="1" spans="1:6">
      <c r="A3236" s="24" t="s">
        <v>140</v>
      </c>
      <c r="B3236" s="24" t="str">
        <f>"603355"</f>
        <v>603355</v>
      </c>
      <c r="C3236" s="24" t="s">
        <v>3435</v>
      </c>
      <c r="D3236" s="24" t="s">
        <v>184</v>
      </c>
      <c r="E3236" s="24">
        <v>18.94</v>
      </c>
      <c r="F3236" s="24">
        <v>3.03</v>
      </c>
    </row>
    <row r="3237" s="24" customFormat="1" spans="1:6">
      <c r="A3237" s="24" t="s">
        <v>140</v>
      </c>
      <c r="B3237" s="24" t="str">
        <f>"603020"</f>
        <v>603020</v>
      </c>
      <c r="C3237" s="24" t="s">
        <v>3436</v>
      </c>
      <c r="D3237" s="24" t="s">
        <v>190</v>
      </c>
      <c r="E3237" s="24">
        <v>18.93</v>
      </c>
      <c r="F3237" s="24">
        <v>1.24</v>
      </c>
    </row>
    <row r="3238" s="24" customFormat="1" spans="1:6">
      <c r="A3238" s="24" t="s">
        <v>142</v>
      </c>
      <c r="B3238" s="24" t="str">
        <f>"002029"</f>
        <v>002029</v>
      </c>
      <c r="C3238" s="24" t="s">
        <v>3437</v>
      </c>
      <c r="D3238" s="24" t="s">
        <v>161</v>
      </c>
      <c r="E3238" s="24">
        <v>18.93</v>
      </c>
      <c r="F3238" s="24">
        <v>0.69</v>
      </c>
    </row>
    <row r="3239" s="24" customFormat="1" spans="1:6">
      <c r="A3239" s="24" t="s">
        <v>140</v>
      </c>
      <c r="B3239" s="24" t="str">
        <f>"601368"</f>
        <v>601368</v>
      </c>
      <c r="C3239" s="24" t="s">
        <v>3438</v>
      </c>
      <c r="D3239" s="24" t="s">
        <v>908</v>
      </c>
      <c r="E3239" s="24">
        <v>18.93</v>
      </c>
      <c r="F3239" s="24">
        <v>1.12</v>
      </c>
    </row>
    <row r="3240" s="24" customFormat="1" spans="1:6">
      <c r="A3240" s="24" t="s">
        <v>140</v>
      </c>
      <c r="B3240" s="24" t="str">
        <f>"600167"</f>
        <v>600167</v>
      </c>
      <c r="C3240" s="24" t="s">
        <v>3439</v>
      </c>
      <c r="D3240" s="24" t="s">
        <v>450</v>
      </c>
      <c r="E3240" s="24">
        <v>18.91</v>
      </c>
      <c r="F3240" s="24">
        <v>4.07</v>
      </c>
    </row>
    <row r="3241" s="24" customFormat="1" spans="1:6">
      <c r="A3241" s="24" t="s">
        <v>140</v>
      </c>
      <c r="B3241" s="24" t="str">
        <f>"601139"</f>
        <v>601139</v>
      </c>
      <c r="C3241" s="24" t="s">
        <v>3440</v>
      </c>
      <c r="D3241" s="24" t="s">
        <v>195</v>
      </c>
      <c r="E3241" s="24">
        <v>18.9</v>
      </c>
      <c r="F3241" s="24">
        <v>1.9</v>
      </c>
    </row>
    <row r="3242" s="24" customFormat="1" spans="1:6">
      <c r="A3242" s="24" t="s">
        <v>142</v>
      </c>
      <c r="B3242" s="24" t="str">
        <f>"002270"</f>
        <v>002270</v>
      </c>
      <c r="C3242" s="24" t="s">
        <v>3441</v>
      </c>
      <c r="D3242" s="24" t="s">
        <v>251</v>
      </c>
      <c r="E3242" s="24">
        <v>18.9</v>
      </c>
      <c r="F3242" s="24">
        <v>1.42</v>
      </c>
    </row>
    <row r="3243" s="24" customFormat="1" spans="1:6">
      <c r="A3243" s="24" t="s">
        <v>140</v>
      </c>
      <c r="B3243" s="24" t="str">
        <f>"603535"</f>
        <v>603535</v>
      </c>
      <c r="C3243" s="24" t="s">
        <v>3442</v>
      </c>
      <c r="D3243" s="24" t="s">
        <v>177</v>
      </c>
      <c r="E3243" s="24">
        <v>18.88</v>
      </c>
      <c r="F3243" s="24">
        <v>1.51</v>
      </c>
    </row>
    <row r="3244" s="24" customFormat="1" spans="1:6">
      <c r="A3244" s="24" t="s">
        <v>142</v>
      </c>
      <c r="B3244" s="24" t="str">
        <f>"000418"</f>
        <v>000418</v>
      </c>
      <c r="C3244" s="24" t="s">
        <v>3443</v>
      </c>
      <c r="D3244" s="24"/>
      <c r="E3244" s="24">
        <v>18.88</v>
      </c>
      <c r="F3244" s="24">
        <v>5.67</v>
      </c>
    </row>
    <row r="3245" s="24" customFormat="1" spans="1:6">
      <c r="A3245" s="24" t="s">
        <v>140</v>
      </c>
      <c r="B3245" s="24" t="str">
        <f>"603013"</f>
        <v>603013</v>
      </c>
      <c r="C3245" s="24" t="s">
        <v>3444</v>
      </c>
      <c r="D3245" s="24" t="s">
        <v>204</v>
      </c>
      <c r="E3245" s="24">
        <v>18.88</v>
      </c>
      <c r="F3245" s="24">
        <v>2.15</v>
      </c>
    </row>
    <row r="3246" s="24" customFormat="1" spans="1:6">
      <c r="A3246" s="24" t="s">
        <v>140</v>
      </c>
      <c r="B3246" s="24" t="str">
        <f>"603128"</f>
        <v>603128</v>
      </c>
      <c r="C3246" s="24" t="s">
        <v>3445</v>
      </c>
      <c r="D3246" s="24" t="s">
        <v>177</v>
      </c>
      <c r="E3246" s="24">
        <v>18.87</v>
      </c>
      <c r="F3246" s="24">
        <v>1.68</v>
      </c>
    </row>
    <row r="3247" s="24" customFormat="1" spans="1:6">
      <c r="A3247" s="24" t="s">
        <v>140</v>
      </c>
      <c r="B3247" s="24" t="str">
        <f>"600999"</f>
        <v>600999</v>
      </c>
      <c r="C3247" s="24" t="s">
        <v>3446</v>
      </c>
      <c r="D3247" s="24" t="s">
        <v>714</v>
      </c>
      <c r="E3247" s="24">
        <v>18.86</v>
      </c>
      <c r="F3247" s="24">
        <v>1.71</v>
      </c>
    </row>
    <row r="3248" s="24" customFormat="1" spans="1:6">
      <c r="A3248" s="24" t="s">
        <v>142</v>
      </c>
      <c r="B3248" s="24" t="str">
        <f>"002116"</f>
        <v>002116</v>
      </c>
      <c r="C3248" s="24" t="s">
        <v>3447</v>
      </c>
      <c r="D3248" s="24" t="s">
        <v>315</v>
      </c>
      <c r="E3248" s="24">
        <v>18.83</v>
      </c>
      <c r="F3248" s="24">
        <v>2.24</v>
      </c>
    </row>
    <row r="3249" s="24" customFormat="1" spans="1:6">
      <c r="A3249" s="24" t="s">
        <v>140</v>
      </c>
      <c r="B3249" s="24" t="str">
        <f>"600590"</f>
        <v>600590</v>
      </c>
      <c r="C3249" s="24" t="s">
        <v>3448</v>
      </c>
      <c r="D3249" s="24" t="s">
        <v>251</v>
      </c>
      <c r="E3249" s="24">
        <v>18.78</v>
      </c>
      <c r="F3249" s="24">
        <v>1.63</v>
      </c>
    </row>
    <row r="3250" s="24" customFormat="1" spans="1:6">
      <c r="A3250" s="24" t="s">
        <v>140</v>
      </c>
      <c r="B3250" s="24" t="str">
        <f>"603800"</f>
        <v>603800</v>
      </c>
      <c r="C3250" s="24" t="s">
        <v>3449</v>
      </c>
      <c r="D3250" s="24" t="s">
        <v>377</v>
      </c>
      <c r="E3250" s="24">
        <v>18.77</v>
      </c>
      <c r="F3250" s="24">
        <v>2.31</v>
      </c>
    </row>
    <row r="3251" s="24" customFormat="1" spans="1:6">
      <c r="A3251" s="24" t="s">
        <v>140</v>
      </c>
      <c r="B3251" s="24" t="str">
        <f>"603661"</f>
        <v>603661</v>
      </c>
      <c r="C3251" s="24" t="s">
        <v>3450</v>
      </c>
      <c r="D3251" s="24" t="s">
        <v>200</v>
      </c>
      <c r="E3251" s="24">
        <v>18.77</v>
      </c>
      <c r="F3251" s="24">
        <v>1.59</v>
      </c>
    </row>
    <row r="3252" s="24" customFormat="1" spans="1:6">
      <c r="A3252" s="24" t="s">
        <v>142</v>
      </c>
      <c r="B3252" s="24" t="str">
        <f>"300389"</f>
        <v>300389</v>
      </c>
      <c r="C3252" s="24" t="s">
        <v>3451</v>
      </c>
      <c r="D3252" s="24" t="s">
        <v>230</v>
      </c>
      <c r="E3252" s="24">
        <v>18.75</v>
      </c>
      <c r="F3252" s="24">
        <v>2.45</v>
      </c>
    </row>
    <row r="3253" s="24" customFormat="1" spans="1:6">
      <c r="A3253" s="24" t="s">
        <v>140</v>
      </c>
      <c r="B3253" s="24" t="str">
        <f>"601607"</f>
        <v>601607</v>
      </c>
      <c r="C3253" s="24" t="s">
        <v>3452</v>
      </c>
      <c r="D3253" s="24" t="s">
        <v>584</v>
      </c>
      <c r="E3253" s="24">
        <v>18.75</v>
      </c>
      <c r="F3253" s="24">
        <v>2.01</v>
      </c>
    </row>
    <row r="3254" s="24" customFormat="1" spans="1:6">
      <c r="A3254" s="24" t="s">
        <v>142</v>
      </c>
      <c r="B3254" s="24" t="str">
        <f>"002258"</f>
        <v>002258</v>
      </c>
      <c r="C3254" s="24" t="s">
        <v>3453</v>
      </c>
      <c r="D3254" s="24" t="s">
        <v>278</v>
      </c>
      <c r="E3254" s="24">
        <v>18.74</v>
      </c>
      <c r="F3254" s="24">
        <v>2.43</v>
      </c>
    </row>
    <row r="3255" s="24" customFormat="1" spans="1:6">
      <c r="A3255" s="24" t="s">
        <v>142</v>
      </c>
      <c r="B3255" s="24" t="str">
        <f>"002226"</f>
        <v>002226</v>
      </c>
      <c r="C3255" s="24" t="s">
        <v>3454</v>
      </c>
      <c r="D3255" s="24" t="s">
        <v>228</v>
      </c>
      <c r="E3255" s="24">
        <v>18.72</v>
      </c>
      <c r="F3255" s="24">
        <v>1.19</v>
      </c>
    </row>
    <row r="3256" s="24" customFormat="1" spans="1:6">
      <c r="A3256" s="24" t="s">
        <v>142</v>
      </c>
      <c r="B3256" s="24" t="str">
        <f>"002228"</f>
        <v>002228</v>
      </c>
      <c r="C3256" s="24" t="s">
        <v>3455</v>
      </c>
      <c r="D3256" s="24" t="s">
        <v>290</v>
      </c>
      <c r="E3256" s="24">
        <v>18.71</v>
      </c>
      <c r="F3256" s="24">
        <v>1.48</v>
      </c>
    </row>
    <row r="3257" s="24" customFormat="1" spans="1:6">
      <c r="A3257" s="24" t="s">
        <v>140</v>
      </c>
      <c r="B3257" s="24" t="str">
        <f>"601158"</f>
        <v>601158</v>
      </c>
      <c r="C3257" s="24" t="s">
        <v>3456</v>
      </c>
      <c r="D3257" s="24" t="s">
        <v>908</v>
      </c>
      <c r="E3257" s="24">
        <v>18.67</v>
      </c>
      <c r="F3257" s="24">
        <v>1.75</v>
      </c>
    </row>
    <row r="3258" s="24" customFormat="1" spans="1:6">
      <c r="A3258" s="24" t="s">
        <v>142</v>
      </c>
      <c r="B3258" s="24" t="str">
        <f>"300702"</f>
        <v>300702</v>
      </c>
      <c r="C3258" s="24" t="s">
        <v>3457</v>
      </c>
      <c r="D3258" s="24" t="s">
        <v>997</v>
      </c>
      <c r="E3258" s="24">
        <v>18.67</v>
      </c>
      <c r="F3258" s="24">
        <v>5.11</v>
      </c>
    </row>
    <row r="3259" s="24" customFormat="1" spans="1:6">
      <c r="A3259" s="24" t="s">
        <v>142</v>
      </c>
      <c r="B3259" s="24" t="str">
        <f>"000715"</f>
        <v>000715</v>
      </c>
      <c r="C3259" s="24" t="s">
        <v>3458</v>
      </c>
      <c r="D3259" s="24" t="s">
        <v>148</v>
      </c>
      <c r="E3259" s="24">
        <v>18.65</v>
      </c>
      <c r="F3259" s="24">
        <v>1.49</v>
      </c>
    </row>
    <row r="3260" s="24" customFormat="1" spans="1:6">
      <c r="A3260" s="24" t="s">
        <v>142</v>
      </c>
      <c r="B3260" s="24" t="str">
        <f>"000155"</f>
        <v>000155</v>
      </c>
      <c r="C3260" s="24" t="s">
        <v>3459</v>
      </c>
      <c r="D3260" s="24" t="s">
        <v>267</v>
      </c>
      <c r="E3260" s="24">
        <v>18.64</v>
      </c>
      <c r="F3260" s="24">
        <v>1.77</v>
      </c>
    </row>
    <row r="3261" s="24" customFormat="1" spans="1:6">
      <c r="A3261" s="24" t="s">
        <v>140</v>
      </c>
      <c r="B3261" s="24" t="str">
        <f>"603012"</f>
        <v>603012</v>
      </c>
      <c r="C3261" s="24" t="s">
        <v>3460</v>
      </c>
      <c r="D3261" s="24" t="s">
        <v>173</v>
      </c>
      <c r="E3261" s="24">
        <v>18.61</v>
      </c>
      <c r="F3261" s="24">
        <v>1.9</v>
      </c>
    </row>
    <row r="3262" s="24" customFormat="1" spans="1:6">
      <c r="A3262" s="24" t="s">
        <v>140</v>
      </c>
      <c r="B3262" s="24" t="str">
        <f>"600056"</f>
        <v>600056</v>
      </c>
      <c r="C3262" s="24" t="s">
        <v>3461</v>
      </c>
      <c r="D3262" s="24" t="s">
        <v>584</v>
      </c>
      <c r="E3262" s="24">
        <v>18.61</v>
      </c>
      <c r="F3262" s="24">
        <v>2.16</v>
      </c>
    </row>
    <row r="3263" s="24" customFormat="1" spans="1:6">
      <c r="A3263" s="24" t="s">
        <v>142</v>
      </c>
      <c r="B3263" s="24" t="str">
        <f>"002545"</f>
        <v>002545</v>
      </c>
      <c r="C3263" s="24" t="s">
        <v>3462</v>
      </c>
      <c r="D3263" s="24" t="s">
        <v>573</v>
      </c>
      <c r="E3263" s="24">
        <v>18.61</v>
      </c>
      <c r="F3263" s="24">
        <v>1.02</v>
      </c>
    </row>
    <row r="3264" s="24" customFormat="1" spans="1:6">
      <c r="A3264" s="24" t="s">
        <v>142</v>
      </c>
      <c r="B3264" s="24" t="str">
        <f>"000869"</f>
        <v>000869</v>
      </c>
      <c r="C3264" s="24" t="s">
        <v>3463</v>
      </c>
      <c r="D3264" s="24" t="s">
        <v>309</v>
      </c>
      <c r="E3264" s="24">
        <v>18.6</v>
      </c>
      <c r="F3264" s="24">
        <v>1.75</v>
      </c>
    </row>
    <row r="3265" s="24" customFormat="1" spans="1:6">
      <c r="A3265" s="24" t="s">
        <v>142</v>
      </c>
      <c r="B3265" s="24" t="str">
        <f>"002344"</f>
        <v>002344</v>
      </c>
      <c r="C3265" s="24" t="s">
        <v>3464</v>
      </c>
      <c r="D3265" s="24" t="s">
        <v>623</v>
      </c>
      <c r="E3265" s="24">
        <v>18.57</v>
      </c>
      <c r="F3265" s="24">
        <v>0.64</v>
      </c>
    </row>
    <row r="3266" s="24" customFormat="1" spans="1:6">
      <c r="A3266" s="24" t="s">
        <v>142</v>
      </c>
      <c r="B3266" s="24" t="str">
        <f>"300575"</f>
        <v>300575</v>
      </c>
      <c r="C3266" s="24" t="s">
        <v>3465</v>
      </c>
      <c r="D3266" s="24" t="s">
        <v>278</v>
      </c>
      <c r="E3266" s="24">
        <v>18.54</v>
      </c>
      <c r="F3266" s="24">
        <v>2.8</v>
      </c>
    </row>
    <row r="3267" s="24" customFormat="1" spans="1:6">
      <c r="A3267" s="24" t="s">
        <v>142</v>
      </c>
      <c r="B3267" s="24" t="str">
        <f>"000708"</f>
        <v>000708</v>
      </c>
      <c r="C3267" s="24" t="s">
        <v>3466</v>
      </c>
      <c r="D3267" s="24" t="s">
        <v>258</v>
      </c>
      <c r="E3267" s="24">
        <v>18.51</v>
      </c>
      <c r="F3267" s="24">
        <v>2.78</v>
      </c>
    </row>
    <row r="3268" s="24" customFormat="1" spans="1:6">
      <c r="A3268" s="24" t="s">
        <v>142</v>
      </c>
      <c r="B3268" s="24" t="str">
        <f>"201872"</f>
        <v>201872</v>
      </c>
      <c r="C3268" s="24" t="s">
        <v>3467</v>
      </c>
      <c r="D3268" s="24"/>
      <c r="E3268" s="24">
        <v>18.51</v>
      </c>
      <c r="F3268" s="24">
        <v>0.59</v>
      </c>
    </row>
    <row r="3269" s="24" customFormat="1" spans="1:6">
      <c r="A3269" s="24" t="s">
        <v>142</v>
      </c>
      <c r="B3269" s="24" t="str">
        <f>"002677"</f>
        <v>002677</v>
      </c>
      <c r="C3269" s="24" t="s">
        <v>3468</v>
      </c>
      <c r="D3269" s="24" t="s">
        <v>184</v>
      </c>
      <c r="E3269" s="24">
        <v>18.5</v>
      </c>
      <c r="F3269" s="24">
        <v>5.84</v>
      </c>
    </row>
    <row r="3270" s="24" customFormat="1" spans="1:6">
      <c r="A3270" s="24" t="s">
        <v>140</v>
      </c>
      <c r="B3270" s="24" t="str">
        <f>"600229"</f>
        <v>600229</v>
      </c>
      <c r="C3270" s="24" t="s">
        <v>3469</v>
      </c>
      <c r="D3270" s="24" t="s">
        <v>170</v>
      </c>
      <c r="E3270" s="24">
        <v>18.49</v>
      </c>
      <c r="F3270" s="24">
        <v>2.07</v>
      </c>
    </row>
    <row r="3271" s="24" customFormat="1" spans="1:6">
      <c r="A3271" s="24" t="s">
        <v>140</v>
      </c>
      <c r="B3271" s="24" t="str">
        <f>"603339"</f>
        <v>603339</v>
      </c>
      <c r="C3271" s="24" t="s">
        <v>3470</v>
      </c>
      <c r="D3271" s="24" t="s">
        <v>165</v>
      </c>
      <c r="E3271" s="24">
        <v>18.49</v>
      </c>
      <c r="F3271" s="24">
        <v>1.5</v>
      </c>
    </row>
    <row r="3272" s="24" customFormat="1" spans="1:6">
      <c r="A3272" s="24" t="s">
        <v>140</v>
      </c>
      <c r="B3272" s="24" t="str">
        <f>"601949"</f>
        <v>601949</v>
      </c>
      <c r="C3272" s="24" t="s">
        <v>3471</v>
      </c>
      <c r="D3272" s="24" t="s">
        <v>170</v>
      </c>
      <c r="E3272" s="24">
        <v>18.44</v>
      </c>
      <c r="F3272" s="24">
        <v>1.72</v>
      </c>
    </row>
    <row r="3273" s="24" customFormat="1" spans="1:6">
      <c r="A3273" s="24" t="s">
        <v>142</v>
      </c>
      <c r="B3273" s="24" t="str">
        <f>"002674"</f>
        <v>002674</v>
      </c>
      <c r="C3273" s="24" t="s">
        <v>3472</v>
      </c>
      <c r="D3273" s="24" t="s">
        <v>161</v>
      </c>
      <c r="E3273" s="24">
        <v>18.44</v>
      </c>
      <c r="F3273" s="24">
        <v>1.26</v>
      </c>
    </row>
    <row r="3274" s="24" customFormat="1" spans="1:6">
      <c r="A3274" s="24" t="s">
        <v>142</v>
      </c>
      <c r="B3274" s="24" t="str">
        <f>"000060"</f>
        <v>000060</v>
      </c>
      <c r="C3274" s="24" t="s">
        <v>3473</v>
      </c>
      <c r="D3274" s="24" t="s">
        <v>167</v>
      </c>
      <c r="E3274" s="24">
        <v>18.43</v>
      </c>
      <c r="F3274" s="24">
        <v>1.29</v>
      </c>
    </row>
    <row r="3275" s="24" customFormat="1" spans="1:6">
      <c r="A3275" s="24" t="s">
        <v>142</v>
      </c>
      <c r="B3275" s="24" t="str">
        <f>"000529"</f>
        <v>000529</v>
      </c>
      <c r="C3275" s="24" t="s">
        <v>3474</v>
      </c>
      <c r="D3275" s="24" t="s">
        <v>170</v>
      </c>
      <c r="E3275" s="24">
        <v>18.41</v>
      </c>
      <c r="F3275" s="24">
        <v>2.34</v>
      </c>
    </row>
    <row r="3276" s="24" customFormat="1" spans="1:6">
      <c r="A3276" s="24" t="s">
        <v>140</v>
      </c>
      <c r="B3276" s="24" t="str">
        <f>"600252"</f>
        <v>600252</v>
      </c>
      <c r="C3276" s="24" t="s">
        <v>3475</v>
      </c>
      <c r="D3276" s="24" t="s">
        <v>388</v>
      </c>
      <c r="E3276" s="24">
        <v>18.39</v>
      </c>
      <c r="F3276" s="24">
        <v>1.76</v>
      </c>
    </row>
    <row r="3277" s="24" customFormat="1" spans="1:6">
      <c r="A3277" s="24" t="s">
        <v>140</v>
      </c>
      <c r="B3277" s="24" t="str">
        <f>"600329"</f>
        <v>600329</v>
      </c>
      <c r="C3277" s="24" t="s">
        <v>3476</v>
      </c>
      <c r="D3277" s="24" t="s">
        <v>388</v>
      </c>
      <c r="E3277" s="24">
        <v>18.38</v>
      </c>
      <c r="F3277" s="24">
        <v>2.02</v>
      </c>
    </row>
    <row r="3278" s="24" customFormat="1" spans="1:6">
      <c r="A3278" s="24" t="s">
        <v>140</v>
      </c>
      <c r="B3278" s="24" t="str">
        <f>"603610"</f>
        <v>603610</v>
      </c>
      <c r="C3278" s="24" t="s">
        <v>3477</v>
      </c>
      <c r="D3278" s="24" t="s">
        <v>200</v>
      </c>
      <c r="E3278" s="24">
        <v>18.35</v>
      </c>
      <c r="F3278" s="24">
        <v>2.27</v>
      </c>
    </row>
    <row r="3279" s="24" customFormat="1" spans="1:6">
      <c r="A3279" s="24" t="s">
        <v>142</v>
      </c>
      <c r="B3279" s="24" t="str">
        <f>"002080"</f>
        <v>002080</v>
      </c>
      <c r="C3279" s="24" t="s">
        <v>3478</v>
      </c>
      <c r="D3279" s="24" t="s">
        <v>302</v>
      </c>
      <c r="E3279" s="24">
        <v>18.33</v>
      </c>
      <c r="F3279" s="24">
        <v>2.23</v>
      </c>
    </row>
    <row r="3280" s="24" customFormat="1" spans="1:6">
      <c r="A3280" s="24" t="s">
        <v>140</v>
      </c>
      <c r="B3280" s="24" t="str">
        <f>"600512"</f>
        <v>600512</v>
      </c>
      <c r="C3280" s="24" t="s">
        <v>3479</v>
      </c>
      <c r="D3280" s="24" t="s">
        <v>315</v>
      </c>
      <c r="E3280" s="24">
        <v>18.31</v>
      </c>
      <c r="F3280" s="24">
        <v>0.92</v>
      </c>
    </row>
    <row r="3281" s="24" customFormat="1" spans="1:6">
      <c r="A3281" s="24" t="s">
        <v>140</v>
      </c>
      <c r="B3281" s="24" t="str">
        <f>"600389"</f>
        <v>600389</v>
      </c>
      <c r="C3281" s="24" t="s">
        <v>3480</v>
      </c>
      <c r="D3281" s="24" t="s">
        <v>278</v>
      </c>
      <c r="E3281" s="24">
        <v>18.31</v>
      </c>
      <c r="F3281" s="24">
        <v>3.32</v>
      </c>
    </row>
    <row r="3282" s="24" customFormat="1" spans="1:6">
      <c r="A3282" s="24" t="s">
        <v>140</v>
      </c>
      <c r="B3282" s="24" t="str">
        <f>"600346"</f>
        <v>600346</v>
      </c>
      <c r="C3282" s="24" t="s">
        <v>3481</v>
      </c>
      <c r="D3282" s="24" t="s">
        <v>302</v>
      </c>
      <c r="E3282" s="24">
        <v>18.3</v>
      </c>
      <c r="F3282" s="24">
        <v>3.51</v>
      </c>
    </row>
    <row r="3283" s="24" customFormat="1" spans="1:6">
      <c r="A3283" s="24" t="s">
        <v>142</v>
      </c>
      <c r="B3283" s="24" t="str">
        <f>"200012"</f>
        <v>200012</v>
      </c>
      <c r="C3283" s="24" t="s">
        <v>3482</v>
      </c>
      <c r="D3283" s="24"/>
      <c r="E3283" s="24">
        <v>18.29</v>
      </c>
      <c r="F3283" s="24">
        <v>0.73</v>
      </c>
    </row>
    <row r="3284" s="24" customFormat="1" spans="1:6">
      <c r="A3284" s="24" t="s">
        <v>140</v>
      </c>
      <c r="B3284" s="24" t="str">
        <f>"601518"</f>
        <v>601518</v>
      </c>
      <c r="C3284" s="24" t="s">
        <v>3483</v>
      </c>
      <c r="D3284" s="24" t="s">
        <v>1016</v>
      </c>
      <c r="E3284" s="24">
        <v>18.26</v>
      </c>
      <c r="F3284" s="24">
        <v>0.89</v>
      </c>
    </row>
    <row r="3285" s="24" customFormat="1" spans="1:6">
      <c r="A3285" s="24" t="s">
        <v>140</v>
      </c>
      <c r="B3285" s="24" t="str">
        <f>"600176"</f>
        <v>600176</v>
      </c>
      <c r="C3285" s="24" t="s">
        <v>3484</v>
      </c>
      <c r="D3285" s="24" t="s">
        <v>644</v>
      </c>
      <c r="E3285" s="24">
        <v>18.25</v>
      </c>
      <c r="F3285" s="24">
        <v>2.41</v>
      </c>
    </row>
    <row r="3286" s="24" customFormat="1" spans="1:6">
      <c r="A3286" s="24" t="s">
        <v>140</v>
      </c>
      <c r="B3286" s="24" t="str">
        <f>"600061"</f>
        <v>600061</v>
      </c>
      <c r="C3286" s="24" t="s">
        <v>3485</v>
      </c>
      <c r="D3286" s="24" t="s">
        <v>714</v>
      </c>
      <c r="E3286" s="24">
        <v>18.21</v>
      </c>
      <c r="F3286" s="24">
        <v>1.62</v>
      </c>
    </row>
    <row r="3287" s="24" customFormat="1" spans="1:6">
      <c r="A3287" s="24" t="s">
        <v>142</v>
      </c>
      <c r="B3287" s="24" t="str">
        <f>"000786"</f>
        <v>000786</v>
      </c>
      <c r="C3287" s="24" t="s">
        <v>3486</v>
      </c>
      <c r="D3287" s="24" t="s">
        <v>667</v>
      </c>
      <c r="E3287" s="24">
        <v>18.2</v>
      </c>
      <c r="F3287" s="24">
        <v>3.24</v>
      </c>
    </row>
    <row r="3288" s="24" customFormat="1" spans="1:6">
      <c r="A3288" s="24" t="s">
        <v>142</v>
      </c>
      <c r="B3288" s="24" t="str">
        <f>"002736"</f>
        <v>002736</v>
      </c>
      <c r="C3288" s="24" t="s">
        <v>3487</v>
      </c>
      <c r="D3288" s="24" t="s">
        <v>714</v>
      </c>
      <c r="E3288" s="24">
        <v>18.17</v>
      </c>
      <c r="F3288" s="24">
        <v>1.89</v>
      </c>
    </row>
    <row r="3289" s="24" customFormat="1" spans="1:6">
      <c r="A3289" s="24" t="s">
        <v>140</v>
      </c>
      <c r="B3289" s="24" t="str">
        <f>"600837"</f>
        <v>600837</v>
      </c>
      <c r="C3289" s="24" t="s">
        <v>3488</v>
      </c>
      <c r="D3289" s="24" t="s">
        <v>714</v>
      </c>
      <c r="E3289" s="24">
        <v>18.17</v>
      </c>
      <c r="F3289" s="24">
        <v>1.32</v>
      </c>
    </row>
    <row r="3290" s="24" customFormat="1" spans="1:6">
      <c r="A3290" s="24" t="s">
        <v>140</v>
      </c>
      <c r="B3290" s="24" t="str">
        <f>"601098"</f>
        <v>601098</v>
      </c>
      <c r="C3290" s="24" t="s">
        <v>3489</v>
      </c>
      <c r="D3290" s="24" t="s">
        <v>170</v>
      </c>
      <c r="E3290" s="24">
        <v>18.16</v>
      </c>
      <c r="F3290" s="24">
        <v>1.59</v>
      </c>
    </row>
    <row r="3291" s="24" customFormat="1" spans="1:6">
      <c r="A3291" s="24" t="s">
        <v>140</v>
      </c>
      <c r="B3291" s="24" t="str">
        <f>"600054"</f>
        <v>600054</v>
      </c>
      <c r="C3291" s="24" t="s">
        <v>3490</v>
      </c>
      <c r="D3291" s="24" t="s">
        <v>453</v>
      </c>
      <c r="E3291" s="24">
        <v>18.11</v>
      </c>
      <c r="F3291" s="24">
        <v>1.38</v>
      </c>
    </row>
    <row r="3292" s="24" customFormat="1" spans="1:6">
      <c r="A3292" s="24" t="s">
        <v>142</v>
      </c>
      <c r="B3292" s="24" t="str">
        <f>"002195"</f>
        <v>002195</v>
      </c>
      <c r="C3292" s="24" t="s">
        <v>3491</v>
      </c>
      <c r="D3292" s="24" t="s">
        <v>163</v>
      </c>
      <c r="E3292" s="24">
        <v>18.09</v>
      </c>
      <c r="F3292" s="24">
        <v>2.28</v>
      </c>
    </row>
    <row r="3293" s="24" customFormat="1" spans="1:6">
      <c r="A3293" s="24" t="s">
        <v>142</v>
      </c>
      <c r="B3293" s="24" t="str">
        <f>"200505"</f>
        <v>200505</v>
      </c>
      <c r="C3293" s="24" t="s">
        <v>3492</v>
      </c>
      <c r="D3293" s="24"/>
      <c r="E3293" s="24">
        <v>18.08</v>
      </c>
      <c r="F3293" s="24">
        <v>0.81</v>
      </c>
    </row>
    <row r="3294" s="24" customFormat="1" spans="1:6">
      <c r="A3294" s="24" t="s">
        <v>142</v>
      </c>
      <c r="B3294" s="24" t="str">
        <f>"002014"</f>
        <v>002014</v>
      </c>
      <c r="C3294" s="24" t="s">
        <v>3493</v>
      </c>
      <c r="D3294" s="24" t="s">
        <v>290</v>
      </c>
      <c r="E3294" s="24">
        <v>18.07</v>
      </c>
      <c r="F3294" s="24">
        <v>2.44</v>
      </c>
    </row>
    <row r="3295" s="24" customFormat="1" spans="1:6">
      <c r="A3295" s="24" t="s">
        <v>142</v>
      </c>
      <c r="B3295" s="24" t="str">
        <f>"300121"</f>
        <v>300121</v>
      </c>
      <c r="C3295" s="24" t="s">
        <v>3494</v>
      </c>
      <c r="D3295" s="24" t="s">
        <v>256</v>
      </c>
      <c r="E3295" s="24">
        <v>18.02</v>
      </c>
      <c r="F3295" s="24">
        <v>2.05</v>
      </c>
    </row>
    <row r="3296" s="24" customFormat="1" spans="1:6">
      <c r="A3296" s="24" t="s">
        <v>142</v>
      </c>
      <c r="B3296" s="24" t="str">
        <f>"002526"</f>
        <v>002526</v>
      </c>
      <c r="C3296" s="24" t="s">
        <v>3495</v>
      </c>
      <c r="D3296" s="24" t="s">
        <v>173</v>
      </c>
      <c r="E3296" s="24">
        <v>18</v>
      </c>
      <c r="F3296" s="24">
        <v>1.68</v>
      </c>
    </row>
    <row r="3297" s="24" customFormat="1" spans="1:6">
      <c r="A3297" s="24" t="s">
        <v>140</v>
      </c>
      <c r="B3297" s="24" t="str">
        <f>"600557"</f>
        <v>600557</v>
      </c>
      <c r="C3297" s="24" t="s">
        <v>3496</v>
      </c>
      <c r="D3297" s="24" t="s">
        <v>388</v>
      </c>
      <c r="E3297" s="24">
        <v>17.98</v>
      </c>
      <c r="F3297" s="24">
        <v>2.24</v>
      </c>
    </row>
    <row r="3298" s="24" customFormat="1" spans="1:6">
      <c r="A3298" s="24" t="s">
        <v>142</v>
      </c>
      <c r="B3298" s="24" t="str">
        <f>"002191"</f>
        <v>002191</v>
      </c>
      <c r="C3298" s="24" t="s">
        <v>3497</v>
      </c>
      <c r="D3298" s="24" t="s">
        <v>214</v>
      </c>
      <c r="E3298" s="24">
        <v>17.96</v>
      </c>
      <c r="F3298" s="24">
        <v>2.61</v>
      </c>
    </row>
    <row r="3299" s="24" customFormat="1" spans="1:6">
      <c r="A3299" s="24" t="s">
        <v>140</v>
      </c>
      <c r="B3299" s="24" t="str">
        <f>"600738"</f>
        <v>600738</v>
      </c>
      <c r="C3299" s="24" t="s">
        <v>3498</v>
      </c>
      <c r="D3299" s="24" t="s">
        <v>148</v>
      </c>
      <c r="E3299" s="24">
        <v>17.92</v>
      </c>
      <c r="F3299" s="24">
        <v>2.15</v>
      </c>
    </row>
    <row r="3300" s="24" customFormat="1" spans="1:6">
      <c r="A3300" s="24" t="s">
        <v>142</v>
      </c>
      <c r="B3300" s="24" t="str">
        <f>"002887"</f>
        <v>002887</v>
      </c>
      <c r="C3300" s="24" t="s">
        <v>3499</v>
      </c>
      <c r="D3300" s="24" t="s">
        <v>214</v>
      </c>
      <c r="E3300" s="24">
        <v>17.91</v>
      </c>
      <c r="F3300" s="24">
        <v>1.64</v>
      </c>
    </row>
    <row r="3301" s="24" customFormat="1" spans="1:6">
      <c r="A3301" s="24" t="s">
        <v>142</v>
      </c>
      <c r="B3301" s="24" t="str">
        <f>"002615"</f>
        <v>002615</v>
      </c>
      <c r="C3301" s="24" t="s">
        <v>3500</v>
      </c>
      <c r="D3301" s="24" t="s">
        <v>200</v>
      </c>
      <c r="E3301" s="24">
        <v>17.9</v>
      </c>
      <c r="F3301" s="24">
        <v>2.36</v>
      </c>
    </row>
    <row r="3302" s="24" customFormat="1" spans="1:6">
      <c r="A3302" s="24" t="s">
        <v>140</v>
      </c>
      <c r="B3302" s="24" t="str">
        <f>"600829"</f>
        <v>600829</v>
      </c>
      <c r="C3302" s="24" t="s">
        <v>3501</v>
      </c>
      <c r="D3302" s="24" t="s">
        <v>584</v>
      </c>
      <c r="E3302" s="24">
        <v>17.9</v>
      </c>
      <c r="F3302" s="24">
        <v>2.65</v>
      </c>
    </row>
    <row r="3303" s="24" customFormat="1" spans="1:6">
      <c r="A3303" s="24" t="s">
        <v>140</v>
      </c>
      <c r="B3303" s="24" t="str">
        <f>"600309"</f>
        <v>600309</v>
      </c>
      <c r="C3303" s="24" t="s">
        <v>3502</v>
      </c>
      <c r="D3303" s="24" t="s">
        <v>256</v>
      </c>
      <c r="E3303" s="24">
        <v>17.88</v>
      </c>
      <c r="F3303" s="24">
        <v>4.04</v>
      </c>
    </row>
    <row r="3304" s="24" customFormat="1" spans="1:6">
      <c r="A3304" s="24" t="s">
        <v>142</v>
      </c>
      <c r="B3304" s="24" t="str">
        <f>"300020"</f>
        <v>300020</v>
      </c>
      <c r="C3304" s="24" t="s">
        <v>3503</v>
      </c>
      <c r="D3304" s="24" t="s">
        <v>159</v>
      </c>
      <c r="E3304" s="24">
        <v>17.88</v>
      </c>
      <c r="F3304" s="24">
        <v>1.83</v>
      </c>
    </row>
    <row r="3305" s="24" customFormat="1" spans="1:6">
      <c r="A3305" s="24" t="s">
        <v>142</v>
      </c>
      <c r="B3305" s="24" t="str">
        <f>"200771"</f>
        <v>200771</v>
      </c>
      <c r="C3305" s="24" t="s">
        <v>3504</v>
      </c>
      <c r="D3305" s="24"/>
      <c r="E3305" s="24">
        <v>17.85</v>
      </c>
      <c r="F3305" s="24">
        <v>0.83</v>
      </c>
    </row>
    <row r="3306" s="24" customFormat="1" spans="1:6">
      <c r="A3306" s="24" t="s">
        <v>140</v>
      </c>
      <c r="B3306" s="24" t="str">
        <f>"603393"</f>
        <v>603393</v>
      </c>
      <c r="C3306" s="24" t="s">
        <v>3505</v>
      </c>
      <c r="D3306" s="24" t="s">
        <v>195</v>
      </c>
      <c r="E3306" s="24">
        <v>17.85</v>
      </c>
      <c r="F3306" s="24">
        <v>2.72</v>
      </c>
    </row>
    <row r="3307" s="24" customFormat="1" spans="1:6">
      <c r="A3307" s="24" t="s">
        <v>142</v>
      </c>
      <c r="B3307" s="24" t="str">
        <f>"300443"</f>
        <v>300443</v>
      </c>
      <c r="C3307" s="24" t="s">
        <v>3506</v>
      </c>
      <c r="D3307" s="24" t="s">
        <v>165</v>
      </c>
      <c r="E3307" s="24">
        <v>17.81</v>
      </c>
      <c r="F3307" s="24">
        <v>1.64</v>
      </c>
    </row>
    <row r="3308" s="24" customFormat="1" spans="1:6">
      <c r="A3308" s="24" t="s">
        <v>140</v>
      </c>
      <c r="B3308" s="24" t="str">
        <f>"600022"</f>
        <v>600022</v>
      </c>
      <c r="C3308" s="24" t="s">
        <v>3507</v>
      </c>
      <c r="D3308" s="24" t="s">
        <v>258</v>
      </c>
      <c r="E3308" s="24">
        <v>17.8</v>
      </c>
      <c r="F3308" s="24">
        <v>0.67</v>
      </c>
    </row>
    <row r="3309" s="24" customFormat="1" spans="1:6">
      <c r="A3309" s="24" t="s">
        <v>142</v>
      </c>
      <c r="B3309" s="24" t="str">
        <f>"002832"</f>
        <v>002832</v>
      </c>
      <c r="C3309" s="24" t="s">
        <v>3508</v>
      </c>
      <c r="D3309" s="24" t="s">
        <v>161</v>
      </c>
      <c r="E3309" s="24">
        <v>17.78</v>
      </c>
      <c r="F3309" s="24">
        <v>3.6</v>
      </c>
    </row>
    <row r="3310" s="24" customFormat="1" spans="1:6">
      <c r="A3310" s="24" t="s">
        <v>140</v>
      </c>
      <c r="B3310" s="24" t="str">
        <f>"603856"</f>
        <v>603856</v>
      </c>
      <c r="C3310" s="24" t="s">
        <v>3509</v>
      </c>
      <c r="D3310" s="24" t="s">
        <v>573</v>
      </c>
      <c r="E3310" s="24">
        <v>17.74</v>
      </c>
      <c r="F3310" s="24">
        <v>1.69</v>
      </c>
    </row>
    <row r="3311" s="24" customFormat="1" spans="1:6">
      <c r="A3311" s="24" t="s">
        <v>140</v>
      </c>
      <c r="B3311" s="24" t="str">
        <f>"603855"</f>
        <v>603855</v>
      </c>
      <c r="C3311" s="24" t="s">
        <v>3510</v>
      </c>
      <c r="D3311" s="24" t="s">
        <v>251</v>
      </c>
      <c r="E3311" s="24">
        <v>17.74</v>
      </c>
      <c r="F3311" s="24">
        <v>2.03</v>
      </c>
    </row>
    <row r="3312" s="24" customFormat="1" spans="1:6">
      <c r="A3312" s="24" t="s">
        <v>140</v>
      </c>
      <c r="B3312" s="24" t="str">
        <f>"603167"</f>
        <v>603167</v>
      </c>
      <c r="C3312" s="24" t="s">
        <v>3511</v>
      </c>
      <c r="D3312" s="24" t="s">
        <v>397</v>
      </c>
      <c r="E3312" s="24">
        <v>17.73</v>
      </c>
      <c r="F3312" s="24">
        <v>1.24</v>
      </c>
    </row>
    <row r="3313" s="24" customFormat="1" spans="1:6">
      <c r="A3313" s="24" t="s">
        <v>142</v>
      </c>
      <c r="B3313" s="24" t="str">
        <f>"002360"</f>
        <v>002360</v>
      </c>
      <c r="C3313" s="24" t="s">
        <v>3512</v>
      </c>
      <c r="D3313" s="24" t="s">
        <v>228</v>
      </c>
      <c r="E3313" s="24">
        <v>17.67</v>
      </c>
      <c r="F3313" s="24">
        <v>1.96</v>
      </c>
    </row>
    <row r="3314" s="24" customFormat="1" spans="1:6">
      <c r="A3314" s="24" t="s">
        <v>142</v>
      </c>
      <c r="B3314" s="24" t="str">
        <f>"002322"</f>
        <v>002322</v>
      </c>
      <c r="C3314" s="24" t="s">
        <v>3513</v>
      </c>
      <c r="D3314" s="24" t="s">
        <v>251</v>
      </c>
      <c r="E3314" s="24">
        <v>17.66</v>
      </c>
      <c r="F3314" s="24">
        <v>3.65</v>
      </c>
    </row>
    <row r="3315" s="24" customFormat="1" spans="1:6">
      <c r="A3315" s="24" t="s">
        <v>140</v>
      </c>
      <c r="B3315" s="24" t="str">
        <f>"600900"</f>
        <v>600900</v>
      </c>
      <c r="C3315" s="24" t="s">
        <v>3514</v>
      </c>
      <c r="D3315" s="24" t="s">
        <v>188</v>
      </c>
      <c r="E3315" s="24">
        <v>17.6</v>
      </c>
      <c r="F3315" s="24">
        <v>2.67</v>
      </c>
    </row>
    <row r="3316" s="24" customFormat="1" spans="1:6">
      <c r="A3316" s="24" t="s">
        <v>142</v>
      </c>
      <c r="B3316" s="24" t="str">
        <f>"002768"</f>
        <v>002768</v>
      </c>
      <c r="C3316" s="24" t="s">
        <v>3515</v>
      </c>
      <c r="D3316" s="24" t="s">
        <v>228</v>
      </c>
      <c r="E3316" s="24">
        <v>17.59</v>
      </c>
      <c r="F3316" s="24">
        <v>2.72</v>
      </c>
    </row>
    <row r="3317" s="24" customFormat="1" spans="1:6">
      <c r="A3317" s="24" t="s">
        <v>142</v>
      </c>
      <c r="B3317" s="24" t="str">
        <f>"300569"</f>
        <v>300569</v>
      </c>
      <c r="C3317" s="24" t="s">
        <v>3516</v>
      </c>
      <c r="D3317" s="24" t="s">
        <v>293</v>
      </c>
      <c r="E3317" s="24">
        <v>17.58</v>
      </c>
      <c r="F3317" s="24">
        <v>1.6</v>
      </c>
    </row>
    <row r="3318" s="24" customFormat="1" spans="1:6">
      <c r="A3318" s="24" t="s">
        <v>142</v>
      </c>
      <c r="B3318" s="24" t="str">
        <f>"002737"</f>
        <v>002737</v>
      </c>
      <c r="C3318" s="24" t="s">
        <v>3517</v>
      </c>
      <c r="D3318" s="24" t="s">
        <v>388</v>
      </c>
      <c r="E3318" s="24">
        <v>17.58</v>
      </c>
      <c r="F3318" s="24">
        <v>3.08</v>
      </c>
    </row>
    <row r="3319" s="24" customFormat="1" spans="1:6">
      <c r="A3319" s="24" t="s">
        <v>142</v>
      </c>
      <c r="B3319" s="24" t="str">
        <f>"002221"</f>
        <v>002221</v>
      </c>
      <c r="C3319" s="24" t="s">
        <v>3518</v>
      </c>
      <c r="D3319" s="24" t="s">
        <v>246</v>
      </c>
      <c r="E3319" s="24">
        <v>17.57</v>
      </c>
      <c r="F3319" s="24">
        <v>1.76</v>
      </c>
    </row>
    <row r="3320" s="24" customFormat="1" spans="1:6">
      <c r="A3320" s="24" t="s">
        <v>140</v>
      </c>
      <c r="B3320" s="24" t="str">
        <f>"603916"</f>
        <v>603916</v>
      </c>
      <c r="C3320" s="24" t="s">
        <v>3519</v>
      </c>
      <c r="D3320" s="24" t="s">
        <v>228</v>
      </c>
      <c r="E3320" s="24">
        <v>17.56</v>
      </c>
      <c r="F3320" s="24">
        <v>2.36</v>
      </c>
    </row>
    <row r="3321" s="24" customFormat="1" spans="1:6">
      <c r="A3321" s="24" t="s">
        <v>142</v>
      </c>
      <c r="B3321" s="24" t="str">
        <f>"300196"</f>
        <v>300196</v>
      </c>
      <c r="C3321" s="24" t="s">
        <v>3520</v>
      </c>
      <c r="D3321" s="24" t="s">
        <v>644</v>
      </c>
      <c r="E3321" s="24">
        <v>17.55</v>
      </c>
      <c r="F3321" s="24">
        <v>1.88</v>
      </c>
    </row>
    <row r="3322" s="24" customFormat="1" spans="1:6">
      <c r="A3322" s="24" t="s">
        <v>140</v>
      </c>
      <c r="B3322" s="24" t="str">
        <f>"600323"</f>
        <v>600323</v>
      </c>
      <c r="C3322" s="24" t="s">
        <v>3521</v>
      </c>
      <c r="D3322" s="24" t="s">
        <v>450</v>
      </c>
      <c r="E3322" s="24">
        <v>17.55</v>
      </c>
      <c r="F3322" s="24">
        <v>2.43</v>
      </c>
    </row>
    <row r="3323" s="24" customFormat="1" spans="1:6">
      <c r="A3323" s="24" t="s">
        <v>140</v>
      </c>
      <c r="B3323" s="24" t="str">
        <f>"600491"</f>
        <v>600491</v>
      </c>
      <c r="C3323" s="24" t="s">
        <v>3522</v>
      </c>
      <c r="D3323" s="24" t="s">
        <v>315</v>
      </c>
      <c r="E3323" s="24">
        <v>17.52</v>
      </c>
      <c r="F3323" s="24">
        <v>1.11</v>
      </c>
    </row>
    <row r="3324" s="24" customFormat="1" spans="1:6">
      <c r="A3324" s="24" t="s">
        <v>142</v>
      </c>
      <c r="B3324" s="24" t="str">
        <f>"002614"</f>
        <v>002614</v>
      </c>
      <c r="C3324" s="24" t="s">
        <v>3523</v>
      </c>
      <c r="D3324" s="24" t="s">
        <v>283</v>
      </c>
      <c r="E3324" s="24">
        <v>17.51</v>
      </c>
      <c r="F3324" s="24">
        <v>1.98</v>
      </c>
    </row>
    <row r="3325" s="24" customFormat="1" spans="1:6">
      <c r="A3325" s="24" t="s">
        <v>140</v>
      </c>
      <c r="B3325" s="24" t="str">
        <f>"601766"</f>
        <v>601766</v>
      </c>
      <c r="C3325" s="24" t="s">
        <v>3524</v>
      </c>
      <c r="D3325" s="24" t="s">
        <v>173</v>
      </c>
      <c r="E3325" s="24">
        <v>17.48</v>
      </c>
      <c r="F3325" s="24">
        <v>1.36</v>
      </c>
    </row>
    <row r="3326" s="24" customFormat="1" spans="1:6">
      <c r="A3326" s="24" t="s">
        <v>140</v>
      </c>
      <c r="B3326" s="24" t="str">
        <f>"603599"</f>
        <v>603599</v>
      </c>
      <c r="C3326" s="24" t="s">
        <v>3525</v>
      </c>
      <c r="D3326" s="24" t="s">
        <v>278</v>
      </c>
      <c r="E3326" s="24">
        <v>17.48</v>
      </c>
      <c r="F3326" s="24">
        <v>1.41</v>
      </c>
    </row>
    <row r="3327" s="24" customFormat="1" spans="1:6">
      <c r="A3327" s="24" t="s">
        <v>140</v>
      </c>
      <c r="B3327" s="24" t="str">
        <f>"600713"</f>
        <v>600713</v>
      </c>
      <c r="C3327" s="24" t="s">
        <v>3526</v>
      </c>
      <c r="D3327" s="24" t="s">
        <v>584</v>
      </c>
      <c r="E3327" s="24">
        <v>17.47</v>
      </c>
      <c r="F3327" s="24">
        <v>1.33</v>
      </c>
    </row>
    <row r="3328" s="24" customFormat="1" spans="1:6">
      <c r="A3328" s="24" t="s">
        <v>142</v>
      </c>
      <c r="B3328" s="24" t="str">
        <f>"002682"</f>
        <v>002682</v>
      </c>
      <c r="C3328" s="24" t="s">
        <v>3527</v>
      </c>
      <c r="D3328" s="24" t="s">
        <v>540</v>
      </c>
      <c r="E3328" s="24">
        <v>17.45</v>
      </c>
      <c r="F3328" s="24">
        <v>1.27</v>
      </c>
    </row>
    <row r="3329" s="24" customFormat="1" spans="1:6">
      <c r="A3329" s="24" t="s">
        <v>140</v>
      </c>
      <c r="B3329" s="24" t="str">
        <f>"603558"</f>
        <v>603558</v>
      </c>
      <c r="C3329" s="24" t="s">
        <v>3528</v>
      </c>
      <c r="D3329" s="24" t="s">
        <v>161</v>
      </c>
      <c r="E3329" s="24">
        <v>17.44</v>
      </c>
      <c r="F3329" s="24">
        <v>1.76</v>
      </c>
    </row>
    <row r="3330" s="24" customFormat="1" spans="1:6">
      <c r="A3330" s="24" t="s">
        <v>140</v>
      </c>
      <c r="B3330" s="24" t="str">
        <f>"601163"</f>
        <v>601163</v>
      </c>
      <c r="C3330" s="24" t="s">
        <v>3529</v>
      </c>
      <c r="D3330" s="24" t="s">
        <v>204</v>
      </c>
      <c r="E3330" s="24">
        <v>17.42</v>
      </c>
      <c r="F3330" s="24">
        <v>1.14</v>
      </c>
    </row>
    <row r="3331" s="24" customFormat="1" spans="1:6">
      <c r="A3331" s="24" t="s">
        <v>140</v>
      </c>
      <c r="B3331" s="24" t="str">
        <f>"900956"</f>
        <v>900956</v>
      </c>
      <c r="C3331" s="24" t="s">
        <v>3530</v>
      </c>
      <c r="D3331" s="24"/>
      <c r="E3331" s="24">
        <v>17.42</v>
      </c>
      <c r="F3331" s="24">
        <v>1.5</v>
      </c>
    </row>
    <row r="3332" s="24" customFormat="1" spans="1:6">
      <c r="A3332" s="24" t="s">
        <v>140</v>
      </c>
      <c r="B3332" s="24" t="str">
        <f>"600690"</f>
        <v>600690</v>
      </c>
      <c r="C3332" s="24" t="s">
        <v>58</v>
      </c>
      <c r="D3332" s="24" t="s">
        <v>184</v>
      </c>
      <c r="E3332" s="24">
        <v>17.41</v>
      </c>
      <c r="F3332" s="24">
        <v>5.9</v>
      </c>
    </row>
    <row r="3333" s="24" customFormat="1" spans="1:6">
      <c r="A3333" s="24" t="s">
        <v>140</v>
      </c>
      <c r="B3333" s="24" t="str">
        <f>"603955"</f>
        <v>603955</v>
      </c>
      <c r="C3333" s="24" t="s">
        <v>3531</v>
      </c>
      <c r="D3333" s="24" t="s">
        <v>315</v>
      </c>
      <c r="E3333" s="24">
        <v>17.39</v>
      </c>
      <c r="F3333" s="24">
        <v>1.39</v>
      </c>
    </row>
    <row r="3334" s="24" customFormat="1" spans="1:6">
      <c r="A3334" s="24" t="s">
        <v>140</v>
      </c>
      <c r="B3334" s="24" t="str">
        <f>"600106"</f>
        <v>600106</v>
      </c>
      <c r="C3334" s="24" t="s">
        <v>3532</v>
      </c>
      <c r="D3334" s="24" t="s">
        <v>1016</v>
      </c>
      <c r="E3334" s="24">
        <v>17.39</v>
      </c>
      <c r="F3334" s="24">
        <v>0.89</v>
      </c>
    </row>
    <row r="3335" s="24" customFormat="1" spans="1:6">
      <c r="A3335" s="24" t="s">
        <v>142</v>
      </c>
      <c r="B3335" s="24" t="str">
        <f>"200025"</f>
        <v>200025</v>
      </c>
      <c r="C3335" s="24" t="s">
        <v>3533</v>
      </c>
      <c r="D3335" s="24"/>
      <c r="E3335" s="24">
        <v>17.38</v>
      </c>
      <c r="F3335" s="24">
        <v>1.79</v>
      </c>
    </row>
    <row r="3336" s="24" customFormat="1" spans="1:6">
      <c r="A3336" s="24" t="s">
        <v>140</v>
      </c>
      <c r="B3336" s="24" t="str">
        <f>"603928"</f>
        <v>603928</v>
      </c>
      <c r="C3336" s="24" t="s">
        <v>3534</v>
      </c>
      <c r="D3336" s="24" t="s">
        <v>228</v>
      </c>
      <c r="E3336" s="24">
        <v>17.37</v>
      </c>
      <c r="F3336" s="24">
        <v>1.74</v>
      </c>
    </row>
    <row r="3337" s="24" customFormat="1" spans="1:6">
      <c r="A3337" s="24" t="s">
        <v>140</v>
      </c>
      <c r="B3337" s="24" t="str">
        <f>"603969"</f>
        <v>603969</v>
      </c>
      <c r="C3337" s="24" t="s">
        <v>3535</v>
      </c>
      <c r="D3337" s="24" t="s">
        <v>258</v>
      </c>
      <c r="E3337" s="24">
        <v>17.36</v>
      </c>
      <c r="F3337" s="24">
        <v>1.72</v>
      </c>
    </row>
    <row r="3338" s="24" customFormat="1" spans="1:6">
      <c r="A3338" s="24" t="s">
        <v>142</v>
      </c>
      <c r="B3338" s="24" t="str">
        <f>"002641"</f>
        <v>002641</v>
      </c>
      <c r="C3338" s="24" t="s">
        <v>3536</v>
      </c>
      <c r="D3338" s="24" t="s">
        <v>228</v>
      </c>
      <c r="E3338" s="24">
        <v>17.33</v>
      </c>
      <c r="F3338" s="24">
        <v>2.06</v>
      </c>
    </row>
    <row r="3339" s="24" customFormat="1" spans="1:6">
      <c r="A3339" s="24" t="s">
        <v>140</v>
      </c>
      <c r="B3339" s="24" t="str">
        <f>"601311"</f>
        <v>601311</v>
      </c>
      <c r="C3339" s="24" t="s">
        <v>3537</v>
      </c>
      <c r="D3339" s="24" t="s">
        <v>204</v>
      </c>
      <c r="E3339" s="24">
        <v>17.3</v>
      </c>
      <c r="F3339" s="24">
        <v>1.38</v>
      </c>
    </row>
    <row r="3340" s="24" customFormat="1" spans="1:6">
      <c r="A3340" s="24" t="s">
        <v>142</v>
      </c>
      <c r="B3340" s="24" t="str">
        <f>"002033"</f>
        <v>002033</v>
      </c>
      <c r="C3340" s="24" t="s">
        <v>3538</v>
      </c>
      <c r="D3340" s="24" t="s">
        <v>453</v>
      </c>
      <c r="E3340" s="24">
        <v>17.27</v>
      </c>
      <c r="F3340" s="24">
        <v>1.2</v>
      </c>
    </row>
    <row r="3341" s="24" customFormat="1" spans="1:6">
      <c r="A3341" s="24" t="s">
        <v>142</v>
      </c>
      <c r="B3341" s="24" t="str">
        <f>"002083"</f>
        <v>002083</v>
      </c>
      <c r="C3341" s="24" t="s">
        <v>3539</v>
      </c>
      <c r="D3341" s="24" t="s">
        <v>253</v>
      </c>
      <c r="E3341" s="24">
        <v>17.27</v>
      </c>
      <c r="F3341" s="24">
        <v>1.67</v>
      </c>
    </row>
    <row r="3342" s="24" customFormat="1" spans="1:6">
      <c r="A3342" s="24" t="s">
        <v>142</v>
      </c>
      <c r="B3342" s="24" t="str">
        <f>"002763"</f>
        <v>002763</v>
      </c>
      <c r="C3342" s="24" t="s">
        <v>3540</v>
      </c>
      <c r="D3342" s="24" t="s">
        <v>161</v>
      </c>
      <c r="E3342" s="24">
        <v>17.26</v>
      </c>
      <c r="F3342" s="24">
        <v>1.74</v>
      </c>
    </row>
    <row r="3343" s="24" customFormat="1" spans="1:6">
      <c r="A3343" s="24" t="s">
        <v>142</v>
      </c>
      <c r="B3343" s="24" t="str">
        <f>"000301"</f>
        <v>000301</v>
      </c>
      <c r="C3343" s="24" t="s">
        <v>3541</v>
      </c>
      <c r="D3343" s="24" t="s">
        <v>188</v>
      </c>
      <c r="E3343" s="24">
        <v>17.23</v>
      </c>
      <c r="F3343" s="24">
        <v>1.52</v>
      </c>
    </row>
    <row r="3344" s="24" customFormat="1" spans="1:6">
      <c r="A3344" s="24" t="s">
        <v>140</v>
      </c>
      <c r="B3344" s="24" t="str">
        <f>"601111"</f>
        <v>601111</v>
      </c>
      <c r="C3344" s="24" t="s">
        <v>3542</v>
      </c>
      <c r="D3344" s="24" t="s">
        <v>423</v>
      </c>
      <c r="E3344" s="24">
        <v>17.21</v>
      </c>
      <c r="F3344" s="24">
        <v>1.23</v>
      </c>
    </row>
    <row r="3345" s="24" customFormat="1" spans="1:6">
      <c r="A3345" s="24" t="s">
        <v>140</v>
      </c>
      <c r="B3345" s="24" t="str">
        <f>"603801"</f>
        <v>603801</v>
      </c>
      <c r="C3345" s="24" t="s">
        <v>3543</v>
      </c>
      <c r="D3345" s="24" t="s">
        <v>200</v>
      </c>
      <c r="E3345" s="24">
        <v>17.19</v>
      </c>
      <c r="F3345" s="24">
        <v>2.54</v>
      </c>
    </row>
    <row r="3346" s="24" customFormat="1" spans="1:6">
      <c r="A3346" s="24" t="s">
        <v>142</v>
      </c>
      <c r="B3346" s="24" t="str">
        <f>"000546"</f>
        <v>000546</v>
      </c>
      <c r="C3346" s="24" t="s">
        <v>3544</v>
      </c>
      <c r="D3346" s="24" t="s">
        <v>667</v>
      </c>
      <c r="E3346" s="24">
        <v>17.19</v>
      </c>
      <c r="F3346" s="24">
        <v>1.78</v>
      </c>
    </row>
    <row r="3347" s="24" customFormat="1" spans="1:6">
      <c r="A3347" s="24" t="s">
        <v>142</v>
      </c>
      <c r="B3347" s="24" t="str">
        <f>"002443"</f>
        <v>002443</v>
      </c>
      <c r="C3347" s="24" t="s">
        <v>3545</v>
      </c>
      <c r="D3347" s="24" t="s">
        <v>258</v>
      </c>
      <c r="E3347" s="24">
        <v>17.16</v>
      </c>
      <c r="F3347" s="24">
        <v>1.3</v>
      </c>
    </row>
    <row r="3348" s="24" customFormat="1" spans="1:6">
      <c r="A3348" s="24" t="s">
        <v>140</v>
      </c>
      <c r="B3348" s="24" t="str">
        <f>"600351"</f>
        <v>600351</v>
      </c>
      <c r="C3348" s="24" t="s">
        <v>3546</v>
      </c>
      <c r="D3348" s="24" t="s">
        <v>464</v>
      </c>
      <c r="E3348" s="24">
        <v>17.14</v>
      </c>
      <c r="F3348" s="24">
        <v>1.77</v>
      </c>
    </row>
    <row r="3349" s="24" customFormat="1" spans="1:6">
      <c r="A3349" s="24" t="s">
        <v>140</v>
      </c>
      <c r="B3349" s="24" t="str">
        <f>"603278"</f>
        <v>603278</v>
      </c>
      <c r="C3349" s="24" t="s">
        <v>3547</v>
      </c>
      <c r="D3349" s="24" t="s">
        <v>258</v>
      </c>
      <c r="E3349" s="24">
        <v>17.13</v>
      </c>
      <c r="F3349" s="24">
        <v>1.44</v>
      </c>
    </row>
    <row r="3350" s="24" customFormat="1" spans="1:6">
      <c r="A3350" s="24" t="s">
        <v>140</v>
      </c>
      <c r="B3350" s="24" t="str">
        <f>"603979"</f>
        <v>603979</v>
      </c>
      <c r="C3350" s="24" t="s">
        <v>3548</v>
      </c>
      <c r="D3350" s="24" t="s">
        <v>315</v>
      </c>
      <c r="E3350" s="24">
        <v>17.11</v>
      </c>
      <c r="F3350" s="24">
        <v>1.2</v>
      </c>
    </row>
    <row r="3351" s="24" customFormat="1" spans="1:6">
      <c r="A3351" s="24" t="s">
        <v>140</v>
      </c>
      <c r="B3351" s="24" t="str">
        <f>"603098"</f>
        <v>603098</v>
      </c>
      <c r="C3351" s="24" t="s">
        <v>3549</v>
      </c>
      <c r="D3351" s="24" t="s">
        <v>573</v>
      </c>
      <c r="E3351" s="24">
        <v>17.08</v>
      </c>
      <c r="F3351" s="24">
        <v>2.2</v>
      </c>
    </row>
    <row r="3352" s="24" customFormat="1" spans="1:6">
      <c r="A3352" s="24" t="s">
        <v>140</v>
      </c>
      <c r="B3352" s="24" t="str">
        <f>"601598"</f>
        <v>601598</v>
      </c>
      <c r="C3352" s="24" t="s">
        <v>3550</v>
      </c>
      <c r="D3352" s="24" t="s">
        <v>397</v>
      </c>
      <c r="E3352" s="24">
        <v>17.08</v>
      </c>
      <c r="F3352" s="24">
        <v>0.98</v>
      </c>
    </row>
    <row r="3353" s="24" customFormat="1" spans="1:6">
      <c r="A3353" s="24" t="s">
        <v>140</v>
      </c>
      <c r="B3353" s="24" t="str">
        <f>"600094"</f>
        <v>600094</v>
      </c>
      <c r="C3353" s="24" t="s">
        <v>3551</v>
      </c>
      <c r="D3353" s="24" t="s">
        <v>244</v>
      </c>
      <c r="E3353" s="24">
        <v>17.07</v>
      </c>
      <c r="F3353" s="24">
        <v>1.29</v>
      </c>
    </row>
    <row r="3354" s="24" customFormat="1" spans="1:6">
      <c r="A3354" s="24" t="s">
        <v>140</v>
      </c>
      <c r="B3354" s="24" t="str">
        <f>"600475"</f>
        <v>600475</v>
      </c>
      <c r="C3354" s="24" t="s">
        <v>3552</v>
      </c>
      <c r="D3354" s="24" t="s">
        <v>165</v>
      </c>
      <c r="E3354" s="24">
        <v>17.04</v>
      </c>
      <c r="F3354" s="24">
        <v>1.04</v>
      </c>
    </row>
    <row r="3355" s="24" customFormat="1" spans="1:6">
      <c r="A3355" s="24" t="s">
        <v>142</v>
      </c>
      <c r="B3355" s="24" t="str">
        <f>"000623"</f>
        <v>000623</v>
      </c>
      <c r="C3355" s="24" t="s">
        <v>3553</v>
      </c>
      <c r="D3355" s="24" t="s">
        <v>464</v>
      </c>
      <c r="E3355" s="24">
        <v>17.03</v>
      </c>
      <c r="F3355" s="24">
        <v>0.88</v>
      </c>
    </row>
    <row r="3356" s="24" customFormat="1" spans="1:6">
      <c r="A3356" s="24" t="s">
        <v>140</v>
      </c>
      <c r="B3356" s="24" t="str">
        <f>"600011"</f>
        <v>600011</v>
      </c>
      <c r="C3356" s="24" t="s">
        <v>3554</v>
      </c>
      <c r="D3356" s="24" t="s">
        <v>188</v>
      </c>
      <c r="E3356" s="24">
        <v>17.03</v>
      </c>
      <c r="F3356" s="24">
        <v>1.18</v>
      </c>
    </row>
    <row r="3357" s="24" customFormat="1" spans="1:6">
      <c r="A3357" s="24" t="s">
        <v>140</v>
      </c>
      <c r="B3357" s="24" t="str">
        <f>"600545"</f>
        <v>600545</v>
      </c>
      <c r="C3357" s="24" t="s">
        <v>3555</v>
      </c>
      <c r="D3357" s="24" t="s">
        <v>173</v>
      </c>
      <c r="E3357" s="24">
        <v>17.01</v>
      </c>
      <c r="F3357" s="24">
        <v>2.59</v>
      </c>
    </row>
    <row r="3358" s="24" customFormat="1" spans="1:6">
      <c r="A3358" s="24" t="s">
        <v>140</v>
      </c>
      <c r="B3358" s="24" t="str">
        <f>"600629"</f>
        <v>600629</v>
      </c>
      <c r="C3358" s="24" t="s">
        <v>3556</v>
      </c>
      <c r="D3358" s="24" t="s">
        <v>315</v>
      </c>
      <c r="E3358" s="24">
        <v>16.93</v>
      </c>
      <c r="F3358" s="24">
        <v>1.54</v>
      </c>
    </row>
    <row r="3359" s="24" customFormat="1" spans="1:6">
      <c r="A3359" s="24" t="s">
        <v>140</v>
      </c>
      <c r="B3359" s="24" t="str">
        <f>"603379"</f>
        <v>603379</v>
      </c>
      <c r="C3359" s="24" t="s">
        <v>3557</v>
      </c>
      <c r="D3359" s="24" t="s">
        <v>256</v>
      </c>
      <c r="E3359" s="24">
        <v>16.91</v>
      </c>
      <c r="F3359" s="24">
        <v>2.81</v>
      </c>
    </row>
    <row r="3360" s="24" customFormat="1" spans="1:6">
      <c r="A3360" s="24" t="s">
        <v>140</v>
      </c>
      <c r="B3360" s="24" t="str">
        <f>"603589"</f>
        <v>603589</v>
      </c>
      <c r="C3360" s="24" t="s">
        <v>3558</v>
      </c>
      <c r="D3360" s="24" t="s">
        <v>309</v>
      </c>
      <c r="E3360" s="24">
        <v>16.87</v>
      </c>
      <c r="F3360" s="24">
        <v>4.14</v>
      </c>
    </row>
    <row r="3361" s="24" customFormat="1" spans="1:6">
      <c r="A3361" s="24" t="s">
        <v>142</v>
      </c>
      <c r="B3361" s="24" t="str">
        <f>"200596"</f>
        <v>200596</v>
      </c>
      <c r="C3361" s="24" t="s">
        <v>3559</v>
      </c>
      <c r="D3361" s="24"/>
      <c r="E3361" s="24">
        <v>16.87</v>
      </c>
      <c r="F3361" s="24">
        <v>4.25</v>
      </c>
    </row>
    <row r="3362" s="24" customFormat="1" spans="1:6">
      <c r="A3362" s="24" t="s">
        <v>142</v>
      </c>
      <c r="B3362" s="24" t="str">
        <f>"300296"</f>
        <v>300296</v>
      </c>
      <c r="C3362" s="24" t="s">
        <v>3560</v>
      </c>
      <c r="D3362" s="24" t="s">
        <v>230</v>
      </c>
      <c r="E3362" s="24">
        <v>16.86</v>
      </c>
      <c r="F3362" s="24">
        <v>3.21</v>
      </c>
    </row>
    <row r="3363" s="24" customFormat="1" spans="1:6">
      <c r="A3363" s="24" t="s">
        <v>140</v>
      </c>
      <c r="B3363" s="24" t="str">
        <f>"600269"</f>
        <v>600269</v>
      </c>
      <c r="C3363" s="24" t="s">
        <v>3561</v>
      </c>
      <c r="D3363" s="24" t="s">
        <v>1016</v>
      </c>
      <c r="E3363" s="24">
        <v>16.85</v>
      </c>
      <c r="F3363" s="24">
        <v>0.56</v>
      </c>
    </row>
    <row r="3364" s="24" customFormat="1" spans="1:6">
      <c r="A3364" s="24" t="s">
        <v>140</v>
      </c>
      <c r="B3364" s="24" t="str">
        <f>"603689"</f>
        <v>603689</v>
      </c>
      <c r="C3364" s="24" t="s">
        <v>3562</v>
      </c>
      <c r="D3364" s="24" t="s">
        <v>246</v>
      </c>
      <c r="E3364" s="24">
        <v>16.85</v>
      </c>
      <c r="F3364" s="24">
        <v>1.66</v>
      </c>
    </row>
    <row r="3365" s="24" customFormat="1" spans="1:6">
      <c r="A3365" s="24" t="s">
        <v>142</v>
      </c>
      <c r="B3365" s="24" t="str">
        <f>"002003"</f>
        <v>002003</v>
      </c>
      <c r="C3365" s="24" t="s">
        <v>3563</v>
      </c>
      <c r="D3365" s="24" t="s">
        <v>161</v>
      </c>
      <c r="E3365" s="24">
        <v>16.84</v>
      </c>
      <c r="F3365" s="24">
        <v>2.05</v>
      </c>
    </row>
    <row r="3366" s="24" customFormat="1" spans="1:6">
      <c r="A3366" s="24" t="s">
        <v>142</v>
      </c>
      <c r="B3366" s="24" t="str">
        <f>"002531"</f>
        <v>002531</v>
      </c>
      <c r="C3366" s="24" t="s">
        <v>3564</v>
      </c>
      <c r="D3366" s="24" t="s">
        <v>173</v>
      </c>
      <c r="E3366" s="24">
        <v>16.83</v>
      </c>
      <c r="F3366" s="24">
        <v>1.88</v>
      </c>
    </row>
    <row r="3367" s="24" customFormat="1" spans="1:6">
      <c r="A3367" s="24" t="s">
        <v>140</v>
      </c>
      <c r="B3367" s="24" t="str">
        <f>"601567"</f>
        <v>601567</v>
      </c>
      <c r="C3367" s="24" t="s">
        <v>3565</v>
      </c>
      <c r="D3367" s="24" t="s">
        <v>251</v>
      </c>
      <c r="E3367" s="24">
        <v>16.81</v>
      </c>
      <c r="F3367" s="24">
        <v>1.45</v>
      </c>
    </row>
    <row r="3368" s="24" customFormat="1" spans="1:6">
      <c r="A3368" s="24" t="s">
        <v>142</v>
      </c>
      <c r="B3368" s="24" t="str">
        <f>"000650"</f>
        <v>000650</v>
      </c>
      <c r="C3368" s="24" t="s">
        <v>3566</v>
      </c>
      <c r="D3368" s="24" t="s">
        <v>388</v>
      </c>
      <c r="E3368" s="24">
        <v>16.8</v>
      </c>
      <c r="F3368" s="24">
        <v>2.62</v>
      </c>
    </row>
    <row r="3369" s="24" customFormat="1" spans="1:6">
      <c r="A3369" s="24" t="s">
        <v>140</v>
      </c>
      <c r="B3369" s="24" t="str">
        <f>"603466"</f>
        <v>603466</v>
      </c>
      <c r="C3369" s="24" t="s">
        <v>3567</v>
      </c>
      <c r="D3369" s="24" t="s">
        <v>214</v>
      </c>
      <c r="E3369" s="24">
        <v>16.79</v>
      </c>
      <c r="F3369" s="24">
        <v>2.47</v>
      </c>
    </row>
    <row r="3370" s="24" customFormat="1" spans="1:6">
      <c r="A3370" s="24" t="s">
        <v>140</v>
      </c>
      <c r="B3370" s="24" t="str">
        <f>"600007"</f>
        <v>600007</v>
      </c>
      <c r="C3370" s="24" t="s">
        <v>3568</v>
      </c>
      <c r="D3370" s="24" t="s">
        <v>623</v>
      </c>
      <c r="E3370" s="24">
        <v>16.78</v>
      </c>
      <c r="F3370" s="24">
        <v>2.03</v>
      </c>
    </row>
    <row r="3371" s="24" customFormat="1" spans="1:6">
      <c r="A3371" s="24" t="s">
        <v>140</v>
      </c>
      <c r="B3371" s="24" t="str">
        <f>"603298"</f>
        <v>603298</v>
      </c>
      <c r="C3371" s="24" t="s">
        <v>3569</v>
      </c>
      <c r="D3371" s="24" t="s">
        <v>173</v>
      </c>
      <c r="E3371" s="24">
        <v>16.75</v>
      </c>
      <c r="F3371" s="24">
        <v>1.93</v>
      </c>
    </row>
    <row r="3372" s="24" customFormat="1" spans="1:6">
      <c r="A3372" s="24" t="s">
        <v>142</v>
      </c>
      <c r="B3372" s="24" t="str">
        <f>"000797"</f>
        <v>000797</v>
      </c>
      <c r="C3372" s="24" t="s">
        <v>3570</v>
      </c>
      <c r="D3372" s="24" t="s">
        <v>244</v>
      </c>
      <c r="E3372" s="24">
        <v>16.75</v>
      </c>
      <c r="F3372" s="24">
        <v>1</v>
      </c>
    </row>
    <row r="3373" s="24" customFormat="1" spans="1:6">
      <c r="A3373" s="24" t="s">
        <v>142</v>
      </c>
      <c r="B3373" s="24" t="str">
        <f>"002541"</f>
        <v>002541</v>
      </c>
      <c r="C3373" s="24" t="s">
        <v>3571</v>
      </c>
      <c r="D3373" s="24" t="s">
        <v>573</v>
      </c>
      <c r="E3373" s="24">
        <v>16.74</v>
      </c>
      <c r="F3373" s="24">
        <v>1.25</v>
      </c>
    </row>
    <row r="3374" s="24" customFormat="1" spans="1:6">
      <c r="A3374" s="24" t="s">
        <v>140</v>
      </c>
      <c r="B3374" s="24" t="str">
        <f>"601877"</f>
        <v>601877</v>
      </c>
      <c r="C3374" s="24" t="s">
        <v>3572</v>
      </c>
      <c r="D3374" s="24" t="s">
        <v>251</v>
      </c>
      <c r="E3374" s="24">
        <v>16.71</v>
      </c>
      <c r="F3374" s="24">
        <v>2.62</v>
      </c>
    </row>
    <row r="3375" s="24" customFormat="1" spans="1:6">
      <c r="A3375" s="24" t="s">
        <v>140</v>
      </c>
      <c r="B3375" s="24" t="str">
        <f>"603198"</f>
        <v>603198</v>
      </c>
      <c r="C3375" s="24" t="s">
        <v>3573</v>
      </c>
      <c r="D3375" s="24" t="s">
        <v>309</v>
      </c>
      <c r="E3375" s="24">
        <v>16.71</v>
      </c>
      <c r="F3375" s="24">
        <v>3.08</v>
      </c>
    </row>
    <row r="3376" s="24" customFormat="1" spans="1:6">
      <c r="A3376" s="24" t="s">
        <v>140</v>
      </c>
      <c r="B3376" s="24" t="str">
        <f>"603889"</f>
        <v>603889</v>
      </c>
      <c r="C3376" s="24" t="s">
        <v>3574</v>
      </c>
      <c r="D3376" s="24" t="s">
        <v>253</v>
      </c>
      <c r="E3376" s="24">
        <v>16.7</v>
      </c>
      <c r="F3376" s="24">
        <v>1.13</v>
      </c>
    </row>
    <row r="3377" s="24" customFormat="1" spans="1:6">
      <c r="A3377" s="24" t="s">
        <v>140</v>
      </c>
      <c r="B3377" s="24" t="str">
        <f>"600231"</f>
        <v>600231</v>
      </c>
      <c r="C3377" s="24" t="s">
        <v>3575</v>
      </c>
      <c r="D3377" s="24" t="s">
        <v>258</v>
      </c>
      <c r="E3377" s="24">
        <v>16.68</v>
      </c>
      <c r="F3377" s="24">
        <v>0.86</v>
      </c>
    </row>
    <row r="3378" s="24" customFormat="1" spans="1:6">
      <c r="A3378" s="24" t="s">
        <v>142</v>
      </c>
      <c r="B3378" s="24" t="str">
        <f>"000028"</f>
        <v>000028</v>
      </c>
      <c r="C3378" s="24" t="s">
        <v>3576</v>
      </c>
      <c r="D3378" s="24" t="s">
        <v>584</v>
      </c>
      <c r="E3378" s="24">
        <v>16.68</v>
      </c>
      <c r="F3378" s="24">
        <v>1.75</v>
      </c>
    </row>
    <row r="3379" s="24" customFormat="1" spans="1:6">
      <c r="A3379" s="24" t="s">
        <v>142</v>
      </c>
      <c r="B3379" s="24" t="str">
        <f>"002853"</f>
        <v>002853</v>
      </c>
      <c r="C3379" s="24" t="s">
        <v>3577</v>
      </c>
      <c r="D3379" s="24" t="s">
        <v>200</v>
      </c>
      <c r="E3379" s="24">
        <v>16.68</v>
      </c>
      <c r="F3379" s="24">
        <v>2.25</v>
      </c>
    </row>
    <row r="3380" s="24" customFormat="1" spans="1:6">
      <c r="A3380" s="24" t="s">
        <v>140</v>
      </c>
      <c r="B3380" s="24" t="str">
        <f>"600089"</f>
        <v>600089</v>
      </c>
      <c r="C3380" s="24" t="s">
        <v>3578</v>
      </c>
      <c r="D3380" s="24" t="s">
        <v>293</v>
      </c>
      <c r="E3380" s="24">
        <v>16.65</v>
      </c>
      <c r="F3380" s="24">
        <v>0.79</v>
      </c>
    </row>
    <row r="3381" s="24" customFormat="1" spans="1:6">
      <c r="A3381" s="24" t="s">
        <v>140</v>
      </c>
      <c r="B3381" s="24" t="str">
        <f>"600236"</f>
        <v>600236</v>
      </c>
      <c r="C3381" s="24" t="s">
        <v>3579</v>
      </c>
      <c r="D3381" s="24" t="s">
        <v>188</v>
      </c>
      <c r="E3381" s="24">
        <v>16.64</v>
      </c>
      <c r="F3381" s="24">
        <v>2.57</v>
      </c>
    </row>
    <row r="3382" s="24" customFormat="1" spans="1:6">
      <c r="A3382" s="24" t="s">
        <v>140</v>
      </c>
      <c r="B3382" s="24" t="str">
        <f>"601866"</f>
        <v>601866</v>
      </c>
      <c r="C3382" s="24" t="s">
        <v>3580</v>
      </c>
      <c r="D3382" s="24" t="s">
        <v>397</v>
      </c>
      <c r="E3382" s="24">
        <v>16.64</v>
      </c>
      <c r="F3382" s="24">
        <v>1.51</v>
      </c>
    </row>
    <row r="3383" s="24" customFormat="1" spans="1:6">
      <c r="A3383" s="24" t="s">
        <v>142</v>
      </c>
      <c r="B3383" s="24" t="str">
        <f>"003816"</f>
        <v>003816</v>
      </c>
      <c r="C3383" s="24" t="s">
        <v>3581</v>
      </c>
      <c r="D3383" s="24" t="s">
        <v>188</v>
      </c>
      <c r="E3383" s="24">
        <v>16.62</v>
      </c>
      <c r="F3383" s="24">
        <v>1.86</v>
      </c>
    </row>
    <row r="3384" s="24" customFormat="1" spans="1:6">
      <c r="A3384" s="24" t="s">
        <v>142</v>
      </c>
      <c r="B3384" s="24" t="str">
        <f>"002717"</f>
        <v>002717</v>
      </c>
      <c r="C3384" s="24" t="s">
        <v>3582</v>
      </c>
      <c r="D3384" s="24" t="s">
        <v>315</v>
      </c>
      <c r="E3384" s="24">
        <v>16.61</v>
      </c>
      <c r="F3384" s="24">
        <v>2.35</v>
      </c>
    </row>
    <row r="3385" s="24" customFormat="1" spans="1:6">
      <c r="A3385" s="24" t="s">
        <v>142</v>
      </c>
      <c r="B3385" s="24" t="str">
        <f>"000761"</f>
        <v>000761</v>
      </c>
      <c r="C3385" s="24" t="s">
        <v>3583</v>
      </c>
      <c r="D3385" s="24" t="s">
        <v>258</v>
      </c>
      <c r="E3385" s="24">
        <v>16.6</v>
      </c>
      <c r="F3385" s="24">
        <v>0.68</v>
      </c>
    </row>
    <row r="3386" s="24" customFormat="1" spans="1:6">
      <c r="A3386" s="24" t="s">
        <v>140</v>
      </c>
      <c r="B3386" s="24" t="str">
        <f>"601319"</f>
        <v>601319</v>
      </c>
      <c r="C3386" s="24" t="s">
        <v>3584</v>
      </c>
      <c r="D3386" s="24" t="s">
        <v>575</v>
      </c>
      <c r="E3386" s="24">
        <v>16.57</v>
      </c>
      <c r="F3386" s="24">
        <v>1.74</v>
      </c>
    </row>
    <row r="3387" s="24" customFormat="1" spans="1:6">
      <c r="A3387" s="24" t="s">
        <v>140</v>
      </c>
      <c r="B3387" s="24" t="str">
        <f>"603388"</f>
        <v>603388</v>
      </c>
      <c r="C3387" s="24" t="s">
        <v>3585</v>
      </c>
      <c r="D3387" s="24" t="s">
        <v>315</v>
      </c>
      <c r="E3387" s="24">
        <v>16.57</v>
      </c>
      <c r="F3387" s="24">
        <v>2.43</v>
      </c>
    </row>
    <row r="3388" s="24" customFormat="1" spans="1:6">
      <c r="A3388" s="24" t="s">
        <v>140</v>
      </c>
      <c r="B3388" s="24" t="str">
        <f>"600066"</f>
        <v>600066</v>
      </c>
      <c r="C3388" s="24" t="s">
        <v>3586</v>
      </c>
      <c r="D3388" s="24" t="s">
        <v>175</v>
      </c>
      <c r="E3388" s="24">
        <v>16.55</v>
      </c>
      <c r="F3388" s="24">
        <v>1.96</v>
      </c>
    </row>
    <row r="3389" s="24" customFormat="1" spans="1:6">
      <c r="A3389" s="24" t="s">
        <v>140</v>
      </c>
      <c r="B3389" s="24" t="str">
        <f>"600210"</f>
        <v>600210</v>
      </c>
      <c r="C3389" s="24" t="s">
        <v>3587</v>
      </c>
      <c r="D3389" s="24" t="s">
        <v>290</v>
      </c>
      <c r="E3389" s="24">
        <v>16.5</v>
      </c>
      <c r="F3389" s="24">
        <v>1.17</v>
      </c>
    </row>
    <row r="3390" s="24" customFormat="1" spans="1:6">
      <c r="A3390" s="24" t="s">
        <v>142</v>
      </c>
      <c r="B3390" s="24" t="str">
        <f>"002048"</f>
        <v>002048</v>
      </c>
      <c r="C3390" s="24" t="s">
        <v>3588</v>
      </c>
      <c r="D3390" s="24" t="s">
        <v>204</v>
      </c>
      <c r="E3390" s="24">
        <v>16.5</v>
      </c>
      <c r="F3390" s="24">
        <v>1.79</v>
      </c>
    </row>
    <row r="3391" s="24" customFormat="1" spans="1:6">
      <c r="A3391" s="24" t="s">
        <v>142</v>
      </c>
      <c r="B3391" s="24" t="str">
        <f>"002538"</f>
        <v>002538</v>
      </c>
      <c r="C3391" s="24" t="s">
        <v>3589</v>
      </c>
      <c r="D3391" s="24" t="s">
        <v>278</v>
      </c>
      <c r="E3391" s="24">
        <v>16.49</v>
      </c>
      <c r="F3391" s="24">
        <v>0.95</v>
      </c>
    </row>
    <row r="3392" s="24" customFormat="1" spans="1:6">
      <c r="A3392" s="24" t="s">
        <v>140</v>
      </c>
      <c r="B3392" s="24" t="str">
        <f>"603587"</f>
        <v>603587</v>
      </c>
      <c r="C3392" s="24" t="s">
        <v>3590</v>
      </c>
      <c r="D3392" s="24" t="s">
        <v>161</v>
      </c>
      <c r="E3392" s="24">
        <v>16.42</v>
      </c>
      <c r="F3392" s="24">
        <v>2.84</v>
      </c>
    </row>
    <row r="3393" s="24" customFormat="1" spans="1:6">
      <c r="A3393" s="24" t="s">
        <v>142</v>
      </c>
      <c r="B3393" s="24" t="str">
        <f>"002381"</f>
        <v>002381</v>
      </c>
      <c r="C3393" s="24" t="s">
        <v>3591</v>
      </c>
      <c r="D3393" s="24" t="s">
        <v>644</v>
      </c>
      <c r="E3393" s="24">
        <v>16.42</v>
      </c>
      <c r="F3393" s="24">
        <v>1.89</v>
      </c>
    </row>
    <row r="3394" s="24" customFormat="1" spans="1:6">
      <c r="A3394" s="24" t="s">
        <v>140</v>
      </c>
      <c r="B3394" s="24" t="str">
        <f>"600093"</f>
        <v>600093</v>
      </c>
      <c r="C3394" s="24" t="s">
        <v>3592</v>
      </c>
      <c r="D3394" s="24" t="s">
        <v>177</v>
      </c>
      <c r="E3394" s="24">
        <v>16.39</v>
      </c>
      <c r="F3394" s="24">
        <v>1.91</v>
      </c>
    </row>
    <row r="3395" s="24" customFormat="1" spans="1:6">
      <c r="A3395" s="24" t="s">
        <v>142</v>
      </c>
      <c r="B3395" s="24" t="str">
        <f>"002206"</f>
        <v>002206</v>
      </c>
      <c r="C3395" s="24" t="s">
        <v>3593</v>
      </c>
      <c r="D3395" s="24" t="s">
        <v>302</v>
      </c>
      <c r="E3395" s="24">
        <v>16.39</v>
      </c>
      <c r="F3395" s="24">
        <v>1.71</v>
      </c>
    </row>
    <row r="3396" s="24" customFormat="1" spans="1:6">
      <c r="A3396" s="24" t="s">
        <v>140</v>
      </c>
      <c r="B3396" s="24" t="str">
        <f>"603995"</f>
        <v>603995</v>
      </c>
      <c r="C3396" s="24" t="s">
        <v>3594</v>
      </c>
      <c r="D3396" s="24" t="s">
        <v>258</v>
      </c>
      <c r="E3396" s="24">
        <v>16.39</v>
      </c>
      <c r="F3396" s="24">
        <v>1.81</v>
      </c>
    </row>
    <row r="3397" s="24" customFormat="1" spans="1:6">
      <c r="A3397" s="24" t="s">
        <v>140</v>
      </c>
      <c r="B3397" s="24" t="str">
        <f>"600322"</f>
        <v>600322</v>
      </c>
      <c r="C3397" s="24" t="s">
        <v>3595</v>
      </c>
      <c r="D3397" s="24" t="s">
        <v>244</v>
      </c>
      <c r="E3397" s="24">
        <v>16.36</v>
      </c>
      <c r="F3397" s="24">
        <v>0.6</v>
      </c>
    </row>
    <row r="3398" s="24" customFormat="1" spans="1:6">
      <c r="A3398" s="24" t="s">
        <v>140</v>
      </c>
      <c r="B3398" s="24" t="str">
        <f>"600979"</f>
        <v>600979</v>
      </c>
      <c r="C3398" s="24" t="s">
        <v>3596</v>
      </c>
      <c r="D3398" s="24" t="s">
        <v>188</v>
      </c>
      <c r="E3398" s="24">
        <v>16.36</v>
      </c>
      <c r="F3398" s="24">
        <v>0.94</v>
      </c>
    </row>
    <row r="3399" s="24" customFormat="1" spans="1:6">
      <c r="A3399" s="24" t="s">
        <v>142</v>
      </c>
      <c r="B3399" s="24" t="str">
        <f>"002928"</f>
        <v>002928</v>
      </c>
      <c r="C3399" s="24" t="s">
        <v>3597</v>
      </c>
      <c r="D3399" s="24" t="s">
        <v>423</v>
      </c>
      <c r="E3399" s="24">
        <v>16.35</v>
      </c>
      <c r="F3399" s="24">
        <v>2.84</v>
      </c>
    </row>
    <row r="3400" s="24" customFormat="1" spans="1:6">
      <c r="A3400" s="24" t="s">
        <v>142</v>
      </c>
      <c r="B3400" s="24" t="str">
        <f>"002444"</f>
        <v>002444</v>
      </c>
      <c r="C3400" s="24" t="s">
        <v>3598</v>
      </c>
      <c r="D3400" s="24" t="s">
        <v>165</v>
      </c>
      <c r="E3400" s="24">
        <v>16.33</v>
      </c>
      <c r="F3400" s="24">
        <v>2.57</v>
      </c>
    </row>
    <row r="3401" s="24" customFormat="1" spans="1:6">
      <c r="A3401" s="24" t="s">
        <v>140</v>
      </c>
      <c r="B3401" s="24" t="str">
        <f>"603277"</f>
        <v>603277</v>
      </c>
      <c r="C3401" s="24" t="s">
        <v>3599</v>
      </c>
      <c r="D3401" s="24" t="s">
        <v>165</v>
      </c>
      <c r="E3401" s="24">
        <v>16.31</v>
      </c>
      <c r="F3401" s="24">
        <v>1.96</v>
      </c>
    </row>
    <row r="3402" s="24" customFormat="1" spans="1:6">
      <c r="A3402" s="24" t="s">
        <v>142</v>
      </c>
      <c r="B3402" s="24" t="str">
        <f>"300349"</f>
        <v>300349</v>
      </c>
      <c r="C3402" s="24" t="s">
        <v>3600</v>
      </c>
      <c r="D3402" s="24" t="s">
        <v>152</v>
      </c>
      <c r="E3402" s="24">
        <v>16.27</v>
      </c>
      <c r="F3402" s="24">
        <v>2.86</v>
      </c>
    </row>
    <row r="3403" s="24" customFormat="1" spans="1:6">
      <c r="A3403" s="24" t="s">
        <v>142</v>
      </c>
      <c r="B3403" s="24" t="str">
        <f>"002318"</f>
        <v>002318</v>
      </c>
      <c r="C3403" s="24" t="s">
        <v>3601</v>
      </c>
      <c r="D3403" s="24" t="s">
        <v>258</v>
      </c>
      <c r="E3403" s="24">
        <v>16.21</v>
      </c>
      <c r="F3403" s="24">
        <v>2.28</v>
      </c>
    </row>
    <row r="3404" s="24" customFormat="1" spans="1:6">
      <c r="A3404" s="24" t="s">
        <v>142</v>
      </c>
      <c r="B3404" s="24" t="str">
        <f>"300203"</f>
        <v>300203</v>
      </c>
      <c r="C3404" s="24" t="s">
        <v>3602</v>
      </c>
      <c r="D3404" s="24" t="s">
        <v>152</v>
      </c>
      <c r="E3404" s="24">
        <v>16.2</v>
      </c>
      <c r="F3404" s="24">
        <v>1.98</v>
      </c>
    </row>
    <row r="3405" s="24" customFormat="1" spans="1:6">
      <c r="A3405" s="24" t="s">
        <v>142</v>
      </c>
      <c r="B3405" s="24" t="str">
        <f>"000883"</f>
        <v>000883</v>
      </c>
      <c r="C3405" s="24" t="s">
        <v>3603</v>
      </c>
      <c r="D3405" s="24" t="s">
        <v>188</v>
      </c>
      <c r="E3405" s="24">
        <v>16.16</v>
      </c>
      <c r="F3405" s="24">
        <v>0.9</v>
      </c>
    </row>
    <row r="3406" s="24" customFormat="1" spans="1:6">
      <c r="A3406" s="24" t="s">
        <v>140</v>
      </c>
      <c r="B3406" s="24" t="str">
        <f>"603017"</f>
        <v>603017</v>
      </c>
      <c r="C3406" s="24" t="s">
        <v>3604</v>
      </c>
      <c r="D3406" s="24" t="s">
        <v>214</v>
      </c>
      <c r="E3406" s="24">
        <v>16.11</v>
      </c>
      <c r="F3406" s="24">
        <v>2.36</v>
      </c>
    </row>
    <row r="3407" s="24" customFormat="1" spans="1:6">
      <c r="A3407" s="24" t="s">
        <v>140</v>
      </c>
      <c r="B3407" s="24" t="str">
        <f>"601199"</f>
        <v>601199</v>
      </c>
      <c r="C3407" s="24" t="s">
        <v>3605</v>
      </c>
      <c r="D3407" s="24" t="s">
        <v>908</v>
      </c>
      <c r="E3407" s="24">
        <v>16.11</v>
      </c>
      <c r="F3407" s="24">
        <v>1.22</v>
      </c>
    </row>
    <row r="3408" s="24" customFormat="1" spans="1:6">
      <c r="A3408" s="24" t="s">
        <v>142</v>
      </c>
      <c r="B3408" s="24" t="str">
        <f>"002619"</f>
        <v>002619</v>
      </c>
      <c r="C3408" s="24" t="s">
        <v>3606</v>
      </c>
      <c r="D3408" s="24" t="s">
        <v>163</v>
      </c>
      <c r="E3408" s="24">
        <v>16.08</v>
      </c>
      <c r="F3408" s="24">
        <v>1.73</v>
      </c>
    </row>
    <row r="3409" s="24" customFormat="1" spans="1:6">
      <c r="A3409" s="24" t="s">
        <v>140</v>
      </c>
      <c r="B3409" s="24" t="str">
        <f>"600138"</f>
        <v>600138</v>
      </c>
      <c r="C3409" s="24" t="s">
        <v>3607</v>
      </c>
      <c r="D3409" s="24" t="s">
        <v>453</v>
      </c>
      <c r="E3409" s="24">
        <v>16.07</v>
      </c>
      <c r="F3409" s="24">
        <v>1.16</v>
      </c>
    </row>
    <row r="3410" s="24" customFormat="1" spans="1:6">
      <c r="A3410" s="24" t="s">
        <v>140</v>
      </c>
      <c r="B3410" s="24" t="str">
        <f>"603757"</f>
        <v>603757</v>
      </c>
      <c r="C3410" s="24" t="s">
        <v>3608</v>
      </c>
      <c r="D3410" s="24" t="s">
        <v>165</v>
      </c>
      <c r="E3410" s="24">
        <v>16.06</v>
      </c>
      <c r="F3410" s="24">
        <v>2.15</v>
      </c>
    </row>
    <row r="3411" s="24" customFormat="1" spans="1:6">
      <c r="A3411" s="24" t="s">
        <v>142</v>
      </c>
      <c r="B3411" s="24" t="str">
        <f>"002092"</f>
        <v>002092</v>
      </c>
      <c r="C3411" s="24" t="s">
        <v>3609</v>
      </c>
      <c r="D3411" s="24" t="s">
        <v>256</v>
      </c>
      <c r="E3411" s="24">
        <v>16.06</v>
      </c>
      <c r="F3411" s="24">
        <v>0.67</v>
      </c>
    </row>
    <row r="3412" s="24" customFormat="1" spans="1:6">
      <c r="A3412" s="24" t="s">
        <v>142</v>
      </c>
      <c r="B3412" s="24" t="str">
        <f>"000333"</f>
        <v>000333</v>
      </c>
      <c r="C3412" s="24" t="s">
        <v>56</v>
      </c>
      <c r="D3412" s="24" t="s">
        <v>184</v>
      </c>
      <c r="E3412" s="24">
        <v>16.04</v>
      </c>
      <c r="F3412" s="24">
        <v>5.42</v>
      </c>
    </row>
    <row r="3413" s="24" customFormat="1" spans="1:6">
      <c r="A3413" s="24" t="s">
        <v>142</v>
      </c>
      <c r="B3413" s="24" t="str">
        <f>"300741"</f>
        <v>300741</v>
      </c>
      <c r="C3413" s="24" t="s">
        <v>3610</v>
      </c>
      <c r="D3413" s="24" t="s">
        <v>190</v>
      </c>
      <c r="E3413" s="24">
        <v>16.01</v>
      </c>
      <c r="F3413" s="24">
        <v>2.89</v>
      </c>
    </row>
    <row r="3414" s="24" customFormat="1" spans="1:6">
      <c r="A3414" s="24" t="s">
        <v>140</v>
      </c>
      <c r="B3414" s="24" t="str">
        <f>"603367"</f>
        <v>603367</v>
      </c>
      <c r="C3414" s="24" t="s">
        <v>3611</v>
      </c>
      <c r="D3414" s="24" t="s">
        <v>464</v>
      </c>
      <c r="E3414" s="24">
        <v>16</v>
      </c>
      <c r="F3414" s="24">
        <v>1.82</v>
      </c>
    </row>
    <row r="3415" s="24" customFormat="1" spans="1:6">
      <c r="A3415" s="24" t="s">
        <v>140</v>
      </c>
      <c r="B3415" s="24" t="str">
        <f>"600162"</f>
        <v>600162</v>
      </c>
      <c r="C3415" s="24" t="s">
        <v>3612</v>
      </c>
      <c r="D3415" s="24" t="s">
        <v>384</v>
      </c>
      <c r="E3415" s="24">
        <v>15.98</v>
      </c>
      <c r="F3415" s="24">
        <v>1.34</v>
      </c>
    </row>
    <row r="3416" s="24" customFormat="1" spans="1:6">
      <c r="A3416" s="24" t="s">
        <v>140</v>
      </c>
      <c r="B3416" s="24" t="str">
        <f>"600853"</f>
        <v>600853</v>
      </c>
      <c r="C3416" s="24" t="s">
        <v>3613</v>
      </c>
      <c r="D3416" s="24" t="s">
        <v>315</v>
      </c>
      <c r="E3416" s="24">
        <v>15.98</v>
      </c>
      <c r="F3416" s="24">
        <v>1.55</v>
      </c>
    </row>
    <row r="3417" s="24" customFormat="1" spans="1:6">
      <c r="A3417" s="24" t="s">
        <v>142</v>
      </c>
      <c r="B3417" s="24" t="str">
        <f>"000937"</f>
        <v>000937</v>
      </c>
      <c r="C3417" s="24" t="s">
        <v>3614</v>
      </c>
      <c r="D3417" s="24" t="s">
        <v>401</v>
      </c>
      <c r="E3417" s="24">
        <v>15.98</v>
      </c>
      <c r="F3417" s="24">
        <v>0.54</v>
      </c>
    </row>
    <row r="3418" s="24" customFormat="1" spans="1:6">
      <c r="A3418" s="24" t="s">
        <v>140</v>
      </c>
      <c r="B3418" s="24" t="str">
        <f>"603359"</f>
        <v>603359</v>
      </c>
      <c r="C3418" s="24" t="s">
        <v>3615</v>
      </c>
      <c r="D3418" s="24" t="s">
        <v>315</v>
      </c>
      <c r="E3418" s="24">
        <v>15.97</v>
      </c>
      <c r="F3418" s="24">
        <v>1.87</v>
      </c>
    </row>
    <row r="3419" s="24" customFormat="1" spans="1:6">
      <c r="A3419" s="24" t="s">
        <v>140</v>
      </c>
      <c r="B3419" s="24" t="str">
        <f>"601018"</f>
        <v>601018</v>
      </c>
      <c r="C3419" s="24" t="s">
        <v>3616</v>
      </c>
      <c r="D3419" s="24" t="s">
        <v>1016</v>
      </c>
      <c r="E3419" s="24">
        <v>15.97</v>
      </c>
      <c r="F3419" s="24">
        <v>1.1</v>
      </c>
    </row>
    <row r="3420" s="24" customFormat="1" spans="1:6">
      <c r="A3420" s="24" t="s">
        <v>142</v>
      </c>
      <c r="B3420" s="24" t="str">
        <f>"200488"</f>
        <v>200488</v>
      </c>
      <c r="C3420" s="24" t="s">
        <v>3617</v>
      </c>
      <c r="D3420" s="24"/>
      <c r="E3420" s="24">
        <v>15.92</v>
      </c>
      <c r="F3420" s="24">
        <v>0.33</v>
      </c>
    </row>
    <row r="3421" s="24" customFormat="1" spans="1:6">
      <c r="A3421" s="24" t="s">
        <v>142</v>
      </c>
      <c r="B3421" s="24" t="str">
        <f>"002960"</f>
        <v>002960</v>
      </c>
      <c r="C3421" s="24" t="s">
        <v>3618</v>
      </c>
      <c r="D3421" s="24" t="s">
        <v>152</v>
      </c>
      <c r="E3421" s="24">
        <v>15.9</v>
      </c>
      <c r="F3421" s="24">
        <v>2.14</v>
      </c>
    </row>
    <row r="3422" s="24" customFormat="1" spans="1:6">
      <c r="A3422" s="24" t="s">
        <v>140</v>
      </c>
      <c r="B3422" s="24" t="str">
        <f>"603225"</f>
        <v>603225</v>
      </c>
      <c r="C3422" s="24" t="s">
        <v>3619</v>
      </c>
      <c r="D3422" s="24" t="s">
        <v>302</v>
      </c>
      <c r="E3422" s="24">
        <v>15.86</v>
      </c>
      <c r="F3422" s="24">
        <v>1.39</v>
      </c>
    </row>
    <row r="3423" s="24" customFormat="1" spans="1:6">
      <c r="A3423" s="24" t="s">
        <v>142</v>
      </c>
      <c r="B3423" s="24" t="str">
        <f>"002563"</f>
        <v>002563</v>
      </c>
      <c r="C3423" s="24" t="s">
        <v>3620</v>
      </c>
      <c r="D3423" s="24" t="s">
        <v>161</v>
      </c>
      <c r="E3423" s="24">
        <v>15.85</v>
      </c>
      <c r="F3423" s="24">
        <v>1.89</v>
      </c>
    </row>
    <row r="3424" s="24" customFormat="1" spans="1:6">
      <c r="A3424" s="24" t="s">
        <v>142</v>
      </c>
      <c r="B3424" s="24" t="str">
        <f>"300401"</f>
        <v>300401</v>
      </c>
      <c r="C3424" s="24" t="s">
        <v>3621</v>
      </c>
      <c r="D3424" s="24" t="s">
        <v>190</v>
      </c>
      <c r="E3424" s="24">
        <v>15.85</v>
      </c>
      <c r="F3424" s="24">
        <v>3.44</v>
      </c>
    </row>
    <row r="3425" s="24" customFormat="1" spans="1:6">
      <c r="A3425" s="24" t="s">
        <v>142</v>
      </c>
      <c r="B3425" s="24" t="str">
        <f>"002561"</f>
        <v>002561</v>
      </c>
      <c r="C3425" s="24" t="s">
        <v>3622</v>
      </c>
      <c r="D3425" s="24" t="s">
        <v>148</v>
      </c>
      <c r="E3425" s="24">
        <v>15.83</v>
      </c>
      <c r="F3425" s="24">
        <v>1.38</v>
      </c>
    </row>
    <row r="3426" s="24" customFormat="1" spans="1:6">
      <c r="A3426" s="24" t="s">
        <v>142</v>
      </c>
      <c r="B3426" s="24" t="str">
        <f>"002963"</f>
        <v>002963</v>
      </c>
      <c r="C3426" s="24" t="s">
        <v>3623</v>
      </c>
      <c r="D3426" s="24" t="s">
        <v>315</v>
      </c>
      <c r="E3426" s="24">
        <v>15.82</v>
      </c>
      <c r="F3426" s="24">
        <v>2.52</v>
      </c>
    </row>
    <row r="3427" s="24" customFormat="1" spans="1:6">
      <c r="A3427" s="24" t="s">
        <v>142</v>
      </c>
      <c r="B3427" s="24" t="str">
        <f>"300137"</f>
        <v>300137</v>
      </c>
      <c r="C3427" s="24" t="s">
        <v>3624</v>
      </c>
      <c r="D3427" s="24" t="s">
        <v>152</v>
      </c>
      <c r="E3427" s="24">
        <v>15.81</v>
      </c>
      <c r="F3427" s="24">
        <v>2.62</v>
      </c>
    </row>
    <row r="3428" s="24" customFormat="1" spans="1:6">
      <c r="A3428" s="24" t="s">
        <v>140</v>
      </c>
      <c r="B3428" s="24" t="str">
        <f>"601928"</f>
        <v>601928</v>
      </c>
      <c r="C3428" s="24" t="s">
        <v>3625</v>
      </c>
      <c r="D3428" s="24" t="s">
        <v>170</v>
      </c>
      <c r="E3428" s="24">
        <v>15.81</v>
      </c>
      <c r="F3428" s="24">
        <v>1.35</v>
      </c>
    </row>
    <row r="3429" s="24" customFormat="1" spans="1:6">
      <c r="A3429" s="24" t="s">
        <v>142</v>
      </c>
      <c r="B3429" s="24" t="str">
        <f>"000951"</f>
        <v>000951</v>
      </c>
      <c r="C3429" s="24" t="s">
        <v>3626</v>
      </c>
      <c r="D3429" s="24" t="s">
        <v>173</v>
      </c>
      <c r="E3429" s="24">
        <v>15.8</v>
      </c>
      <c r="F3429" s="24">
        <v>2.02</v>
      </c>
    </row>
    <row r="3430" s="24" customFormat="1" spans="1:6">
      <c r="A3430" s="24" t="s">
        <v>142</v>
      </c>
      <c r="B3430" s="24" t="str">
        <f>"002391"</f>
        <v>002391</v>
      </c>
      <c r="C3430" s="24" t="s">
        <v>3627</v>
      </c>
      <c r="D3430" s="24" t="s">
        <v>278</v>
      </c>
      <c r="E3430" s="24">
        <v>15.78</v>
      </c>
      <c r="F3430" s="24">
        <v>1.66</v>
      </c>
    </row>
    <row r="3431" s="24" customFormat="1" spans="1:6">
      <c r="A3431" s="24" t="s">
        <v>142</v>
      </c>
      <c r="B3431" s="24" t="str">
        <f>"000899"</f>
        <v>000899</v>
      </c>
      <c r="C3431" s="24" t="s">
        <v>3628</v>
      </c>
      <c r="D3431" s="24" t="s">
        <v>188</v>
      </c>
      <c r="E3431" s="24">
        <v>15.68</v>
      </c>
      <c r="F3431" s="24">
        <v>0.91</v>
      </c>
    </row>
    <row r="3432" s="24" customFormat="1" spans="1:6">
      <c r="A3432" s="24" t="s">
        <v>140</v>
      </c>
      <c r="B3432" s="24" t="str">
        <f>"600989"</f>
        <v>600989</v>
      </c>
      <c r="C3432" s="24" t="s">
        <v>3629</v>
      </c>
      <c r="D3432" s="24" t="s">
        <v>401</v>
      </c>
      <c r="E3432" s="24">
        <v>15.66</v>
      </c>
      <c r="F3432" s="24">
        <v>3</v>
      </c>
    </row>
    <row r="3433" s="24" customFormat="1" spans="1:6">
      <c r="A3433" s="24" t="s">
        <v>140</v>
      </c>
      <c r="B3433" s="24" t="str">
        <f>"600335"</f>
        <v>600335</v>
      </c>
      <c r="C3433" s="24" t="s">
        <v>3630</v>
      </c>
      <c r="D3433" s="24" t="s">
        <v>207</v>
      </c>
      <c r="E3433" s="24">
        <v>15.65</v>
      </c>
      <c r="F3433" s="24">
        <v>0.75</v>
      </c>
    </row>
    <row r="3434" s="24" customFormat="1" spans="1:6">
      <c r="A3434" s="24" t="s">
        <v>140</v>
      </c>
      <c r="B3434" s="24" t="str">
        <f>"600511"</f>
        <v>600511</v>
      </c>
      <c r="C3434" s="24" t="s">
        <v>3631</v>
      </c>
      <c r="D3434" s="24" t="s">
        <v>584</v>
      </c>
      <c r="E3434" s="24">
        <v>15.65</v>
      </c>
      <c r="F3434" s="24">
        <v>2.18</v>
      </c>
    </row>
    <row r="3435" s="24" customFormat="1" spans="1:6">
      <c r="A3435" s="24" t="s">
        <v>140</v>
      </c>
      <c r="B3435" s="24" t="str">
        <f>"601611"</f>
        <v>601611</v>
      </c>
      <c r="C3435" s="24" t="s">
        <v>3632</v>
      </c>
      <c r="D3435" s="24" t="s">
        <v>315</v>
      </c>
      <c r="E3435" s="24">
        <v>15.59</v>
      </c>
      <c r="F3435" s="24">
        <v>1.72</v>
      </c>
    </row>
    <row r="3436" s="24" customFormat="1" spans="1:6">
      <c r="A3436" s="24" t="s">
        <v>140</v>
      </c>
      <c r="B3436" s="24" t="str">
        <f>"603385"</f>
        <v>603385</v>
      </c>
      <c r="C3436" s="24" t="s">
        <v>3633</v>
      </c>
      <c r="D3436" s="24" t="s">
        <v>200</v>
      </c>
      <c r="E3436" s="24">
        <v>15.58</v>
      </c>
      <c r="F3436" s="24">
        <v>1.13</v>
      </c>
    </row>
    <row r="3437" s="24" customFormat="1" spans="1:6">
      <c r="A3437" s="24" t="s">
        <v>140</v>
      </c>
      <c r="B3437" s="24" t="str">
        <f>"603985"</f>
        <v>603985</v>
      </c>
      <c r="C3437" s="24" t="s">
        <v>3634</v>
      </c>
      <c r="D3437" s="24" t="s">
        <v>165</v>
      </c>
      <c r="E3437" s="24">
        <v>15.57</v>
      </c>
      <c r="F3437" s="24">
        <v>2.02</v>
      </c>
    </row>
    <row r="3438" s="24" customFormat="1" spans="1:6">
      <c r="A3438" s="24" t="s">
        <v>140</v>
      </c>
      <c r="B3438" s="24" t="str">
        <f>"603067"</f>
        <v>603067</v>
      </c>
      <c r="C3438" s="24" t="s">
        <v>3635</v>
      </c>
      <c r="D3438" s="24" t="s">
        <v>256</v>
      </c>
      <c r="E3438" s="24">
        <v>15.55</v>
      </c>
      <c r="F3438" s="24">
        <v>1.72</v>
      </c>
    </row>
    <row r="3439" s="24" customFormat="1" spans="1:6">
      <c r="A3439" s="24" t="s">
        <v>140</v>
      </c>
      <c r="B3439" s="24" t="str">
        <f>"600338"</f>
        <v>600338</v>
      </c>
      <c r="C3439" s="24" t="s">
        <v>29</v>
      </c>
      <c r="D3439" s="24" t="s">
        <v>167</v>
      </c>
      <c r="E3439" s="24">
        <v>15.53</v>
      </c>
      <c r="F3439" s="24">
        <v>3.7</v>
      </c>
    </row>
    <row r="3440" s="24" customFormat="1" spans="1:6">
      <c r="A3440" s="24" t="s">
        <v>140</v>
      </c>
      <c r="B3440" s="24" t="str">
        <f>"600639"</f>
        <v>600639</v>
      </c>
      <c r="C3440" s="24" t="s">
        <v>3636</v>
      </c>
      <c r="D3440" s="24" t="s">
        <v>244</v>
      </c>
      <c r="E3440" s="24">
        <v>15.52</v>
      </c>
      <c r="F3440" s="24">
        <v>1.52</v>
      </c>
    </row>
    <row r="3441" s="24" customFormat="1" spans="1:6">
      <c r="A3441" s="24" t="s">
        <v>140</v>
      </c>
      <c r="B3441" s="24" t="str">
        <f>"603968"</f>
        <v>603968</v>
      </c>
      <c r="C3441" s="24" t="s">
        <v>3637</v>
      </c>
      <c r="D3441" s="24" t="s">
        <v>228</v>
      </c>
      <c r="E3441" s="24">
        <v>15.51</v>
      </c>
      <c r="F3441" s="24">
        <v>1.95</v>
      </c>
    </row>
    <row r="3442" s="24" customFormat="1" spans="1:6">
      <c r="A3442" s="24" t="s">
        <v>140</v>
      </c>
      <c r="B3442" s="24" t="str">
        <f>"601005"</f>
        <v>601005</v>
      </c>
      <c r="C3442" s="24" t="s">
        <v>3638</v>
      </c>
      <c r="D3442" s="24" t="s">
        <v>258</v>
      </c>
      <c r="E3442" s="24">
        <v>15.5</v>
      </c>
      <c r="F3442" s="24">
        <v>0.75</v>
      </c>
    </row>
    <row r="3443" s="24" customFormat="1" spans="1:6">
      <c r="A3443" s="24" t="s">
        <v>142</v>
      </c>
      <c r="B3443" s="24" t="str">
        <f>"001696"</f>
        <v>001696</v>
      </c>
      <c r="C3443" s="24" t="s">
        <v>3639</v>
      </c>
      <c r="D3443" s="24" t="s">
        <v>175</v>
      </c>
      <c r="E3443" s="24">
        <v>15.49</v>
      </c>
      <c r="F3443" s="24">
        <v>1.86</v>
      </c>
    </row>
    <row r="3444" s="24" customFormat="1" spans="1:6">
      <c r="A3444" s="24" t="s">
        <v>140</v>
      </c>
      <c r="B3444" s="24" t="str">
        <f>"601985"</f>
        <v>601985</v>
      </c>
      <c r="C3444" s="24" t="s">
        <v>3640</v>
      </c>
      <c r="D3444" s="24" t="s">
        <v>188</v>
      </c>
      <c r="E3444" s="24">
        <v>15.46</v>
      </c>
      <c r="F3444" s="24">
        <v>1.5</v>
      </c>
    </row>
    <row r="3445" s="24" customFormat="1" spans="1:6">
      <c r="A3445" s="24" t="s">
        <v>142</v>
      </c>
      <c r="B3445" s="24" t="str">
        <f>"000848"</f>
        <v>000848</v>
      </c>
      <c r="C3445" s="24" t="s">
        <v>53</v>
      </c>
      <c r="D3445" s="24" t="s">
        <v>309</v>
      </c>
      <c r="E3445" s="24">
        <v>15.44</v>
      </c>
      <c r="F3445" s="24">
        <v>3.48</v>
      </c>
    </row>
    <row r="3446" s="24" customFormat="1" spans="1:6">
      <c r="A3446" s="24" t="s">
        <v>140</v>
      </c>
      <c r="B3446" s="24" t="str">
        <f>"600160"</f>
        <v>600160</v>
      </c>
      <c r="C3446" s="24" t="s">
        <v>3641</v>
      </c>
      <c r="D3446" s="24" t="s">
        <v>256</v>
      </c>
      <c r="E3446" s="24">
        <v>15.42</v>
      </c>
      <c r="F3446" s="24">
        <v>1.39</v>
      </c>
    </row>
    <row r="3447" s="24" customFormat="1" spans="1:6">
      <c r="A3447" s="24" t="s">
        <v>142</v>
      </c>
      <c r="B3447" s="24" t="str">
        <f>"002145"</f>
        <v>002145</v>
      </c>
      <c r="C3447" s="24" t="s">
        <v>3642</v>
      </c>
      <c r="D3447" s="24" t="s">
        <v>256</v>
      </c>
      <c r="E3447" s="24">
        <v>15.38</v>
      </c>
      <c r="F3447" s="24">
        <v>2.16</v>
      </c>
    </row>
    <row r="3448" s="24" customFormat="1" spans="1:6">
      <c r="A3448" s="24" t="s">
        <v>140</v>
      </c>
      <c r="B3448" s="24" t="str">
        <f>"603898"</f>
        <v>603898</v>
      </c>
      <c r="C3448" s="24" t="s">
        <v>3643</v>
      </c>
      <c r="D3448" s="24" t="s">
        <v>200</v>
      </c>
      <c r="E3448" s="24">
        <v>15.35</v>
      </c>
      <c r="F3448" s="24">
        <v>1.9</v>
      </c>
    </row>
    <row r="3449" s="24" customFormat="1" spans="1:6">
      <c r="A3449" s="24" t="s">
        <v>142</v>
      </c>
      <c r="B3449" s="24" t="str">
        <f>"002225"</f>
        <v>002225</v>
      </c>
      <c r="C3449" s="24" t="s">
        <v>3644</v>
      </c>
      <c r="D3449" s="24" t="s">
        <v>644</v>
      </c>
      <c r="E3449" s="24">
        <v>15.34</v>
      </c>
      <c r="F3449" s="24">
        <v>1.52</v>
      </c>
    </row>
    <row r="3450" s="24" customFormat="1" spans="1:6">
      <c r="A3450" s="24" t="s">
        <v>142</v>
      </c>
      <c r="B3450" s="24" t="str">
        <f>"000048"</f>
        <v>000048</v>
      </c>
      <c r="C3450" s="24" t="s">
        <v>3645</v>
      </c>
      <c r="D3450" s="24" t="s">
        <v>145</v>
      </c>
      <c r="E3450" s="24">
        <v>15.31</v>
      </c>
      <c r="F3450" s="24">
        <v>6.37</v>
      </c>
    </row>
    <row r="3451" s="24" customFormat="1" spans="1:6">
      <c r="A3451" s="24" t="s">
        <v>140</v>
      </c>
      <c r="B3451" s="24" t="str">
        <f>"600808"</f>
        <v>600808</v>
      </c>
      <c r="C3451" s="24" t="s">
        <v>3646</v>
      </c>
      <c r="D3451" s="24" t="s">
        <v>258</v>
      </c>
      <c r="E3451" s="24">
        <v>15.31</v>
      </c>
      <c r="F3451" s="24">
        <v>0.77</v>
      </c>
    </row>
    <row r="3452" s="24" customFormat="1" spans="1:6">
      <c r="A3452" s="24" t="s">
        <v>140</v>
      </c>
      <c r="B3452" s="24" t="str">
        <f>"600761"</f>
        <v>600761</v>
      </c>
      <c r="C3452" s="24" t="s">
        <v>3647</v>
      </c>
      <c r="D3452" s="24" t="s">
        <v>173</v>
      </c>
      <c r="E3452" s="24">
        <v>15.26</v>
      </c>
      <c r="F3452" s="24">
        <v>1.48</v>
      </c>
    </row>
    <row r="3453" s="24" customFormat="1" spans="1:6">
      <c r="A3453" s="24" t="s">
        <v>140</v>
      </c>
      <c r="B3453" s="24" t="str">
        <f>"603871"</f>
        <v>603871</v>
      </c>
      <c r="C3453" s="24" t="s">
        <v>3648</v>
      </c>
      <c r="D3453" s="24" t="s">
        <v>177</v>
      </c>
      <c r="E3453" s="24">
        <v>15.26</v>
      </c>
      <c r="F3453" s="24">
        <v>2.61</v>
      </c>
    </row>
    <row r="3454" s="24" customFormat="1" spans="1:6">
      <c r="A3454" s="24" t="s">
        <v>142</v>
      </c>
      <c r="B3454" s="24" t="str">
        <f>"002293"</f>
        <v>002293</v>
      </c>
      <c r="C3454" s="24" t="s">
        <v>3649</v>
      </c>
      <c r="D3454" s="24" t="s">
        <v>253</v>
      </c>
      <c r="E3454" s="24">
        <v>15.25</v>
      </c>
      <c r="F3454" s="24">
        <v>1.87</v>
      </c>
    </row>
    <row r="3455" s="24" customFormat="1" spans="1:6">
      <c r="A3455" s="24" t="s">
        <v>142</v>
      </c>
      <c r="B3455" s="24" t="str">
        <f>"002101"</f>
        <v>002101</v>
      </c>
      <c r="C3455" s="24" t="s">
        <v>3650</v>
      </c>
      <c r="D3455" s="24" t="s">
        <v>204</v>
      </c>
      <c r="E3455" s="24">
        <v>15.21</v>
      </c>
      <c r="F3455" s="24">
        <v>1.11</v>
      </c>
    </row>
    <row r="3456" s="24" customFormat="1" spans="1:6">
      <c r="A3456" s="24" t="s">
        <v>140</v>
      </c>
      <c r="B3456" s="24" t="str">
        <f>"600062"</f>
        <v>600062</v>
      </c>
      <c r="C3456" s="24" t="s">
        <v>3651</v>
      </c>
      <c r="D3456" s="24" t="s">
        <v>464</v>
      </c>
      <c r="E3456" s="24">
        <v>15.2</v>
      </c>
      <c r="F3456" s="24">
        <v>1.94</v>
      </c>
    </row>
    <row r="3457" s="24" customFormat="1" spans="1:6">
      <c r="A3457" s="24" t="s">
        <v>142</v>
      </c>
      <c r="B3457" s="24" t="str">
        <f>"200418"</f>
        <v>200418</v>
      </c>
      <c r="C3457" s="24" t="s">
        <v>3652</v>
      </c>
      <c r="D3457" s="24"/>
      <c r="E3457" s="24">
        <v>15.18</v>
      </c>
      <c r="F3457" s="24">
        <v>4.36</v>
      </c>
    </row>
    <row r="3458" s="24" customFormat="1" spans="1:6">
      <c r="A3458" s="24" t="s">
        <v>142</v>
      </c>
      <c r="B3458" s="24" t="str">
        <f>"002790"</f>
        <v>002790</v>
      </c>
      <c r="C3458" s="24" t="s">
        <v>3653</v>
      </c>
      <c r="D3458" s="24" t="s">
        <v>200</v>
      </c>
      <c r="E3458" s="24">
        <v>15.16</v>
      </c>
      <c r="F3458" s="24">
        <v>1.5</v>
      </c>
    </row>
    <row r="3459" s="24" customFormat="1" spans="1:6">
      <c r="A3459" s="24" t="s">
        <v>140</v>
      </c>
      <c r="B3459" s="24" t="str">
        <f>"600727"</f>
        <v>600727</v>
      </c>
      <c r="C3459" s="24" t="s">
        <v>3654</v>
      </c>
      <c r="D3459" s="24" t="s">
        <v>278</v>
      </c>
      <c r="E3459" s="24">
        <v>15.11</v>
      </c>
      <c r="F3459" s="24">
        <v>1.98</v>
      </c>
    </row>
    <row r="3460" s="24" customFormat="1" spans="1:6">
      <c r="A3460" s="24" t="s">
        <v>140</v>
      </c>
      <c r="B3460" s="24" t="str">
        <f>"600439"</f>
        <v>600439</v>
      </c>
      <c r="C3460" s="24" t="s">
        <v>3655</v>
      </c>
      <c r="D3460" s="24" t="s">
        <v>333</v>
      </c>
      <c r="E3460" s="24">
        <v>15.11</v>
      </c>
      <c r="F3460" s="24">
        <v>1.23</v>
      </c>
    </row>
    <row r="3461" s="24" customFormat="1" spans="1:6">
      <c r="A3461" s="24" t="s">
        <v>142</v>
      </c>
      <c r="B3461" s="24" t="str">
        <f>"002867"</f>
        <v>002867</v>
      </c>
      <c r="C3461" s="24" t="s">
        <v>3656</v>
      </c>
      <c r="D3461" s="24" t="s">
        <v>161</v>
      </c>
      <c r="E3461" s="24">
        <v>15.1</v>
      </c>
      <c r="F3461" s="24">
        <v>2.98</v>
      </c>
    </row>
    <row r="3462" s="24" customFormat="1" spans="1:6">
      <c r="A3462" s="24" t="s">
        <v>140</v>
      </c>
      <c r="B3462" s="24" t="str">
        <f>"601339"</f>
        <v>601339</v>
      </c>
      <c r="C3462" s="24" t="s">
        <v>3657</v>
      </c>
      <c r="D3462" s="24" t="s">
        <v>253</v>
      </c>
      <c r="E3462" s="24">
        <v>15.04</v>
      </c>
      <c r="F3462" s="24">
        <v>0.68</v>
      </c>
    </row>
    <row r="3463" s="24" customFormat="1" spans="1:6">
      <c r="A3463" s="24" t="s">
        <v>142</v>
      </c>
      <c r="B3463" s="24" t="str">
        <f>"000157"</f>
        <v>000157</v>
      </c>
      <c r="C3463" s="24" t="s">
        <v>3658</v>
      </c>
      <c r="D3463" s="24" t="s">
        <v>173</v>
      </c>
      <c r="E3463" s="24">
        <v>14.99</v>
      </c>
      <c r="F3463" s="24">
        <v>1.38</v>
      </c>
    </row>
    <row r="3464" s="24" customFormat="1" spans="1:6">
      <c r="A3464" s="24" t="s">
        <v>140</v>
      </c>
      <c r="B3464" s="24" t="str">
        <f>"603886"</f>
        <v>603886</v>
      </c>
      <c r="C3464" s="24" t="s">
        <v>3659</v>
      </c>
      <c r="D3464" s="24" t="s">
        <v>190</v>
      </c>
      <c r="E3464" s="24">
        <v>14.96</v>
      </c>
      <c r="F3464" s="24">
        <v>2.47</v>
      </c>
    </row>
    <row r="3465" s="24" customFormat="1" spans="1:6">
      <c r="A3465" s="24" t="s">
        <v>140</v>
      </c>
      <c r="B3465" s="24" t="str">
        <f>"600835"</f>
        <v>600835</v>
      </c>
      <c r="C3465" s="24" t="s">
        <v>3660</v>
      </c>
      <c r="D3465" s="24" t="s">
        <v>293</v>
      </c>
      <c r="E3465" s="24">
        <v>14.95</v>
      </c>
      <c r="F3465" s="24">
        <v>1.36</v>
      </c>
    </row>
    <row r="3466" s="24" customFormat="1" spans="1:6">
      <c r="A3466" s="24" t="s">
        <v>142</v>
      </c>
      <c r="B3466" s="24" t="str">
        <f>"002099"</f>
        <v>002099</v>
      </c>
      <c r="C3466" s="24" t="s">
        <v>3661</v>
      </c>
      <c r="D3466" s="24" t="s">
        <v>997</v>
      </c>
      <c r="E3466" s="24">
        <v>14.94</v>
      </c>
      <c r="F3466" s="24">
        <v>2.26</v>
      </c>
    </row>
    <row r="3467" s="24" customFormat="1" spans="1:6">
      <c r="A3467" s="24" t="s">
        <v>142</v>
      </c>
      <c r="B3467" s="24" t="str">
        <f>"002187"</f>
        <v>002187</v>
      </c>
      <c r="C3467" s="24" t="s">
        <v>3662</v>
      </c>
      <c r="D3467" s="24" t="s">
        <v>148</v>
      </c>
      <c r="E3467" s="24">
        <v>14.94</v>
      </c>
      <c r="F3467" s="24">
        <v>0.99</v>
      </c>
    </row>
    <row r="3468" s="24" customFormat="1" spans="1:6">
      <c r="A3468" s="24" t="s">
        <v>142</v>
      </c>
      <c r="B3468" s="24" t="str">
        <f>"002034"</f>
        <v>002034</v>
      </c>
      <c r="C3468" s="24" t="s">
        <v>3663</v>
      </c>
      <c r="D3468" s="24" t="s">
        <v>214</v>
      </c>
      <c r="E3468" s="24">
        <v>14.93</v>
      </c>
      <c r="F3468" s="24">
        <v>1.44</v>
      </c>
    </row>
    <row r="3469" s="24" customFormat="1" spans="1:6">
      <c r="A3469" s="24" t="s">
        <v>142</v>
      </c>
      <c r="B3469" s="24" t="str">
        <f>"000582"</f>
        <v>000582</v>
      </c>
      <c r="C3469" s="24" t="s">
        <v>3664</v>
      </c>
      <c r="D3469" s="24" t="s">
        <v>1016</v>
      </c>
      <c r="E3469" s="24">
        <v>14.93</v>
      </c>
      <c r="F3469" s="24">
        <v>1.39</v>
      </c>
    </row>
    <row r="3470" s="24" customFormat="1" spans="1:6">
      <c r="A3470" s="24" t="s">
        <v>140</v>
      </c>
      <c r="B3470" s="24" t="str">
        <f>"600741"</f>
        <v>600741</v>
      </c>
      <c r="C3470" s="24" t="s">
        <v>3665</v>
      </c>
      <c r="D3470" s="24" t="s">
        <v>204</v>
      </c>
      <c r="E3470" s="24">
        <v>14.89</v>
      </c>
      <c r="F3470" s="24">
        <v>1.78</v>
      </c>
    </row>
    <row r="3471" s="24" customFormat="1" spans="1:6">
      <c r="A3471" s="24" t="s">
        <v>140</v>
      </c>
      <c r="B3471" s="24" t="str">
        <f>"600479"</f>
        <v>600479</v>
      </c>
      <c r="C3471" s="24" t="s">
        <v>3666</v>
      </c>
      <c r="D3471" s="24" t="s">
        <v>388</v>
      </c>
      <c r="E3471" s="24">
        <v>14.85</v>
      </c>
      <c r="F3471" s="24">
        <v>1.88</v>
      </c>
    </row>
    <row r="3472" s="24" customFormat="1" spans="1:6">
      <c r="A3472" s="24" t="s">
        <v>142</v>
      </c>
      <c r="B3472" s="24" t="str">
        <f>"002882"</f>
        <v>002882</v>
      </c>
      <c r="C3472" s="24" t="s">
        <v>3667</v>
      </c>
      <c r="D3472" s="24" t="s">
        <v>251</v>
      </c>
      <c r="E3472" s="24">
        <v>14.84</v>
      </c>
      <c r="F3472" s="24">
        <v>2.28</v>
      </c>
    </row>
    <row r="3473" s="24" customFormat="1" spans="1:6">
      <c r="A3473" s="24" t="s">
        <v>142</v>
      </c>
      <c r="B3473" s="24" t="str">
        <f>"002060"</f>
        <v>002060</v>
      </c>
      <c r="C3473" s="24" t="s">
        <v>3668</v>
      </c>
      <c r="D3473" s="24" t="s">
        <v>315</v>
      </c>
      <c r="E3473" s="24">
        <v>14.84</v>
      </c>
      <c r="F3473" s="24">
        <v>1.05</v>
      </c>
    </row>
    <row r="3474" s="24" customFormat="1" spans="1:6">
      <c r="A3474" s="24" t="s">
        <v>142</v>
      </c>
      <c r="B3474" s="24" t="str">
        <f>"002648"</f>
        <v>002648</v>
      </c>
      <c r="C3474" s="24" t="s">
        <v>3669</v>
      </c>
      <c r="D3474" s="24" t="s">
        <v>256</v>
      </c>
      <c r="E3474" s="24">
        <v>14.82</v>
      </c>
      <c r="F3474" s="24">
        <v>1.98</v>
      </c>
    </row>
    <row r="3475" s="24" customFormat="1" spans="1:6">
      <c r="A3475" s="24" t="s">
        <v>142</v>
      </c>
      <c r="B3475" s="24" t="str">
        <f>"002102"</f>
        <v>002102</v>
      </c>
      <c r="C3475" s="24" t="s">
        <v>3670</v>
      </c>
      <c r="D3475" s="24" t="s">
        <v>997</v>
      </c>
      <c r="E3475" s="24">
        <v>14.79</v>
      </c>
      <c r="F3475" s="24">
        <v>5.23</v>
      </c>
    </row>
    <row r="3476" s="24" customFormat="1" spans="1:6">
      <c r="A3476" s="24" t="s">
        <v>142</v>
      </c>
      <c r="B3476" s="24" t="str">
        <f>"002601"</f>
        <v>002601</v>
      </c>
      <c r="C3476" s="24" t="s">
        <v>3671</v>
      </c>
      <c r="D3476" s="24" t="s">
        <v>256</v>
      </c>
      <c r="E3476" s="24">
        <v>14.73</v>
      </c>
      <c r="F3476" s="24">
        <v>4.29</v>
      </c>
    </row>
    <row r="3477" s="24" customFormat="1" spans="1:6">
      <c r="A3477" s="24" t="s">
        <v>142</v>
      </c>
      <c r="B3477" s="24" t="str">
        <f>"002687"</f>
        <v>002687</v>
      </c>
      <c r="C3477" s="24" t="s">
        <v>3672</v>
      </c>
      <c r="D3477" s="24" t="s">
        <v>161</v>
      </c>
      <c r="E3477" s="24">
        <v>14.69</v>
      </c>
      <c r="F3477" s="24">
        <v>1.78</v>
      </c>
    </row>
    <row r="3478" s="24" customFormat="1" spans="1:6">
      <c r="A3478" s="24" t="s">
        <v>142</v>
      </c>
      <c r="B3478" s="24" t="str">
        <f>"000651"</f>
        <v>000651</v>
      </c>
      <c r="C3478" s="24" t="s">
        <v>50</v>
      </c>
      <c r="D3478" s="24" t="s">
        <v>184</v>
      </c>
      <c r="E3478" s="24">
        <v>14.67</v>
      </c>
      <c r="F3478" s="24">
        <v>3.77</v>
      </c>
    </row>
    <row r="3479" s="24" customFormat="1" spans="1:6">
      <c r="A3479" s="24" t="s">
        <v>140</v>
      </c>
      <c r="B3479" s="24" t="str">
        <f>"600388"</f>
        <v>600388</v>
      </c>
      <c r="C3479" s="24" t="s">
        <v>3673</v>
      </c>
      <c r="D3479" s="24" t="s">
        <v>214</v>
      </c>
      <c r="E3479" s="24">
        <v>14.65</v>
      </c>
      <c r="F3479" s="24">
        <v>2.05</v>
      </c>
    </row>
    <row r="3480" s="24" customFormat="1" spans="1:6">
      <c r="A3480" s="24" t="s">
        <v>142</v>
      </c>
      <c r="B3480" s="24" t="str">
        <f>"300082"</f>
        <v>300082</v>
      </c>
      <c r="C3480" s="24" t="s">
        <v>3674</v>
      </c>
      <c r="D3480" s="24" t="s">
        <v>256</v>
      </c>
      <c r="E3480" s="24">
        <v>14.6</v>
      </c>
      <c r="F3480" s="24">
        <v>1.46</v>
      </c>
    </row>
    <row r="3481" s="24" customFormat="1" spans="1:6">
      <c r="A3481" s="24" t="s">
        <v>140</v>
      </c>
      <c r="B3481" s="24" t="str">
        <f>"600750"</f>
        <v>600750</v>
      </c>
      <c r="C3481" s="24" t="s">
        <v>3675</v>
      </c>
      <c r="D3481" s="24" t="s">
        <v>388</v>
      </c>
      <c r="E3481" s="24">
        <v>14.54</v>
      </c>
      <c r="F3481" s="24">
        <v>1.94</v>
      </c>
    </row>
    <row r="3482" s="24" customFormat="1" spans="1:6">
      <c r="A3482" s="24" t="s">
        <v>142</v>
      </c>
      <c r="B3482" s="24" t="str">
        <f>"000685"</f>
        <v>000685</v>
      </c>
      <c r="C3482" s="24" t="s">
        <v>3676</v>
      </c>
      <c r="D3482" s="24" t="s">
        <v>908</v>
      </c>
      <c r="E3482" s="24">
        <v>14.42</v>
      </c>
      <c r="F3482" s="24">
        <v>0.89</v>
      </c>
    </row>
    <row r="3483" s="24" customFormat="1" spans="1:6">
      <c r="A3483" s="24" t="s">
        <v>140</v>
      </c>
      <c r="B3483" s="24" t="str">
        <f>"603518"</f>
        <v>603518</v>
      </c>
      <c r="C3483" s="24" t="s">
        <v>3677</v>
      </c>
      <c r="D3483" s="24" t="s">
        <v>161</v>
      </c>
      <c r="E3483" s="24">
        <v>14.41</v>
      </c>
      <c r="F3483" s="24">
        <v>-16.36</v>
      </c>
    </row>
    <row r="3484" s="24" customFormat="1" spans="1:6">
      <c r="A3484" s="24" t="s">
        <v>142</v>
      </c>
      <c r="B3484" s="24" t="str">
        <f>"002419"</f>
        <v>002419</v>
      </c>
      <c r="C3484" s="24" t="s">
        <v>3678</v>
      </c>
      <c r="D3484" s="24" t="s">
        <v>148</v>
      </c>
      <c r="E3484" s="24">
        <v>14.39</v>
      </c>
      <c r="F3484" s="24">
        <v>1.66</v>
      </c>
    </row>
    <row r="3485" s="24" customFormat="1" spans="1:6">
      <c r="A3485" s="24" t="s">
        <v>140</v>
      </c>
      <c r="B3485" s="24" t="str">
        <f>"600035"</f>
        <v>600035</v>
      </c>
      <c r="C3485" s="24" t="s">
        <v>3679</v>
      </c>
      <c r="D3485" s="24" t="s">
        <v>1016</v>
      </c>
      <c r="E3485" s="24">
        <v>14.36</v>
      </c>
      <c r="F3485" s="24">
        <v>0.9</v>
      </c>
    </row>
    <row r="3486" s="24" customFormat="1" spans="1:6">
      <c r="A3486" s="24" t="s">
        <v>140</v>
      </c>
      <c r="B3486" s="24" t="str">
        <f>"601811"</f>
        <v>601811</v>
      </c>
      <c r="C3486" s="24" t="s">
        <v>3680</v>
      </c>
      <c r="D3486" s="24" t="s">
        <v>170</v>
      </c>
      <c r="E3486" s="24">
        <v>14.32</v>
      </c>
      <c r="F3486" s="24">
        <v>1.79</v>
      </c>
    </row>
    <row r="3487" s="24" customFormat="1" spans="1:6">
      <c r="A3487" s="24" t="s">
        <v>140</v>
      </c>
      <c r="B3487" s="24" t="str">
        <f>"600596"</f>
        <v>600596</v>
      </c>
      <c r="C3487" s="24" t="s">
        <v>3681</v>
      </c>
      <c r="D3487" s="24" t="s">
        <v>278</v>
      </c>
      <c r="E3487" s="24">
        <v>14.32</v>
      </c>
      <c r="F3487" s="24">
        <v>1.16</v>
      </c>
    </row>
    <row r="3488" s="24" customFormat="1" spans="1:6">
      <c r="A3488" s="24" t="s">
        <v>142</v>
      </c>
      <c r="B3488" s="24" t="str">
        <f>"000888"</f>
        <v>000888</v>
      </c>
      <c r="C3488" s="24" t="s">
        <v>3682</v>
      </c>
      <c r="D3488" s="24" t="s">
        <v>453</v>
      </c>
      <c r="E3488" s="24">
        <v>14.29</v>
      </c>
      <c r="F3488" s="24">
        <v>1.27</v>
      </c>
    </row>
    <row r="3489" s="24" customFormat="1" spans="1:6">
      <c r="A3489" s="24" t="s">
        <v>142</v>
      </c>
      <c r="B3489" s="24" t="str">
        <f>"000935"</f>
        <v>000935</v>
      </c>
      <c r="C3489" s="24" t="s">
        <v>3683</v>
      </c>
      <c r="D3489" s="24" t="s">
        <v>667</v>
      </c>
      <c r="E3489" s="24">
        <v>14.26</v>
      </c>
      <c r="F3489" s="24">
        <v>2.55</v>
      </c>
    </row>
    <row r="3490" s="24" customFormat="1" spans="1:6">
      <c r="A3490" s="24" t="s">
        <v>140</v>
      </c>
      <c r="B3490" s="24" t="str">
        <f>"600185"</f>
        <v>600185</v>
      </c>
      <c r="C3490" s="24" t="s">
        <v>3684</v>
      </c>
      <c r="D3490" s="24" t="s">
        <v>244</v>
      </c>
      <c r="E3490" s="24">
        <v>14.24</v>
      </c>
      <c r="F3490" s="24">
        <v>1.12</v>
      </c>
    </row>
    <row r="3491" s="24" customFormat="1" spans="1:6">
      <c r="A3491" s="24" t="s">
        <v>142</v>
      </c>
      <c r="B3491" s="24" t="str">
        <f>"002091"</f>
        <v>002091</v>
      </c>
      <c r="C3491" s="24" t="s">
        <v>3685</v>
      </c>
      <c r="D3491" s="24" t="s">
        <v>267</v>
      </c>
      <c r="E3491" s="24">
        <v>14.24</v>
      </c>
      <c r="F3491" s="24">
        <v>1.46</v>
      </c>
    </row>
    <row r="3492" s="24" customFormat="1" spans="1:6">
      <c r="A3492" s="24" t="s">
        <v>140</v>
      </c>
      <c r="B3492" s="24" t="str">
        <f>"601828"</f>
        <v>601828</v>
      </c>
      <c r="C3492" s="24" t="s">
        <v>3686</v>
      </c>
      <c r="D3492" s="24" t="s">
        <v>207</v>
      </c>
      <c r="E3492" s="24">
        <v>14.22</v>
      </c>
      <c r="F3492" s="24">
        <v>0.86</v>
      </c>
    </row>
    <row r="3493" s="24" customFormat="1" spans="1:6">
      <c r="A3493" s="24" t="s">
        <v>140</v>
      </c>
      <c r="B3493" s="24" t="str">
        <f>"600125"</f>
        <v>600125</v>
      </c>
      <c r="C3493" s="24" t="s">
        <v>3687</v>
      </c>
      <c r="D3493" s="24" t="s">
        <v>540</v>
      </c>
      <c r="E3493" s="24">
        <v>14.2</v>
      </c>
      <c r="F3493" s="24">
        <v>1.12</v>
      </c>
    </row>
    <row r="3494" s="24" customFormat="1" spans="1:6">
      <c r="A3494" s="24" t="s">
        <v>140</v>
      </c>
      <c r="B3494" s="24" t="str">
        <f>"600133"</f>
        <v>600133</v>
      </c>
      <c r="C3494" s="24" t="s">
        <v>3688</v>
      </c>
      <c r="D3494" s="24" t="s">
        <v>1076</v>
      </c>
      <c r="E3494" s="24">
        <v>14.18</v>
      </c>
      <c r="F3494" s="24">
        <v>0.96</v>
      </c>
    </row>
    <row r="3495" s="24" customFormat="1" spans="1:6">
      <c r="A3495" s="24" t="s">
        <v>140</v>
      </c>
      <c r="B3495" s="24" t="str">
        <f>"600197"</f>
        <v>600197</v>
      </c>
      <c r="C3495" s="24" t="s">
        <v>3689</v>
      </c>
      <c r="D3495" s="24" t="s">
        <v>309</v>
      </c>
      <c r="E3495" s="24">
        <v>14.18</v>
      </c>
      <c r="F3495" s="24">
        <v>2.36</v>
      </c>
    </row>
    <row r="3496" s="24" customFormat="1" spans="1:6">
      <c r="A3496" s="24" t="s">
        <v>142</v>
      </c>
      <c r="B3496" s="24" t="str">
        <f>"000963"</f>
        <v>000963</v>
      </c>
      <c r="C3496" s="24" t="s">
        <v>38</v>
      </c>
      <c r="D3496" s="24" t="s">
        <v>584</v>
      </c>
      <c r="E3496" s="24">
        <v>14.17</v>
      </c>
      <c r="F3496" s="24">
        <v>3.52</v>
      </c>
    </row>
    <row r="3497" s="24" customFormat="1" spans="1:6">
      <c r="A3497" s="24" t="s">
        <v>140</v>
      </c>
      <c r="B3497" s="24" t="str">
        <f>"600790"</f>
        <v>600790</v>
      </c>
      <c r="C3497" s="24" t="s">
        <v>3690</v>
      </c>
      <c r="D3497" s="24" t="s">
        <v>623</v>
      </c>
      <c r="E3497" s="24">
        <v>14.16</v>
      </c>
      <c r="F3497" s="24">
        <v>0.85</v>
      </c>
    </row>
    <row r="3498" s="24" customFormat="1" spans="1:6">
      <c r="A3498" s="24" t="s">
        <v>142</v>
      </c>
      <c r="B3498" s="24" t="str">
        <f>"002150"</f>
        <v>002150</v>
      </c>
      <c r="C3498" s="24" t="s">
        <v>3691</v>
      </c>
      <c r="D3498" s="24" t="s">
        <v>290</v>
      </c>
      <c r="E3498" s="24">
        <v>14.15</v>
      </c>
      <c r="F3498" s="24">
        <v>1.62</v>
      </c>
    </row>
    <row r="3499" s="24" customFormat="1" spans="1:6">
      <c r="A3499" s="24" t="s">
        <v>140</v>
      </c>
      <c r="B3499" s="24" t="str">
        <f>"600742"</f>
        <v>600742</v>
      </c>
      <c r="C3499" s="24" t="s">
        <v>3692</v>
      </c>
      <c r="D3499" s="24" t="s">
        <v>204</v>
      </c>
      <c r="E3499" s="24">
        <v>14.13</v>
      </c>
      <c r="F3499" s="24">
        <v>1.29</v>
      </c>
    </row>
    <row r="3500" s="24" customFormat="1" spans="1:6">
      <c r="A3500" s="24" t="s">
        <v>140</v>
      </c>
      <c r="B3500" s="24" t="str">
        <f>"603365"</f>
        <v>603365</v>
      </c>
      <c r="C3500" s="24" t="s">
        <v>3693</v>
      </c>
      <c r="D3500" s="24" t="s">
        <v>253</v>
      </c>
      <c r="E3500" s="24">
        <v>14.12</v>
      </c>
      <c r="F3500" s="24">
        <v>1.86</v>
      </c>
    </row>
    <row r="3501" s="24" customFormat="1" spans="1:6">
      <c r="A3501" s="24" t="s">
        <v>140</v>
      </c>
      <c r="B3501" s="24" t="str">
        <f>"600577"</f>
        <v>600577</v>
      </c>
      <c r="C3501" s="24" t="s">
        <v>3694</v>
      </c>
      <c r="D3501" s="24" t="s">
        <v>251</v>
      </c>
      <c r="E3501" s="24">
        <v>14.11</v>
      </c>
      <c r="F3501" s="24">
        <v>1.49</v>
      </c>
    </row>
    <row r="3502" s="24" customFormat="1" spans="1:6">
      <c r="A3502" s="24" t="s">
        <v>142</v>
      </c>
      <c r="B3502" s="24" t="str">
        <f>"002884"</f>
        <v>002884</v>
      </c>
      <c r="C3502" s="24" t="s">
        <v>3695</v>
      </c>
      <c r="D3502" s="24" t="s">
        <v>165</v>
      </c>
      <c r="E3502" s="24">
        <v>14.11</v>
      </c>
      <c r="F3502" s="24">
        <v>2.48</v>
      </c>
    </row>
    <row r="3503" s="24" customFormat="1" spans="1:6">
      <c r="A3503" s="24" t="s">
        <v>140</v>
      </c>
      <c r="B3503" s="24" t="str">
        <f>"600284"</f>
        <v>600284</v>
      </c>
      <c r="C3503" s="24" t="s">
        <v>3696</v>
      </c>
      <c r="D3503" s="24" t="s">
        <v>315</v>
      </c>
      <c r="E3503" s="24">
        <v>14.1</v>
      </c>
      <c r="F3503" s="24">
        <v>1.01</v>
      </c>
    </row>
    <row r="3504" s="24" customFormat="1" spans="1:6">
      <c r="A3504" s="24" t="s">
        <v>140</v>
      </c>
      <c r="B3504" s="24" t="str">
        <f>"600578"</f>
        <v>600578</v>
      </c>
      <c r="C3504" s="24" t="s">
        <v>3697</v>
      </c>
      <c r="D3504" s="24" t="s">
        <v>188</v>
      </c>
      <c r="E3504" s="24">
        <v>14.1</v>
      </c>
      <c r="F3504" s="24">
        <v>0.83</v>
      </c>
    </row>
    <row r="3505" s="24" customFormat="1" spans="1:6">
      <c r="A3505" s="24" t="s">
        <v>140</v>
      </c>
      <c r="B3505" s="24" t="str">
        <f>"600522"</f>
        <v>600522</v>
      </c>
      <c r="C3505" s="24" t="s">
        <v>3698</v>
      </c>
      <c r="D3505" s="24" t="s">
        <v>193</v>
      </c>
      <c r="E3505" s="24">
        <v>14.09</v>
      </c>
      <c r="F3505" s="24">
        <v>1.17</v>
      </c>
    </row>
    <row r="3506" s="24" customFormat="1" spans="1:6">
      <c r="A3506" s="24" t="s">
        <v>142</v>
      </c>
      <c r="B3506" s="24" t="str">
        <f>"002035"</f>
        <v>002035</v>
      </c>
      <c r="C3506" s="24" t="s">
        <v>3699</v>
      </c>
      <c r="D3506" s="24" t="s">
        <v>184</v>
      </c>
      <c r="E3506" s="24">
        <v>14.08</v>
      </c>
      <c r="F3506" s="24">
        <v>3.77</v>
      </c>
    </row>
    <row r="3507" s="24" customFormat="1" spans="1:6">
      <c r="A3507" s="24" t="s">
        <v>140</v>
      </c>
      <c r="B3507" s="24" t="str">
        <f>"600017"</f>
        <v>600017</v>
      </c>
      <c r="C3507" s="24" t="s">
        <v>3700</v>
      </c>
      <c r="D3507" s="24" t="s">
        <v>1016</v>
      </c>
      <c r="E3507" s="24">
        <v>14.07</v>
      </c>
      <c r="F3507" s="24">
        <v>0.69</v>
      </c>
    </row>
    <row r="3508" s="24" customFormat="1" spans="1:6">
      <c r="A3508" s="24" t="s">
        <v>142</v>
      </c>
      <c r="B3508" s="24" t="str">
        <f>"300422"</f>
        <v>300422</v>
      </c>
      <c r="C3508" s="24" t="s">
        <v>3701</v>
      </c>
      <c r="D3508" s="24" t="s">
        <v>214</v>
      </c>
      <c r="E3508" s="24">
        <v>14.07</v>
      </c>
      <c r="F3508" s="24">
        <v>2.66</v>
      </c>
    </row>
    <row r="3509" s="24" customFormat="1" spans="1:6">
      <c r="A3509" s="24" t="s">
        <v>140</v>
      </c>
      <c r="B3509" s="24" t="str">
        <f>"600031"</f>
        <v>600031</v>
      </c>
      <c r="C3509" s="24" t="s">
        <v>3702</v>
      </c>
      <c r="D3509" s="24" t="s">
        <v>173</v>
      </c>
      <c r="E3509" s="24">
        <v>14.06</v>
      </c>
      <c r="F3509" s="24">
        <v>3.35</v>
      </c>
    </row>
    <row r="3510" s="24" customFormat="1" spans="1:6">
      <c r="A3510" s="24" t="s">
        <v>140</v>
      </c>
      <c r="B3510" s="24" t="str">
        <f>"600461"</f>
        <v>600461</v>
      </c>
      <c r="C3510" s="24" t="s">
        <v>3703</v>
      </c>
      <c r="D3510" s="24" t="s">
        <v>908</v>
      </c>
      <c r="E3510" s="24">
        <v>14.02</v>
      </c>
      <c r="F3510" s="24">
        <v>1.29</v>
      </c>
    </row>
    <row r="3511" s="24" customFormat="1" spans="1:6">
      <c r="A3511" s="24" t="s">
        <v>142</v>
      </c>
      <c r="B3511" s="24" t="str">
        <f>"000961"</f>
        <v>000961</v>
      </c>
      <c r="C3511" s="24" t="s">
        <v>3704</v>
      </c>
      <c r="D3511" s="24" t="s">
        <v>244</v>
      </c>
      <c r="E3511" s="24">
        <v>14</v>
      </c>
      <c r="F3511" s="24">
        <v>1.77</v>
      </c>
    </row>
    <row r="3512" s="24" customFormat="1" spans="1:6">
      <c r="A3512" s="24" t="s">
        <v>140</v>
      </c>
      <c r="B3512" s="24" t="str">
        <f>"600710"</f>
        <v>600710</v>
      </c>
      <c r="C3512" s="24" t="s">
        <v>3705</v>
      </c>
      <c r="D3512" s="24" t="s">
        <v>173</v>
      </c>
      <c r="E3512" s="24">
        <v>13.97</v>
      </c>
      <c r="F3512" s="24">
        <v>1.4</v>
      </c>
    </row>
    <row r="3513" s="24" customFormat="1" spans="1:6">
      <c r="A3513" s="24" t="s">
        <v>140</v>
      </c>
      <c r="B3513" s="24" t="str">
        <f>"600704"</f>
        <v>600704</v>
      </c>
      <c r="C3513" s="24" t="s">
        <v>3706</v>
      </c>
      <c r="D3513" s="24" t="s">
        <v>267</v>
      </c>
      <c r="E3513" s="24">
        <v>13.95</v>
      </c>
      <c r="F3513" s="24">
        <v>1.35</v>
      </c>
    </row>
    <row r="3514" s="24" customFormat="1" spans="1:6">
      <c r="A3514" s="24" t="s">
        <v>142</v>
      </c>
      <c r="B3514" s="24" t="str">
        <f>"300506"</f>
        <v>300506</v>
      </c>
      <c r="C3514" s="24" t="s">
        <v>3707</v>
      </c>
      <c r="D3514" s="24" t="s">
        <v>315</v>
      </c>
      <c r="E3514" s="24">
        <v>13.94</v>
      </c>
      <c r="F3514" s="24">
        <v>2.23</v>
      </c>
    </row>
    <row r="3515" s="24" customFormat="1" spans="1:6">
      <c r="A3515" s="24" t="s">
        <v>142</v>
      </c>
      <c r="B3515" s="24" t="str">
        <f>"000540"</f>
        <v>000540</v>
      </c>
      <c r="C3515" s="24" t="s">
        <v>3708</v>
      </c>
      <c r="D3515" s="24" t="s">
        <v>244</v>
      </c>
      <c r="E3515" s="24">
        <v>13.86</v>
      </c>
      <c r="F3515" s="24">
        <v>1.68</v>
      </c>
    </row>
    <row r="3516" s="24" customFormat="1" spans="1:6">
      <c r="A3516" s="24" t="s">
        <v>142</v>
      </c>
      <c r="B3516" s="24" t="str">
        <f>"000419"</f>
        <v>000419</v>
      </c>
      <c r="C3516" s="24" t="s">
        <v>3709</v>
      </c>
      <c r="D3516" s="24" t="s">
        <v>148</v>
      </c>
      <c r="E3516" s="24">
        <v>13.85</v>
      </c>
      <c r="F3516" s="24">
        <v>0.77</v>
      </c>
    </row>
    <row r="3517" s="24" customFormat="1" spans="1:6">
      <c r="A3517" s="24" t="s">
        <v>142</v>
      </c>
      <c r="B3517" s="24" t="str">
        <f>"002039"</f>
        <v>002039</v>
      </c>
      <c r="C3517" s="24" t="s">
        <v>3710</v>
      </c>
      <c r="D3517" s="24" t="s">
        <v>188</v>
      </c>
      <c r="E3517" s="24">
        <v>13.83</v>
      </c>
      <c r="F3517" s="24">
        <v>1.5</v>
      </c>
    </row>
    <row r="3518" s="24" customFormat="1" spans="1:6">
      <c r="A3518" s="24" t="s">
        <v>140</v>
      </c>
      <c r="B3518" s="24" t="str">
        <f>"900912"</f>
        <v>900912</v>
      </c>
      <c r="C3518" s="24" t="s">
        <v>3711</v>
      </c>
      <c r="D3518" s="24"/>
      <c r="E3518" s="24">
        <v>13.83</v>
      </c>
      <c r="F3518" s="24">
        <v>0.77</v>
      </c>
    </row>
    <row r="3519" s="24" customFormat="1" spans="1:6">
      <c r="A3519" s="24" t="s">
        <v>140</v>
      </c>
      <c r="B3519" s="24" t="str">
        <f>"601117"</f>
        <v>601117</v>
      </c>
      <c r="C3519" s="24" t="s">
        <v>3712</v>
      </c>
      <c r="D3519" s="24" t="s">
        <v>315</v>
      </c>
      <c r="E3519" s="24">
        <v>13.8</v>
      </c>
      <c r="F3519" s="24">
        <v>1.11</v>
      </c>
    </row>
    <row r="3520" s="24" customFormat="1" spans="1:6">
      <c r="A3520" s="24" t="s">
        <v>140</v>
      </c>
      <c r="B3520" s="24" t="str">
        <f>"600705"</f>
        <v>600705</v>
      </c>
      <c r="C3520" s="24" t="s">
        <v>3713</v>
      </c>
      <c r="D3520" s="24" t="s">
        <v>442</v>
      </c>
      <c r="E3520" s="24">
        <v>13.77</v>
      </c>
      <c r="F3520" s="24">
        <v>1.34</v>
      </c>
    </row>
    <row r="3521" s="24" customFormat="1" spans="1:6">
      <c r="A3521" s="24" t="s">
        <v>140</v>
      </c>
      <c r="B3521" s="24" t="str">
        <f>"600126"</f>
        <v>600126</v>
      </c>
      <c r="C3521" s="24" t="s">
        <v>3714</v>
      </c>
      <c r="D3521" s="24" t="s">
        <v>258</v>
      </c>
      <c r="E3521" s="24">
        <v>13.77</v>
      </c>
      <c r="F3521" s="24">
        <v>0.81</v>
      </c>
    </row>
    <row r="3522" s="24" customFormat="1" spans="1:6">
      <c r="A3522" s="24" t="s">
        <v>140</v>
      </c>
      <c r="B3522" s="24" t="str">
        <f>"600642"</f>
        <v>600642</v>
      </c>
      <c r="C3522" s="24" t="s">
        <v>3715</v>
      </c>
      <c r="D3522" s="24" t="s">
        <v>188</v>
      </c>
      <c r="E3522" s="24">
        <v>13.71</v>
      </c>
      <c r="F3522" s="24">
        <v>0.91</v>
      </c>
    </row>
    <row r="3523" s="24" customFormat="1" spans="1:6">
      <c r="A3523" s="24" t="s">
        <v>142</v>
      </c>
      <c r="B3523" s="24" t="str">
        <f>"000601"</f>
        <v>000601</v>
      </c>
      <c r="C3523" s="24" t="s">
        <v>3716</v>
      </c>
      <c r="D3523" s="24" t="s">
        <v>188</v>
      </c>
      <c r="E3523" s="24">
        <v>13.63</v>
      </c>
      <c r="F3523" s="24">
        <v>1.22</v>
      </c>
    </row>
    <row r="3524" s="24" customFormat="1" spans="1:6">
      <c r="A3524" s="24" t="s">
        <v>140</v>
      </c>
      <c r="B3524" s="24" t="str">
        <f>"900910"</f>
        <v>900910</v>
      </c>
      <c r="C3524" s="24" t="s">
        <v>3717</v>
      </c>
      <c r="D3524" s="24"/>
      <c r="E3524" s="24">
        <v>13.61</v>
      </c>
      <c r="F3524" s="24">
        <v>0.96</v>
      </c>
    </row>
    <row r="3525" s="24" customFormat="1" spans="1:6">
      <c r="A3525" s="24" t="s">
        <v>140</v>
      </c>
      <c r="B3525" s="24" t="str">
        <f>"603639"</f>
        <v>603639</v>
      </c>
      <c r="C3525" s="24" t="s">
        <v>3718</v>
      </c>
      <c r="D3525" s="24" t="s">
        <v>278</v>
      </c>
      <c r="E3525" s="24">
        <v>13.6</v>
      </c>
      <c r="F3525" s="24">
        <v>2</v>
      </c>
    </row>
    <row r="3526" s="24" customFormat="1" spans="1:6">
      <c r="A3526" s="24" t="s">
        <v>140</v>
      </c>
      <c r="B3526" s="24" t="str">
        <f>"600528"</f>
        <v>600528</v>
      </c>
      <c r="C3526" s="24" t="s">
        <v>3719</v>
      </c>
      <c r="D3526" s="24" t="s">
        <v>173</v>
      </c>
      <c r="E3526" s="24">
        <v>13.55</v>
      </c>
      <c r="F3526" s="24">
        <v>1.27</v>
      </c>
    </row>
    <row r="3527" s="24" customFormat="1" spans="1:6">
      <c r="A3527" s="24" t="s">
        <v>140</v>
      </c>
      <c r="B3527" s="24" t="str">
        <f>"600260"</f>
        <v>600260</v>
      </c>
      <c r="C3527" s="24" t="s">
        <v>3720</v>
      </c>
      <c r="D3527" s="24" t="s">
        <v>193</v>
      </c>
      <c r="E3527" s="24">
        <v>13.55</v>
      </c>
      <c r="F3527" s="24">
        <v>2.14</v>
      </c>
    </row>
    <row r="3528" s="24" customFormat="1" spans="1:6">
      <c r="A3528" s="24" t="s">
        <v>142</v>
      </c>
      <c r="B3528" s="24" t="str">
        <f>"000902"</f>
        <v>000902</v>
      </c>
      <c r="C3528" s="24" t="s">
        <v>3721</v>
      </c>
      <c r="D3528" s="24" t="s">
        <v>278</v>
      </c>
      <c r="E3528" s="24">
        <v>13.54</v>
      </c>
      <c r="F3528" s="24">
        <v>1.48</v>
      </c>
    </row>
    <row r="3529" s="24" customFormat="1" spans="1:6">
      <c r="A3529" s="24" t="s">
        <v>142</v>
      </c>
      <c r="B3529" s="24" t="str">
        <f>"002398"</f>
        <v>002398</v>
      </c>
      <c r="C3529" s="24" t="s">
        <v>3722</v>
      </c>
      <c r="D3529" s="24" t="s">
        <v>667</v>
      </c>
      <c r="E3529" s="24">
        <v>13.48</v>
      </c>
      <c r="F3529" s="24">
        <v>1.81</v>
      </c>
    </row>
    <row r="3530" s="24" customFormat="1" spans="1:6">
      <c r="A3530" s="24" t="s">
        <v>142</v>
      </c>
      <c r="B3530" s="24" t="str">
        <f>"300132"</f>
        <v>300132</v>
      </c>
      <c r="C3530" s="24" t="s">
        <v>3723</v>
      </c>
      <c r="D3530" s="24" t="s">
        <v>256</v>
      </c>
      <c r="E3530" s="24">
        <v>13.45</v>
      </c>
      <c r="F3530" s="24">
        <v>4.03</v>
      </c>
    </row>
    <row r="3531" s="24" customFormat="1" spans="1:6">
      <c r="A3531" s="24" t="s">
        <v>142</v>
      </c>
      <c r="B3531" s="24" t="str">
        <f>"000928"</f>
        <v>000928</v>
      </c>
      <c r="C3531" s="24" t="s">
        <v>3724</v>
      </c>
      <c r="D3531" s="24" t="s">
        <v>315</v>
      </c>
      <c r="E3531" s="24">
        <v>13.44</v>
      </c>
      <c r="F3531" s="24">
        <v>1.16</v>
      </c>
    </row>
    <row r="3532" s="24" customFormat="1" spans="1:6">
      <c r="A3532" s="24" t="s">
        <v>140</v>
      </c>
      <c r="B3532" s="24" t="str">
        <f>"603858"</f>
        <v>603858</v>
      </c>
      <c r="C3532" s="24" t="s">
        <v>3725</v>
      </c>
      <c r="D3532" s="24" t="s">
        <v>388</v>
      </c>
      <c r="E3532" s="24">
        <v>13.41</v>
      </c>
      <c r="F3532" s="24">
        <v>3.04</v>
      </c>
    </row>
    <row r="3533" s="24" customFormat="1" spans="1:6">
      <c r="A3533" s="24" t="s">
        <v>142</v>
      </c>
      <c r="B3533" s="24" t="str">
        <f>"002097"</f>
        <v>002097</v>
      </c>
      <c r="C3533" s="24" t="s">
        <v>3726</v>
      </c>
      <c r="D3533" s="24" t="s">
        <v>173</v>
      </c>
      <c r="E3533" s="24">
        <v>13.4</v>
      </c>
      <c r="F3533" s="24">
        <v>1.11</v>
      </c>
    </row>
    <row r="3534" s="24" customFormat="1" spans="1:6">
      <c r="A3534" s="24" t="s">
        <v>140</v>
      </c>
      <c r="B3534" s="24" t="str">
        <f>"600581"</f>
        <v>600581</v>
      </c>
      <c r="C3534" s="24" t="s">
        <v>3727</v>
      </c>
      <c r="D3534" s="24" t="s">
        <v>258</v>
      </c>
      <c r="E3534" s="24">
        <v>13.36</v>
      </c>
      <c r="F3534" s="24">
        <v>1.12</v>
      </c>
    </row>
    <row r="3535" s="24" customFormat="1" spans="1:6">
      <c r="A3535" s="24" t="s">
        <v>142</v>
      </c>
      <c r="B3535" s="24" t="str">
        <f>"300599"</f>
        <v>300599</v>
      </c>
      <c r="C3535" s="24" t="s">
        <v>3728</v>
      </c>
      <c r="D3535" s="24" t="s">
        <v>228</v>
      </c>
      <c r="E3535" s="24">
        <v>13.34</v>
      </c>
      <c r="F3535" s="24">
        <v>1.96</v>
      </c>
    </row>
    <row r="3536" s="24" customFormat="1" spans="1:6">
      <c r="A3536" s="24" t="s">
        <v>140</v>
      </c>
      <c r="B3536" s="24" t="str">
        <f>"600748"</f>
        <v>600748</v>
      </c>
      <c r="C3536" s="24" t="s">
        <v>3729</v>
      </c>
      <c r="D3536" s="24" t="s">
        <v>244</v>
      </c>
      <c r="E3536" s="24">
        <v>13.32</v>
      </c>
      <c r="F3536" s="24">
        <v>0.9</v>
      </c>
    </row>
    <row r="3537" s="24" customFormat="1" spans="1:6">
      <c r="A3537" s="24" t="s">
        <v>142</v>
      </c>
      <c r="B3537" s="24" t="str">
        <f>"200539"</f>
        <v>200539</v>
      </c>
      <c r="C3537" s="24" t="s">
        <v>3730</v>
      </c>
      <c r="D3537" s="24"/>
      <c r="E3537" s="24">
        <v>13.3</v>
      </c>
      <c r="F3537" s="24">
        <v>0.43</v>
      </c>
    </row>
    <row r="3538" s="24" customFormat="1" spans="1:6">
      <c r="A3538" s="24" t="s">
        <v>142</v>
      </c>
      <c r="B3538" s="24" t="str">
        <f>"000027"</f>
        <v>000027</v>
      </c>
      <c r="C3538" s="24" t="s">
        <v>3731</v>
      </c>
      <c r="D3538" s="24" t="s">
        <v>188</v>
      </c>
      <c r="E3538" s="24">
        <v>13.26</v>
      </c>
      <c r="F3538" s="24">
        <v>1.02</v>
      </c>
    </row>
    <row r="3539" s="24" customFormat="1" spans="1:6">
      <c r="A3539" s="24" t="s">
        <v>142</v>
      </c>
      <c r="B3539" s="24" t="str">
        <f>"200026"</f>
        <v>200026</v>
      </c>
      <c r="C3539" s="24" t="s">
        <v>3732</v>
      </c>
      <c r="D3539" s="24"/>
      <c r="E3539" s="24">
        <v>13.25</v>
      </c>
      <c r="F3539" s="24">
        <v>0.93</v>
      </c>
    </row>
    <row r="3540" s="24" customFormat="1" spans="1:6">
      <c r="A3540" s="24" t="s">
        <v>140</v>
      </c>
      <c r="B3540" s="24" t="str">
        <f>"600802"</f>
        <v>600802</v>
      </c>
      <c r="C3540" s="24" t="s">
        <v>3733</v>
      </c>
      <c r="D3540" s="24" t="s">
        <v>667</v>
      </c>
      <c r="E3540" s="24">
        <v>13.24</v>
      </c>
      <c r="F3540" s="24">
        <v>3.2</v>
      </c>
    </row>
    <row r="3541" s="24" customFormat="1" spans="1:6">
      <c r="A3541" s="24" t="s">
        <v>142</v>
      </c>
      <c r="B3541" s="24" t="str">
        <f>"000598"</f>
        <v>000598</v>
      </c>
      <c r="C3541" s="24" t="s">
        <v>3734</v>
      </c>
      <c r="D3541" s="24" t="s">
        <v>450</v>
      </c>
      <c r="E3541" s="24">
        <v>13.22</v>
      </c>
      <c r="F3541" s="24">
        <v>1.2</v>
      </c>
    </row>
    <row r="3542" s="24" customFormat="1" spans="1:6">
      <c r="A3542" s="24" t="s">
        <v>140</v>
      </c>
      <c r="B3542" s="24" t="str">
        <f>"603368"</f>
        <v>603368</v>
      </c>
      <c r="C3542" s="24" t="s">
        <v>3735</v>
      </c>
      <c r="D3542" s="24" t="s">
        <v>584</v>
      </c>
      <c r="E3542" s="24">
        <v>13.17</v>
      </c>
      <c r="F3542" s="24">
        <v>2.6</v>
      </c>
    </row>
    <row r="3543" s="24" customFormat="1" spans="1:6">
      <c r="A3543" s="24" t="s">
        <v>142</v>
      </c>
      <c r="B3543" s="24" t="str">
        <f>"200541"</f>
        <v>200541</v>
      </c>
      <c r="C3543" s="24" t="s">
        <v>3736</v>
      </c>
      <c r="D3543" s="24"/>
      <c r="E3543" s="24">
        <v>13.17</v>
      </c>
      <c r="F3543" s="24">
        <v>0.76</v>
      </c>
    </row>
    <row r="3544" s="24" customFormat="1" spans="1:6">
      <c r="A3544" s="24" t="s">
        <v>142</v>
      </c>
      <c r="B3544" s="24" t="str">
        <f>"000600"</f>
        <v>000600</v>
      </c>
      <c r="C3544" s="24" t="s">
        <v>3737</v>
      </c>
      <c r="D3544" s="24" t="s">
        <v>188</v>
      </c>
      <c r="E3544" s="24">
        <v>13.14</v>
      </c>
      <c r="F3544" s="24">
        <v>0.69</v>
      </c>
    </row>
    <row r="3545" s="24" customFormat="1" spans="1:6">
      <c r="A3545" s="24" t="s">
        <v>140</v>
      </c>
      <c r="B3545" s="24" t="str">
        <f>"900909"</f>
        <v>900909</v>
      </c>
      <c r="C3545" s="24" t="s">
        <v>3738</v>
      </c>
      <c r="D3545" s="24"/>
      <c r="E3545" s="24">
        <v>13.13</v>
      </c>
      <c r="F3545" s="24">
        <v>0.4</v>
      </c>
    </row>
    <row r="3546" s="24" customFormat="1" spans="1:6">
      <c r="A3546" s="24" t="s">
        <v>140</v>
      </c>
      <c r="B3546" s="24" t="str">
        <f>"600873"</f>
        <v>600873</v>
      </c>
      <c r="C3546" s="24" t="s">
        <v>3739</v>
      </c>
      <c r="D3546" s="24" t="s">
        <v>190</v>
      </c>
      <c r="E3546" s="24">
        <v>13.13</v>
      </c>
      <c r="F3546" s="24">
        <v>1.49</v>
      </c>
    </row>
    <row r="3547" s="24" customFormat="1" spans="1:6">
      <c r="A3547" s="24" t="s">
        <v>140</v>
      </c>
      <c r="B3547" s="24" t="str">
        <f>"600426"</f>
        <v>600426</v>
      </c>
      <c r="C3547" s="24" t="s">
        <v>3740</v>
      </c>
      <c r="D3547" s="24" t="s">
        <v>278</v>
      </c>
      <c r="E3547" s="24">
        <v>13.12</v>
      </c>
      <c r="F3547" s="24">
        <v>2.26</v>
      </c>
    </row>
    <row r="3548" s="24" customFormat="1" spans="1:6">
      <c r="A3548" s="24" t="s">
        <v>140</v>
      </c>
      <c r="B3548" s="24" t="str">
        <f>"600373"</f>
        <v>600373</v>
      </c>
      <c r="C3548" s="24" t="s">
        <v>3741</v>
      </c>
      <c r="D3548" s="24" t="s">
        <v>170</v>
      </c>
      <c r="E3548" s="24">
        <v>13.11</v>
      </c>
      <c r="F3548" s="24">
        <v>1.72</v>
      </c>
    </row>
    <row r="3549" s="24" customFormat="1" spans="1:6">
      <c r="A3549" s="24" t="s">
        <v>140</v>
      </c>
      <c r="B3549" s="24" t="str">
        <f>"600663"</f>
        <v>600663</v>
      </c>
      <c r="C3549" s="24" t="s">
        <v>3742</v>
      </c>
      <c r="D3549" s="24" t="s">
        <v>384</v>
      </c>
      <c r="E3549" s="24">
        <v>13.08</v>
      </c>
      <c r="F3549" s="24">
        <v>2.91</v>
      </c>
    </row>
    <row r="3550" s="24" customFormat="1" spans="1:6">
      <c r="A3550" s="24" t="s">
        <v>140</v>
      </c>
      <c r="B3550" s="24" t="str">
        <f>"601101"</f>
        <v>601101</v>
      </c>
      <c r="C3550" s="24" t="s">
        <v>3743</v>
      </c>
      <c r="D3550" s="24" t="s">
        <v>401</v>
      </c>
      <c r="E3550" s="24">
        <v>13.08</v>
      </c>
      <c r="F3550" s="24">
        <v>0.56</v>
      </c>
    </row>
    <row r="3551" s="24" customFormat="1" spans="1:6">
      <c r="A3551" s="24" t="s">
        <v>140</v>
      </c>
      <c r="B3551" s="24" t="str">
        <f>"600377"</f>
        <v>600377</v>
      </c>
      <c r="C3551" s="24" t="s">
        <v>3744</v>
      </c>
      <c r="D3551" s="24" t="s">
        <v>1016</v>
      </c>
      <c r="E3551" s="24">
        <v>13.07</v>
      </c>
      <c r="F3551" s="24">
        <v>1.97</v>
      </c>
    </row>
    <row r="3552" s="24" customFormat="1" spans="1:6">
      <c r="A3552" s="24" t="s">
        <v>142</v>
      </c>
      <c r="B3552" s="24" t="str">
        <f>"000338"</f>
        <v>000338</v>
      </c>
      <c r="C3552" s="24" t="s">
        <v>3745</v>
      </c>
      <c r="D3552" s="24" t="s">
        <v>165</v>
      </c>
      <c r="E3552" s="24">
        <v>13.07</v>
      </c>
      <c r="F3552" s="24">
        <v>6.27</v>
      </c>
    </row>
    <row r="3553" s="24" customFormat="1" spans="1:6">
      <c r="A3553" s="24" t="s">
        <v>142</v>
      </c>
      <c r="B3553" s="24" t="str">
        <f>"000936"</f>
        <v>000936</v>
      </c>
      <c r="C3553" s="24" t="s">
        <v>3746</v>
      </c>
      <c r="D3553" s="24" t="s">
        <v>302</v>
      </c>
      <c r="E3553" s="24">
        <v>12.98</v>
      </c>
      <c r="F3553" s="24">
        <v>1.27</v>
      </c>
    </row>
    <row r="3554" s="24" customFormat="1" spans="1:6">
      <c r="A3554" s="24" t="s">
        <v>140</v>
      </c>
      <c r="B3554" s="24" t="str">
        <f>"600508"</f>
        <v>600508</v>
      </c>
      <c r="C3554" s="24" t="s">
        <v>3747</v>
      </c>
      <c r="D3554" s="24" t="s">
        <v>401</v>
      </c>
      <c r="E3554" s="24">
        <v>12.97</v>
      </c>
      <c r="F3554" s="24">
        <v>0.61</v>
      </c>
    </row>
    <row r="3555" s="24" customFormat="1" spans="1:6">
      <c r="A3555" s="24" t="s">
        <v>140</v>
      </c>
      <c r="B3555" s="24" t="str">
        <f>"601636"</f>
        <v>601636</v>
      </c>
      <c r="C3555" s="24" t="s">
        <v>3748</v>
      </c>
      <c r="D3555" s="24" t="s">
        <v>644</v>
      </c>
      <c r="E3555" s="24">
        <v>12.96</v>
      </c>
      <c r="F3555" s="24">
        <v>1.79</v>
      </c>
    </row>
    <row r="3556" s="24" customFormat="1" spans="1:6">
      <c r="A3556" s="24" t="s">
        <v>142</v>
      </c>
      <c r="B3556" s="24" t="str">
        <f>"002755"</f>
        <v>002755</v>
      </c>
      <c r="C3556" s="24" t="s">
        <v>3749</v>
      </c>
      <c r="D3556" s="24" t="s">
        <v>315</v>
      </c>
      <c r="E3556" s="24">
        <v>12.95</v>
      </c>
      <c r="F3556" s="24">
        <v>6.65</v>
      </c>
    </row>
    <row r="3557" s="24" customFormat="1" spans="1:6">
      <c r="A3557" s="24" t="s">
        <v>140</v>
      </c>
      <c r="B3557" s="24" t="str">
        <f>"601233"</f>
        <v>601233</v>
      </c>
      <c r="C3557" s="24" t="s">
        <v>3750</v>
      </c>
      <c r="D3557" s="24" t="s">
        <v>302</v>
      </c>
      <c r="E3557" s="24">
        <v>12.94</v>
      </c>
      <c r="F3557" s="24">
        <v>1.43</v>
      </c>
    </row>
    <row r="3558" s="24" customFormat="1" spans="1:6">
      <c r="A3558" s="24" t="s">
        <v>140</v>
      </c>
      <c r="B3558" s="24" t="str">
        <f>"600566"</f>
        <v>600566</v>
      </c>
      <c r="C3558" s="24" t="s">
        <v>47</v>
      </c>
      <c r="D3558" s="24" t="s">
        <v>388</v>
      </c>
      <c r="E3558" s="24">
        <v>12.93</v>
      </c>
      <c r="F3558" s="24">
        <v>3.76</v>
      </c>
    </row>
    <row r="3559" s="24" customFormat="1" spans="1:6">
      <c r="A3559" s="24" t="s">
        <v>140</v>
      </c>
      <c r="B3559" s="24" t="str">
        <f>"600674"</f>
        <v>600674</v>
      </c>
      <c r="C3559" s="24" t="s">
        <v>3751</v>
      </c>
      <c r="D3559" s="24" t="s">
        <v>188</v>
      </c>
      <c r="E3559" s="24">
        <v>12.93</v>
      </c>
      <c r="F3559" s="24">
        <v>1.51</v>
      </c>
    </row>
    <row r="3560" s="24" customFormat="1" spans="1:6">
      <c r="A3560" s="24" t="s">
        <v>140</v>
      </c>
      <c r="B3560" s="24" t="str">
        <f>"600028"</f>
        <v>600028</v>
      </c>
      <c r="C3560" s="24" t="s">
        <v>3752</v>
      </c>
      <c r="D3560" s="24" t="s">
        <v>246</v>
      </c>
      <c r="E3560" s="24">
        <v>12.93</v>
      </c>
      <c r="F3560" s="24">
        <v>0.79</v>
      </c>
    </row>
    <row r="3561" s="24" customFormat="1" spans="1:6">
      <c r="A3561" s="24" t="s">
        <v>140</v>
      </c>
      <c r="B3561" s="24" t="str">
        <f>"603808"</f>
        <v>603808</v>
      </c>
      <c r="C3561" s="24" t="s">
        <v>3753</v>
      </c>
      <c r="D3561" s="24" t="s">
        <v>161</v>
      </c>
      <c r="E3561" s="24">
        <v>12.89</v>
      </c>
      <c r="F3561" s="24">
        <v>2.38</v>
      </c>
    </row>
    <row r="3562" s="24" customFormat="1" spans="1:6">
      <c r="A3562" s="24" t="s">
        <v>140</v>
      </c>
      <c r="B3562" s="24" t="str">
        <f>"601128"</f>
        <v>601128</v>
      </c>
      <c r="C3562" s="24" t="s">
        <v>3754</v>
      </c>
      <c r="D3562" s="24" t="s">
        <v>3755</v>
      </c>
      <c r="E3562" s="24">
        <v>12.85</v>
      </c>
      <c r="F3562" s="24">
        <v>1.38</v>
      </c>
    </row>
    <row r="3563" s="24" customFormat="1" spans="1:6">
      <c r="A3563" s="24" t="s">
        <v>140</v>
      </c>
      <c r="B3563" s="24" t="str">
        <f>"601601"</f>
        <v>601601</v>
      </c>
      <c r="C3563" s="24" t="s">
        <v>3756</v>
      </c>
      <c r="D3563" s="24" t="s">
        <v>575</v>
      </c>
      <c r="E3563" s="24">
        <v>12.83</v>
      </c>
      <c r="F3563" s="24">
        <v>1.78</v>
      </c>
    </row>
    <row r="3564" s="24" customFormat="1" spans="1:6">
      <c r="A3564" s="24" t="s">
        <v>142</v>
      </c>
      <c r="B3564" s="24" t="str">
        <f>"000617"</f>
        <v>000617</v>
      </c>
      <c r="C3564" s="24" t="s">
        <v>3757</v>
      </c>
      <c r="D3564" s="24" t="s">
        <v>608</v>
      </c>
      <c r="E3564" s="24">
        <v>12.77</v>
      </c>
      <c r="F3564" s="24">
        <v>1.13</v>
      </c>
    </row>
    <row r="3565" s="24" customFormat="1" spans="1:6">
      <c r="A3565" s="24" t="s">
        <v>142</v>
      </c>
      <c r="B3565" s="24" t="str">
        <f>"002543"</f>
        <v>002543</v>
      </c>
      <c r="C3565" s="24" t="s">
        <v>3758</v>
      </c>
      <c r="D3565" s="24" t="s">
        <v>200</v>
      </c>
      <c r="E3565" s="24">
        <v>12.77</v>
      </c>
      <c r="F3565" s="24">
        <v>1.85</v>
      </c>
    </row>
    <row r="3566" s="24" customFormat="1" spans="1:6">
      <c r="A3566" s="24" t="s">
        <v>140</v>
      </c>
      <c r="B3566" s="24" t="str">
        <f>"900934"</f>
        <v>900934</v>
      </c>
      <c r="C3566" s="24" t="s">
        <v>3759</v>
      </c>
      <c r="D3566" s="24"/>
      <c r="E3566" s="24">
        <v>12.74</v>
      </c>
      <c r="F3566" s="24">
        <v>6.61</v>
      </c>
    </row>
    <row r="3567" s="24" customFormat="1" spans="1:6">
      <c r="A3567" s="24" t="s">
        <v>142</v>
      </c>
      <c r="B3567" s="24" t="str">
        <f>"002734"</f>
        <v>002734</v>
      </c>
      <c r="C3567" s="24" t="s">
        <v>3760</v>
      </c>
      <c r="D3567" s="24" t="s">
        <v>278</v>
      </c>
      <c r="E3567" s="24">
        <v>12.72</v>
      </c>
      <c r="F3567" s="24">
        <v>2.01</v>
      </c>
    </row>
    <row r="3568" s="24" customFormat="1" spans="1:6">
      <c r="A3568" s="24" t="s">
        <v>140</v>
      </c>
      <c r="B3568" s="24" t="str">
        <f>"600780"</f>
        <v>600780</v>
      </c>
      <c r="C3568" s="24" t="s">
        <v>3761</v>
      </c>
      <c r="D3568" s="24" t="s">
        <v>188</v>
      </c>
      <c r="E3568" s="24">
        <v>12.7</v>
      </c>
      <c r="F3568" s="24">
        <v>0.68</v>
      </c>
    </row>
    <row r="3569" s="24" customFormat="1" spans="1:6">
      <c r="A3569" s="24" t="s">
        <v>140</v>
      </c>
      <c r="B3569" s="24" t="str">
        <f>"900923"</f>
        <v>900923</v>
      </c>
      <c r="C3569" s="24" t="s">
        <v>3762</v>
      </c>
      <c r="D3569" s="24"/>
      <c r="E3569" s="24">
        <v>12.7</v>
      </c>
      <c r="F3569" s="24">
        <v>0.51</v>
      </c>
    </row>
    <row r="3570" s="24" customFormat="1" spans="1:6">
      <c r="A3570" s="24" t="s">
        <v>140</v>
      </c>
      <c r="B3570" s="24" t="str">
        <f>"600515"</f>
        <v>600515</v>
      </c>
      <c r="C3570" s="24" t="s">
        <v>3763</v>
      </c>
      <c r="D3570" s="24" t="s">
        <v>244</v>
      </c>
      <c r="E3570" s="24">
        <v>12.67</v>
      </c>
      <c r="F3570" s="24">
        <v>0.55</v>
      </c>
    </row>
    <row r="3571" s="24" customFormat="1" spans="1:6">
      <c r="A3571" s="24" t="s">
        <v>140</v>
      </c>
      <c r="B3571" s="24" t="str">
        <f>"600326"</f>
        <v>600326</v>
      </c>
      <c r="C3571" s="24" t="s">
        <v>3764</v>
      </c>
      <c r="D3571" s="24" t="s">
        <v>315</v>
      </c>
      <c r="E3571" s="24">
        <v>12.67</v>
      </c>
      <c r="F3571" s="24">
        <v>1.69</v>
      </c>
    </row>
    <row r="3572" s="24" customFormat="1" spans="1:6">
      <c r="A3572" s="24" t="s">
        <v>142</v>
      </c>
      <c r="B3572" s="24" t="str">
        <f>"300761"</f>
        <v>300761</v>
      </c>
      <c r="C3572" s="24" t="s">
        <v>3765</v>
      </c>
      <c r="D3572" s="24" t="s">
        <v>145</v>
      </c>
      <c r="E3572" s="24">
        <v>12.66</v>
      </c>
      <c r="F3572" s="24">
        <v>3.16</v>
      </c>
    </row>
    <row r="3573" s="24" customFormat="1" spans="1:6">
      <c r="A3573" s="24" t="s">
        <v>140</v>
      </c>
      <c r="B3573" s="24" t="str">
        <f>"601886"</f>
        <v>601886</v>
      </c>
      <c r="C3573" s="24" t="s">
        <v>3766</v>
      </c>
      <c r="D3573" s="24" t="s">
        <v>315</v>
      </c>
      <c r="E3573" s="24">
        <v>12.65</v>
      </c>
      <c r="F3573" s="24">
        <v>1.15</v>
      </c>
    </row>
    <row r="3574" s="24" customFormat="1" spans="1:6">
      <c r="A3574" s="24" t="s">
        <v>140</v>
      </c>
      <c r="B3574" s="24" t="str">
        <f>"900914"</f>
        <v>900914</v>
      </c>
      <c r="C3574" s="24" t="s">
        <v>3767</v>
      </c>
      <c r="D3574" s="24"/>
      <c r="E3574" s="24">
        <v>12.64</v>
      </c>
      <c r="F3574" s="24">
        <v>0.89</v>
      </c>
    </row>
    <row r="3575" s="24" customFormat="1" spans="1:6">
      <c r="A3575" s="24" t="s">
        <v>140</v>
      </c>
      <c r="B3575" s="24" t="str">
        <f>"600863"</f>
        <v>600863</v>
      </c>
      <c r="C3575" s="24" t="s">
        <v>3768</v>
      </c>
      <c r="D3575" s="24" t="s">
        <v>188</v>
      </c>
      <c r="E3575" s="24">
        <v>12.64</v>
      </c>
      <c r="F3575" s="24">
        <v>1.28</v>
      </c>
    </row>
    <row r="3576" s="24" customFormat="1" spans="1:6">
      <c r="A3576" s="24" t="s">
        <v>142</v>
      </c>
      <c r="B3576" s="24" t="str">
        <f>"000950"</f>
        <v>000950</v>
      </c>
      <c r="C3576" s="24" t="s">
        <v>3769</v>
      </c>
      <c r="D3576" s="24" t="s">
        <v>584</v>
      </c>
      <c r="E3576" s="24">
        <v>12.63</v>
      </c>
      <c r="F3576" s="24">
        <v>1.41</v>
      </c>
    </row>
    <row r="3577" s="24" customFormat="1" spans="1:6">
      <c r="A3577" s="24" t="s">
        <v>142</v>
      </c>
      <c r="B3577" s="24" t="str">
        <f>"000968"</f>
        <v>000968</v>
      </c>
      <c r="C3577" s="24" t="s">
        <v>3770</v>
      </c>
      <c r="D3577" s="24" t="s">
        <v>246</v>
      </c>
      <c r="E3577" s="24">
        <v>12.61</v>
      </c>
      <c r="F3577" s="24">
        <v>2.05</v>
      </c>
    </row>
    <row r="3578" s="24" customFormat="1" spans="1:6">
      <c r="A3578" s="24" t="s">
        <v>140</v>
      </c>
      <c r="B3578" s="24" t="str">
        <f>"900942"</f>
        <v>900942</v>
      </c>
      <c r="C3578" s="24" t="s">
        <v>3771</v>
      </c>
      <c r="D3578" s="24"/>
      <c r="E3578" s="24">
        <v>12.61</v>
      </c>
      <c r="F3578" s="24">
        <v>0.96</v>
      </c>
    </row>
    <row r="3579" s="24" customFormat="1" spans="1:6">
      <c r="A3579" s="24" t="s">
        <v>142</v>
      </c>
      <c r="B3579" s="24" t="str">
        <f>"002327"</f>
        <v>002327</v>
      </c>
      <c r="C3579" s="24" t="s">
        <v>3772</v>
      </c>
      <c r="D3579" s="24" t="s">
        <v>253</v>
      </c>
      <c r="E3579" s="24">
        <v>12.61</v>
      </c>
      <c r="F3579" s="24">
        <v>1.71</v>
      </c>
    </row>
    <row r="3580" s="24" customFormat="1" spans="1:6">
      <c r="A3580" s="24" t="s">
        <v>140</v>
      </c>
      <c r="B3580" s="24" t="str">
        <f>"600027"</f>
        <v>600027</v>
      </c>
      <c r="C3580" s="24" t="s">
        <v>3773</v>
      </c>
      <c r="D3580" s="24" t="s">
        <v>188</v>
      </c>
      <c r="E3580" s="24">
        <v>12.59</v>
      </c>
      <c r="F3580" s="24">
        <v>0.76</v>
      </c>
    </row>
    <row r="3581" s="24" customFormat="1" spans="1:6">
      <c r="A3581" s="24" t="s">
        <v>142</v>
      </c>
      <c r="B3581" s="24" t="str">
        <f>"300284"</f>
        <v>300284</v>
      </c>
      <c r="C3581" s="24" t="s">
        <v>3774</v>
      </c>
      <c r="D3581" s="24" t="s">
        <v>214</v>
      </c>
      <c r="E3581" s="24">
        <v>12.55</v>
      </c>
      <c r="F3581" s="24">
        <v>1.88</v>
      </c>
    </row>
    <row r="3582" s="24" customFormat="1" spans="1:6">
      <c r="A3582" s="24" t="s">
        <v>142</v>
      </c>
      <c r="B3582" s="24" t="str">
        <f>"000031"</f>
        <v>000031</v>
      </c>
      <c r="C3582" s="24" t="s">
        <v>3775</v>
      </c>
      <c r="D3582" s="24" t="s">
        <v>244</v>
      </c>
      <c r="E3582" s="24">
        <v>12.54</v>
      </c>
      <c r="F3582" s="24">
        <v>1.28</v>
      </c>
    </row>
    <row r="3583" s="24" customFormat="1" spans="1:6">
      <c r="A3583" s="24" t="s">
        <v>140</v>
      </c>
      <c r="B3583" s="24" t="str">
        <f>"600023"</f>
        <v>600023</v>
      </c>
      <c r="C3583" s="24" t="s">
        <v>3776</v>
      </c>
      <c r="D3583" s="24" t="s">
        <v>188</v>
      </c>
      <c r="E3583" s="24">
        <v>12.51</v>
      </c>
      <c r="F3583" s="24">
        <v>0.76</v>
      </c>
    </row>
    <row r="3584" s="24" customFormat="1" spans="1:6">
      <c r="A3584" s="24" t="s">
        <v>140</v>
      </c>
      <c r="B3584" s="24" t="str">
        <f>"601677"</f>
        <v>601677</v>
      </c>
      <c r="C3584" s="24" t="s">
        <v>3777</v>
      </c>
      <c r="D3584" s="24" t="s">
        <v>167</v>
      </c>
      <c r="E3584" s="24">
        <v>12.51</v>
      </c>
      <c r="F3584" s="24">
        <v>0.96</v>
      </c>
    </row>
    <row r="3585" s="24" customFormat="1" spans="1:6">
      <c r="A3585" s="24" t="s">
        <v>140</v>
      </c>
      <c r="B3585" s="24" t="str">
        <f>"600297"</f>
        <v>600297</v>
      </c>
      <c r="C3585" s="24" t="s">
        <v>3778</v>
      </c>
      <c r="D3585" s="24" t="s">
        <v>207</v>
      </c>
      <c r="E3585" s="24">
        <v>12.48</v>
      </c>
      <c r="F3585" s="24">
        <v>1.42</v>
      </c>
    </row>
    <row r="3586" s="24" customFormat="1" spans="1:6">
      <c r="A3586" s="24" t="s">
        <v>140</v>
      </c>
      <c r="B3586" s="24" t="str">
        <f>"603357"</f>
        <v>603357</v>
      </c>
      <c r="C3586" s="24" t="s">
        <v>3779</v>
      </c>
      <c r="D3586" s="24" t="s">
        <v>214</v>
      </c>
      <c r="E3586" s="24">
        <v>12.47</v>
      </c>
      <c r="F3586" s="24">
        <v>1.86</v>
      </c>
    </row>
    <row r="3587" s="24" customFormat="1" spans="1:6">
      <c r="A3587" s="24" t="s">
        <v>142</v>
      </c>
      <c r="B3587" s="24" t="str">
        <f>"002966"</f>
        <v>002966</v>
      </c>
      <c r="C3587" s="24" t="s">
        <v>3780</v>
      </c>
      <c r="D3587" s="24" t="s">
        <v>3755</v>
      </c>
      <c r="E3587" s="24">
        <v>12.46</v>
      </c>
      <c r="F3587" s="24">
        <v>1.07</v>
      </c>
    </row>
    <row r="3588" s="24" customFormat="1" spans="1:6">
      <c r="A3588" s="24" t="s">
        <v>140</v>
      </c>
      <c r="B3588" s="24" t="str">
        <f>"601336"</f>
        <v>601336</v>
      </c>
      <c r="C3588" s="24" t="s">
        <v>3781</v>
      </c>
      <c r="D3588" s="24" t="s">
        <v>575</v>
      </c>
      <c r="E3588" s="24">
        <v>12.43</v>
      </c>
      <c r="F3588" s="24">
        <v>1.78</v>
      </c>
    </row>
    <row r="3589" s="24" customFormat="1" spans="1:6">
      <c r="A3589" s="24" t="s">
        <v>140</v>
      </c>
      <c r="B3589" s="24" t="str">
        <f>"900938"</f>
        <v>900938</v>
      </c>
      <c r="C3589" s="24" t="s">
        <v>3782</v>
      </c>
      <c r="D3589" s="24"/>
      <c r="E3589" s="24">
        <v>12.43</v>
      </c>
      <c r="F3589" s="24">
        <v>-2.66</v>
      </c>
    </row>
    <row r="3590" s="24" customFormat="1" spans="1:6">
      <c r="A3590" s="24" t="s">
        <v>142</v>
      </c>
      <c r="B3590" s="24" t="str">
        <f>"000531"</f>
        <v>000531</v>
      </c>
      <c r="C3590" s="24" t="s">
        <v>3783</v>
      </c>
      <c r="D3590" s="24" t="s">
        <v>188</v>
      </c>
      <c r="E3590" s="24">
        <v>12.41</v>
      </c>
      <c r="F3590" s="24">
        <v>1.05</v>
      </c>
    </row>
    <row r="3591" s="24" customFormat="1" spans="1:6">
      <c r="A3591" s="24" t="s">
        <v>142</v>
      </c>
      <c r="B3591" s="24" t="str">
        <f>"002462"</f>
        <v>002462</v>
      </c>
      <c r="C3591" s="24" t="s">
        <v>3784</v>
      </c>
      <c r="D3591" s="24" t="s">
        <v>584</v>
      </c>
      <c r="E3591" s="24">
        <v>12.4</v>
      </c>
      <c r="F3591" s="24">
        <v>1.37</v>
      </c>
    </row>
    <row r="3592" s="24" customFormat="1" spans="1:6">
      <c r="A3592" s="24" t="s">
        <v>142</v>
      </c>
      <c r="B3592" s="24" t="str">
        <f>"000822"</f>
        <v>000822</v>
      </c>
      <c r="C3592" s="24" t="s">
        <v>3785</v>
      </c>
      <c r="D3592" s="24" t="s">
        <v>256</v>
      </c>
      <c r="E3592" s="24">
        <v>12.38</v>
      </c>
      <c r="F3592" s="24">
        <v>1.03</v>
      </c>
    </row>
    <row r="3593" s="24" customFormat="1" spans="1:6">
      <c r="A3593" s="24" t="s">
        <v>140</v>
      </c>
      <c r="B3593" s="24" t="str">
        <f>"600273"</f>
        <v>600273</v>
      </c>
      <c r="C3593" s="24" t="s">
        <v>3786</v>
      </c>
      <c r="D3593" s="24" t="s">
        <v>256</v>
      </c>
      <c r="E3593" s="24">
        <v>12.38</v>
      </c>
      <c r="F3593" s="24">
        <v>2.33</v>
      </c>
    </row>
    <row r="3594" s="24" customFormat="1" spans="1:6">
      <c r="A3594" s="24" t="s">
        <v>142</v>
      </c>
      <c r="B3594" s="24" t="str">
        <f>"000543"</f>
        <v>000543</v>
      </c>
      <c r="C3594" s="24" t="s">
        <v>3787</v>
      </c>
      <c r="D3594" s="24" t="s">
        <v>188</v>
      </c>
      <c r="E3594" s="24">
        <v>12.32</v>
      </c>
      <c r="F3594" s="24">
        <v>0.71</v>
      </c>
    </row>
    <row r="3595" s="24" customFormat="1" spans="1:6">
      <c r="A3595" s="24" t="s">
        <v>142</v>
      </c>
      <c r="B3595" s="24" t="str">
        <f>"002620"</f>
        <v>002620</v>
      </c>
      <c r="C3595" s="24" t="s">
        <v>3788</v>
      </c>
      <c r="D3595" s="24" t="s">
        <v>315</v>
      </c>
      <c r="E3595" s="24">
        <v>12.27</v>
      </c>
      <c r="F3595" s="24">
        <v>0.94</v>
      </c>
    </row>
    <row r="3596" s="24" customFormat="1" spans="1:6">
      <c r="A3596" s="24" t="s">
        <v>140</v>
      </c>
      <c r="B3596" s="24" t="str">
        <f>"600256"</f>
        <v>600256</v>
      </c>
      <c r="C3596" s="24" t="s">
        <v>3789</v>
      </c>
      <c r="D3596" s="24" t="s">
        <v>246</v>
      </c>
      <c r="E3596" s="24">
        <v>12.24</v>
      </c>
      <c r="F3596" s="24">
        <v>1.26</v>
      </c>
    </row>
    <row r="3597" s="24" customFormat="1" spans="1:6">
      <c r="A3597" s="24" t="s">
        <v>142</v>
      </c>
      <c r="B3597" s="24" t="str">
        <f>"000425"</f>
        <v>000425</v>
      </c>
      <c r="C3597" s="24" t="s">
        <v>3790</v>
      </c>
      <c r="D3597" s="24" t="s">
        <v>173</v>
      </c>
      <c r="E3597" s="24">
        <v>12.23</v>
      </c>
      <c r="F3597" s="24">
        <v>1.38</v>
      </c>
    </row>
    <row r="3598" s="24" customFormat="1" spans="1:6">
      <c r="A3598" s="24" t="s">
        <v>140</v>
      </c>
      <c r="B3598" s="24" t="str">
        <f>"601860"</f>
        <v>601860</v>
      </c>
      <c r="C3598" s="24" t="s">
        <v>3791</v>
      </c>
      <c r="D3598" s="24" t="s">
        <v>3755</v>
      </c>
      <c r="E3598" s="24">
        <v>12.21</v>
      </c>
      <c r="F3598" s="24">
        <v>1.24</v>
      </c>
    </row>
    <row r="3599" s="24" customFormat="1" spans="1:6">
      <c r="A3599" s="24" t="s">
        <v>142</v>
      </c>
      <c r="B3599" s="24" t="str">
        <f>"002078"</f>
        <v>002078</v>
      </c>
      <c r="C3599" s="24" t="s">
        <v>3792</v>
      </c>
      <c r="D3599" s="24" t="s">
        <v>509</v>
      </c>
      <c r="E3599" s="24">
        <v>12.2</v>
      </c>
      <c r="F3599" s="24">
        <v>1.69</v>
      </c>
    </row>
    <row r="3600" s="24" customFormat="1" spans="1:6">
      <c r="A3600" s="24" t="s">
        <v>140</v>
      </c>
      <c r="B3600" s="24" t="str">
        <f>"603609"</f>
        <v>603609</v>
      </c>
      <c r="C3600" s="24" t="s">
        <v>3793</v>
      </c>
      <c r="D3600" s="24" t="s">
        <v>145</v>
      </c>
      <c r="E3600" s="24">
        <v>12.19</v>
      </c>
      <c r="F3600" s="24">
        <v>1.99</v>
      </c>
    </row>
    <row r="3601" s="24" customFormat="1" spans="1:6">
      <c r="A3601" s="24" t="s">
        <v>142</v>
      </c>
      <c r="B3601" s="24" t="str">
        <f>"000429"</f>
        <v>000429</v>
      </c>
      <c r="C3601" s="24" t="s">
        <v>3794</v>
      </c>
      <c r="D3601" s="24" t="s">
        <v>1016</v>
      </c>
      <c r="E3601" s="24">
        <v>12.18</v>
      </c>
      <c r="F3601" s="24">
        <v>1.67</v>
      </c>
    </row>
    <row r="3602" s="24" customFormat="1" spans="1:6">
      <c r="A3602" s="24" t="s">
        <v>140</v>
      </c>
      <c r="B3602" s="24" t="str">
        <f>"600683"</f>
        <v>600683</v>
      </c>
      <c r="C3602" s="24" t="s">
        <v>3795</v>
      </c>
      <c r="D3602" s="24" t="s">
        <v>244</v>
      </c>
      <c r="E3602" s="24">
        <v>12.14</v>
      </c>
      <c r="F3602" s="24">
        <v>1.05</v>
      </c>
    </row>
    <row r="3603" s="24" customFormat="1" spans="1:6">
      <c r="A3603" s="24" t="s">
        <v>142</v>
      </c>
      <c r="B3603" s="24" t="str">
        <f>"300437"</f>
        <v>300437</v>
      </c>
      <c r="C3603" s="24" t="s">
        <v>3796</v>
      </c>
      <c r="D3603" s="24" t="s">
        <v>228</v>
      </c>
      <c r="E3603" s="24">
        <v>12.13</v>
      </c>
      <c r="F3603" s="24">
        <v>2.62</v>
      </c>
    </row>
    <row r="3604" s="24" customFormat="1" spans="1:6">
      <c r="A3604" s="24" t="s">
        <v>140</v>
      </c>
      <c r="B3604" s="24" t="str">
        <f>"600261"</f>
        <v>600261</v>
      </c>
      <c r="C3604" s="24" t="s">
        <v>3797</v>
      </c>
      <c r="D3604" s="24" t="s">
        <v>184</v>
      </c>
      <c r="E3604" s="24">
        <v>12.12</v>
      </c>
      <c r="F3604" s="24">
        <v>1.67</v>
      </c>
    </row>
    <row r="3605" s="24" customFormat="1" spans="1:6">
      <c r="A3605" s="24" t="s">
        <v>142</v>
      </c>
      <c r="B3605" s="24" t="str">
        <f>"002406"</f>
        <v>002406</v>
      </c>
      <c r="C3605" s="24" t="s">
        <v>3798</v>
      </c>
      <c r="D3605" s="24" t="s">
        <v>204</v>
      </c>
      <c r="E3605" s="24">
        <v>12.1</v>
      </c>
      <c r="F3605" s="24">
        <v>1.12</v>
      </c>
    </row>
    <row r="3606" s="24" customFormat="1" spans="1:6">
      <c r="A3606" s="24" t="s">
        <v>140</v>
      </c>
      <c r="B3606" s="24" t="str">
        <f>"600090"</f>
        <v>600090</v>
      </c>
      <c r="C3606" s="24" t="s">
        <v>3799</v>
      </c>
      <c r="D3606" s="24" t="s">
        <v>584</v>
      </c>
      <c r="E3606" s="24">
        <v>12.1</v>
      </c>
      <c r="F3606" s="24">
        <v>0.99</v>
      </c>
    </row>
    <row r="3607" s="24" customFormat="1" spans="1:6">
      <c r="A3607" s="24" t="s">
        <v>142</v>
      </c>
      <c r="B3607" s="24" t="str">
        <f>"200019"</f>
        <v>200019</v>
      </c>
      <c r="C3607" s="24" t="s">
        <v>3800</v>
      </c>
      <c r="D3607" s="24"/>
      <c r="E3607" s="24">
        <v>12.06</v>
      </c>
      <c r="F3607" s="24">
        <v>0.77</v>
      </c>
    </row>
    <row r="3608" s="24" customFormat="1" spans="1:6">
      <c r="A3608" s="24" t="s">
        <v>142</v>
      </c>
      <c r="B3608" s="24" t="str">
        <f>"000552"</f>
        <v>000552</v>
      </c>
      <c r="C3608" s="24" t="s">
        <v>3801</v>
      </c>
      <c r="D3608" s="24" t="s">
        <v>401</v>
      </c>
      <c r="E3608" s="24">
        <v>12.02</v>
      </c>
      <c r="F3608" s="24">
        <v>0.68</v>
      </c>
    </row>
    <row r="3609" s="24" customFormat="1" spans="1:6">
      <c r="A3609" s="24" t="s">
        <v>140</v>
      </c>
      <c r="B3609" s="24" t="str">
        <f>"600025"</f>
        <v>600025</v>
      </c>
      <c r="C3609" s="24" t="s">
        <v>3802</v>
      </c>
      <c r="D3609" s="24" t="s">
        <v>188</v>
      </c>
      <c r="E3609" s="24">
        <v>12.01</v>
      </c>
      <c r="F3609" s="24">
        <v>1.48</v>
      </c>
    </row>
    <row r="3610" s="24" customFormat="1" spans="1:6">
      <c r="A3610" s="24" t="s">
        <v>140</v>
      </c>
      <c r="B3610" s="24" t="str">
        <f>"600018"</f>
        <v>600018</v>
      </c>
      <c r="C3610" s="24" t="s">
        <v>3803</v>
      </c>
      <c r="D3610" s="24" t="s">
        <v>1016</v>
      </c>
      <c r="E3610" s="24">
        <v>12</v>
      </c>
      <c r="F3610" s="24">
        <v>1.37</v>
      </c>
    </row>
    <row r="3611" s="24" customFormat="1" spans="1:6">
      <c r="A3611" s="24" t="s">
        <v>140</v>
      </c>
      <c r="B3611" s="24" t="str">
        <f>"600846"</f>
        <v>600846</v>
      </c>
      <c r="C3611" s="24" t="s">
        <v>3804</v>
      </c>
      <c r="D3611" s="24" t="s">
        <v>315</v>
      </c>
      <c r="E3611" s="24">
        <v>12</v>
      </c>
      <c r="F3611" s="24">
        <v>2.21</v>
      </c>
    </row>
    <row r="3612" s="24" customFormat="1" spans="1:6">
      <c r="A3612" s="24" t="s">
        <v>140</v>
      </c>
      <c r="B3612" s="24" t="str">
        <f>"603156"</f>
        <v>603156</v>
      </c>
      <c r="C3612" s="24" t="s">
        <v>3805</v>
      </c>
      <c r="D3612" s="24" t="s">
        <v>309</v>
      </c>
      <c r="E3612" s="24">
        <v>11.98</v>
      </c>
      <c r="F3612" s="24">
        <v>2.4</v>
      </c>
    </row>
    <row r="3613" s="24" customFormat="1" spans="1:6">
      <c r="A3613" s="24" t="s">
        <v>142</v>
      </c>
      <c r="B3613" s="24" t="str">
        <f>"000709"</f>
        <v>000709</v>
      </c>
      <c r="C3613" s="24" t="s">
        <v>3806</v>
      </c>
      <c r="D3613" s="24" t="s">
        <v>258</v>
      </c>
      <c r="E3613" s="24">
        <v>11.92</v>
      </c>
      <c r="F3613" s="24">
        <v>0.5</v>
      </c>
    </row>
    <row r="3614" s="24" customFormat="1" spans="1:6">
      <c r="A3614" s="24" t="s">
        <v>142</v>
      </c>
      <c r="B3614" s="24" t="str">
        <f>"002788"</f>
        <v>002788</v>
      </c>
      <c r="C3614" s="24" t="s">
        <v>3807</v>
      </c>
      <c r="D3614" s="24" t="s">
        <v>584</v>
      </c>
      <c r="E3614" s="24">
        <v>11.9</v>
      </c>
      <c r="F3614" s="24">
        <v>1.97</v>
      </c>
    </row>
    <row r="3615" s="24" customFormat="1" spans="1:6">
      <c r="A3615" s="24" t="s">
        <v>142</v>
      </c>
      <c r="B3615" s="24" t="str">
        <f>"000631"</f>
        <v>000631</v>
      </c>
      <c r="C3615" s="24" t="s">
        <v>3808</v>
      </c>
      <c r="D3615" s="24" t="s">
        <v>244</v>
      </c>
      <c r="E3615" s="24">
        <v>11.89</v>
      </c>
      <c r="F3615" s="24">
        <v>1</v>
      </c>
    </row>
    <row r="3616" s="24" customFormat="1" spans="1:6">
      <c r="A3616" s="24" t="s">
        <v>142</v>
      </c>
      <c r="B3616" s="24" t="str">
        <f>"300732"</f>
        <v>300732</v>
      </c>
      <c r="C3616" s="24" t="s">
        <v>3809</v>
      </c>
      <c r="D3616" s="24" t="s">
        <v>214</v>
      </c>
      <c r="E3616" s="24">
        <v>11.85</v>
      </c>
      <c r="F3616" s="24">
        <v>1.33</v>
      </c>
    </row>
    <row r="3617" s="24" customFormat="1" spans="1:6">
      <c r="A3617" s="24" t="s">
        <v>140</v>
      </c>
      <c r="B3617" s="24" t="str">
        <f>"601898"</f>
        <v>601898</v>
      </c>
      <c r="C3617" s="24" t="s">
        <v>3810</v>
      </c>
      <c r="D3617" s="24" t="s">
        <v>401</v>
      </c>
      <c r="E3617" s="24">
        <v>11.85</v>
      </c>
      <c r="F3617" s="24">
        <v>0.59</v>
      </c>
    </row>
    <row r="3618" s="24" customFormat="1" spans="1:6">
      <c r="A3618" s="24" t="s">
        <v>140</v>
      </c>
      <c r="B3618" s="24" t="str">
        <f>"600897"</f>
        <v>600897</v>
      </c>
      <c r="C3618" s="24" t="s">
        <v>3811</v>
      </c>
      <c r="D3618" s="24" t="s">
        <v>1016</v>
      </c>
      <c r="E3618" s="24">
        <v>11.79</v>
      </c>
      <c r="F3618" s="24">
        <v>1.64</v>
      </c>
    </row>
    <row r="3619" s="24" customFormat="1" spans="1:6">
      <c r="A3619" s="24" t="s">
        <v>140</v>
      </c>
      <c r="B3619" s="24" t="str">
        <f>"600582"</f>
        <v>600582</v>
      </c>
      <c r="C3619" s="24" t="s">
        <v>3812</v>
      </c>
      <c r="D3619" s="24" t="s">
        <v>173</v>
      </c>
      <c r="E3619" s="24">
        <v>11.77</v>
      </c>
      <c r="F3619" s="24">
        <v>0.73</v>
      </c>
    </row>
    <row r="3620" s="24" customFormat="1" spans="1:6">
      <c r="A3620" s="24" t="s">
        <v>140</v>
      </c>
      <c r="B3620" s="24" t="str">
        <f>"603165"</f>
        <v>603165</v>
      </c>
      <c r="C3620" s="24" t="s">
        <v>3813</v>
      </c>
      <c r="D3620" s="24" t="s">
        <v>509</v>
      </c>
      <c r="E3620" s="24">
        <v>11.75</v>
      </c>
      <c r="F3620" s="24">
        <v>2.14</v>
      </c>
    </row>
    <row r="3621" s="24" customFormat="1" spans="1:6">
      <c r="A3621" s="24" t="s">
        <v>142</v>
      </c>
      <c r="B3621" s="24" t="str">
        <f>"300423"</f>
        <v>300423</v>
      </c>
      <c r="C3621" s="24" t="s">
        <v>3814</v>
      </c>
      <c r="D3621" s="24" t="s">
        <v>251</v>
      </c>
      <c r="E3621" s="24">
        <v>11.68</v>
      </c>
      <c r="F3621" s="24">
        <v>3.59</v>
      </c>
    </row>
    <row r="3622" s="24" customFormat="1" spans="1:6">
      <c r="A3622" s="24" t="s">
        <v>140</v>
      </c>
      <c r="B3622" s="24" t="str">
        <f>"600729"</f>
        <v>600729</v>
      </c>
      <c r="C3622" s="24" t="s">
        <v>3815</v>
      </c>
      <c r="D3622" s="24" t="s">
        <v>148</v>
      </c>
      <c r="E3622" s="24">
        <v>11.66</v>
      </c>
      <c r="F3622" s="24">
        <v>1.72</v>
      </c>
    </row>
    <row r="3623" s="24" customFormat="1" spans="1:6">
      <c r="A3623" s="24" t="s">
        <v>142</v>
      </c>
      <c r="B3623" s="24" t="str">
        <f>"000959"</f>
        <v>000959</v>
      </c>
      <c r="C3623" s="24" t="s">
        <v>3816</v>
      </c>
      <c r="D3623" s="24" t="s">
        <v>258</v>
      </c>
      <c r="E3623" s="24">
        <v>11.65</v>
      </c>
      <c r="F3623" s="24">
        <v>0.63</v>
      </c>
    </row>
    <row r="3624" s="24" customFormat="1" spans="1:6">
      <c r="A3624" s="24" t="s">
        <v>140</v>
      </c>
      <c r="B3624" s="24" t="str">
        <f>"600452"</f>
        <v>600452</v>
      </c>
      <c r="C3624" s="24" t="s">
        <v>3817</v>
      </c>
      <c r="D3624" s="24" t="s">
        <v>188</v>
      </c>
      <c r="E3624" s="24">
        <v>11.56</v>
      </c>
      <c r="F3624" s="24">
        <v>2.88</v>
      </c>
    </row>
    <row r="3625" s="24" customFormat="1" spans="1:6">
      <c r="A3625" s="24" t="s">
        <v>140</v>
      </c>
      <c r="B3625" s="24" t="str">
        <f>"600643"</f>
        <v>600643</v>
      </c>
      <c r="C3625" s="24" t="s">
        <v>3818</v>
      </c>
      <c r="D3625" s="24" t="s">
        <v>442</v>
      </c>
      <c r="E3625" s="24">
        <v>11.53</v>
      </c>
      <c r="F3625" s="24">
        <v>1.3</v>
      </c>
    </row>
    <row r="3626" s="24" customFormat="1" spans="1:6">
      <c r="A3626" s="24" t="s">
        <v>142</v>
      </c>
      <c r="B3626" s="24" t="str">
        <f>"002818"</f>
        <v>002818</v>
      </c>
      <c r="C3626" s="24" t="s">
        <v>3819</v>
      </c>
      <c r="D3626" s="24" t="s">
        <v>623</v>
      </c>
      <c r="E3626" s="24">
        <v>11.5</v>
      </c>
      <c r="F3626" s="24">
        <v>1.84</v>
      </c>
    </row>
    <row r="3627" s="24" customFormat="1" spans="1:6">
      <c r="A3627" s="24" t="s">
        <v>140</v>
      </c>
      <c r="B3627" s="24" t="str">
        <f>"601058"</f>
        <v>601058</v>
      </c>
      <c r="C3627" s="24" t="s">
        <v>3820</v>
      </c>
      <c r="D3627" s="24" t="s">
        <v>204</v>
      </c>
      <c r="E3627" s="24">
        <v>11.49</v>
      </c>
      <c r="F3627" s="24">
        <v>1.91</v>
      </c>
    </row>
    <row r="3628" s="24" customFormat="1" spans="1:6">
      <c r="A3628" s="24" t="s">
        <v>140</v>
      </c>
      <c r="B3628" s="24" t="str">
        <f>"603878"</f>
        <v>603878</v>
      </c>
      <c r="C3628" s="24" t="s">
        <v>3821</v>
      </c>
      <c r="D3628" s="24" t="s">
        <v>258</v>
      </c>
      <c r="E3628" s="24">
        <v>11.46</v>
      </c>
      <c r="F3628" s="24">
        <v>1.37</v>
      </c>
    </row>
    <row r="3629" s="24" customFormat="1" spans="1:6">
      <c r="A3629" s="24" t="s">
        <v>140</v>
      </c>
      <c r="B3629" s="24" t="str">
        <f>"603585"</f>
        <v>603585</v>
      </c>
      <c r="C3629" s="24" t="s">
        <v>3822</v>
      </c>
      <c r="D3629" s="24" t="s">
        <v>278</v>
      </c>
      <c r="E3629" s="24">
        <v>11.45</v>
      </c>
      <c r="F3629" s="24">
        <v>1.94</v>
      </c>
    </row>
    <row r="3630" s="24" customFormat="1" spans="1:6">
      <c r="A3630" s="24" t="s">
        <v>140</v>
      </c>
      <c r="B3630" s="24" t="str">
        <f>"600777"</f>
        <v>600777</v>
      </c>
      <c r="C3630" s="24" t="s">
        <v>3823</v>
      </c>
      <c r="D3630" s="24" t="s">
        <v>246</v>
      </c>
      <c r="E3630" s="24">
        <v>11.44</v>
      </c>
      <c r="F3630" s="24">
        <v>0.8</v>
      </c>
    </row>
    <row r="3631" s="24" customFormat="1" spans="1:6">
      <c r="A3631" s="24" t="s">
        <v>142</v>
      </c>
      <c r="B3631" s="24" t="str">
        <f>"000921"</f>
        <v>000921</v>
      </c>
      <c r="C3631" s="24" t="s">
        <v>32</v>
      </c>
      <c r="D3631" s="24" t="s">
        <v>184</v>
      </c>
      <c r="E3631" s="24">
        <v>11.44</v>
      </c>
      <c r="F3631" s="24">
        <v>1.7</v>
      </c>
    </row>
    <row r="3632" s="24" customFormat="1" spans="1:6">
      <c r="A3632" s="24" t="s">
        <v>140</v>
      </c>
      <c r="B3632" s="24" t="str">
        <f>"603018"</f>
        <v>603018</v>
      </c>
      <c r="C3632" s="24" t="s">
        <v>3824</v>
      </c>
      <c r="D3632" s="24" t="s">
        <v>214</v>
      </c>
      <c r="E3632" s="24">
        <v>11.43</v>
      </c>
      <c r="F3632" s="24">
        <v>1.77</v>
      </c>
    </row>
    <row r="3633" s="24" customFormat="1" spans="1:6">
      <c r="A3633" s="24" t="s">
        <v>142</v>
      </c>
      <c r="B3633" s="24" t="str">
        <f>"001965"</f>
        <v>001965</v>
      </c>
      <c r="C3633" s="24" t="s">
        <v>3825</v>
      </c>
      <c r="D3633" s="24" t="s">
        <v>1016</v>
      </c>
      <c r="E3633" s="24">
        <v>11.41</v>
      </c>
      <c r="F3633" s="24">
        <v>0.97</v>
      </c>
    </row>
    <row r="3634" s="24" customFormat="1" spans="1:6">
      <c r="A3634" s="24" t="s">
        <v>140</v>
      </c>
      <c r="B3634" s="24" t="str">
        <f>"600248"</f>
        <v>600248</v>
      </c>
      <c r="C3634" s="24" t="s">
        <v>3826</v>
      </c>
      <c r="D3634" s="24" t="s">
        <v>315</v>
      </c>
      <c r="E3634" s="24">
        <v>11.4</v>
      </c>
      <c r="F3634" s="24">
        <v>1.24</v>
      </c>
    </row>
    <row r="3635" s="24" customFormat="1" spans="1:6">
      <c r="A3635" s="24" t="s">
        <v>140</v>
      </c>
      <c r="B3635" s="24" t="str">
        <f>"600425"</f>
        <v>600425</v>
      </c>
      <c r="C3635" s="24" t="s">
        <v>3827</v>
      </c>
      <c r="D3635" s="24" t="s">
        <v>667</v>
      </c>
      <c r="E3635" s="24">
        <v>11.37</v>
      </c>
      <c r="F3635" s="24">
        <v>1.04</v>
      </c>
    </row>
    <row r="3636" s="24" customFormat="1" spans="1:6">
      <c r="A3636" s="24" t="s">
        <v>140</v>
      </c>
      <c r="B3636" s="24" t="str">
        <f>"601222"</f>
        <v>601222</v>
      </c>
      <c r="C3636" s="24" t="s">
        <v>3828</v>
      </c>
      <c r="D3636" s="24" t="s">
        <v>251</v>
      </c>
      <c r="E3636" s="24">
        <v>11.37</v>
      </c>
      <c r="F3636" s="24">
        <v>0.93</v>
      </c>
    </row>
    <row r="3637" s="24" customFormat="1" spans="1:6">
      <c r="A3637" s="24" t="s">
        <v>142</v>
      </c>
      <c r="B3637" s="24" t="str">
        <f>"002088"</f>
        <v>002088</v>
      </c>
      <c r="C3637" s="24" t="s">
        <v>3829</v>
      </c>
      <c r="D3637" s="24" t="s">
        <v>644</v>
      </c>
      <c r="E3637" s="24">
        <v>11.34</v>
      </c>
      <c r="F3637" s="24">
        <v>1.69</v>
      </c>
    </row>
    <row r="3638" s="24" customFormat="1" spans="1:6">
      <c r="A3638" s="24" t="s">
        <v>140</v>
      </c>
      <c r="B3638" s="24" t="str">
        <f>"600859"</f>
        <v>600859</v>
      </c>
      <c r="C3638" s="24" t="s">
        <v>3830</v>
      </c>
      <c r="D3638" s="24" t="s">
        <v>148</v>
      </c>
      <c r="E3638" s="24">
        <v>11.32</v>
      </c>
      <c r="F3638" s="24">
        <v>0.94</v>
      </c>
    </row>
    <row r="3639" s="24" customFormat="1" spans="1:6">
      <c r="A3639" s="24" t="s">
        <v>142</v>
      </c>
      <c r="B3639" s="24" t="str">
        <f>"000898"</f>
        <v>000898</v>
      </c>
      <c r="C3639" s="24" t="s">
        <v>3831</v>
      </c>
      <c r="D3639" s="24" t="s">
        <v>258</v>
      </c>
      <c r="E3639" s="24">
        <v>11.31</v>
      </c>
      <c r="F3639" s="24">
        <v>0.51</v>
      </c>
    </row>
    <row r="3640" s="24" customFormat="1" spans="1:6">
      <c r="A3640" s="24" t="s">
        <v>140</v>
      </c>
      <c r="B3640" s="24" t="str">
        <f>"600757"</f>
        <v>600757</v>
      </c>
      <c r="C3640" s="24" t="s">
        <v>3832</v>
      </c>
      <c r="D3640" s="24" t="s">
        <v>170</v>
      </c>
      <c r="E3640" s="24">
        <v>11.31</v>
      </c>
      <c r="F3640" s="24">
        <v>1.02</v>
      </c>
    </row>
    <row r="3641" s="24" customFormat="1" spans="1:6">
      <c r="A3641" s="24" t="s">
        <v>140</v>
      </c>
      <c r="B3641" s="24" t="str">
        <f>"600886"</f>
        <v>600886</v>
      </c>
      <c r="C3641" s="24" t="s">
        <v>3833</v>
      </c>
      <c r="D3641" s="24" t="s">
        <v>188</v>
      </c>
      <c r="E3641" s="24">
        <v>11.29</v>
      </c>
      <c r="F3641" s="24">
        <v>1.54</v>
      </c>
    </row>
    <row r="3642" s="24" customFormat="1" spans="1:6">
      <c r="A3642" s="24" t="s">
        <v>142</v>
      </c>
      <c r="B3642" s="24" t="str">
        <f>"002377"</f>
        <v>002377</v>
      </c>
      <c r="C3642" s="24" t="s">
        <v>3834</v>
      </c>
      <c r="D3642" s="24" t="s">
        <v>1058</v>
      </c>
      <c r="E3642" s="24">
        <v>11.29</v>
      </c>
      <c r="F3642" s="24">
        <v>1.65</v>
      </c>
    </row>
    <row r="3643" s="24" customFormat="1" spans="1:6">
      <c r="A3643" s="24" t="s">
        <v>142</v>
      </c>
      <c r="B3643" s="24" t="str">
        <f>"000090"</f>
        <v>000090</v>
      </c>
      <c r="C3643" s="24" t="s">
        <v>3835</v>
      </c>
      <c r="D3643" s="24" t="s">
        <v>315</v>
      </c>
      <c r="E3643" s="24">
        <v>11.29</v>
      </c>
      <c r="F3643" s="24">
        <v>1.28</v>
      </c>
    </row>
    <row r="3644" s="24" customFormat="1" spans="1:6">
      <c r="A3644" s="24" t="s">
        <v>142</v>
      </c>
      <c r="B3644" s="24" t="str">
        <f>"000517"</f>
        <v>000517</v>
      </c>
      <c r="C3644" s="24" t="s">
        <v>3836</v>
      </c>
      <c r="D3644" s="24" t="s">
        <v>244</v>
      </c>
      <c r="E3644" s="24">
        <v>11.26</v>
      </c>
      <c r="F3644" s="24">
        <v>1.54</v>
      </c>
    </row>
    <row r="3645" s="24" customFormat="1" spans="1:6">
      <c r="A3645" s="24" t="s">
        <v>140</v>
      </c>
      <c r="B3645" s="24" t="str">
        <f>"600390"</f>
        <v>600390</v>
      </c>
      <c r="C3645" s="24" t="s">
        <v>3837</v>
      </c>
      <c r="D3645" s="24" t="s">
        <v>813</v>
      </c>
      <c r="E3645" s="24">
        <v>11.25</v>
      </c>
      <c r="F3645" s="24">
        <v>1.05</v>
      </c>
    </row>
    <row r="3646" s="24" customFormat="1" spans="1:6">
      <c r="A3646" s="24" t="s">
        <v>140</v>
      </c>
      <c r="B3646" s="24" t="str">
        <f>"600792"</f>
        <v>600792</v>
      </c>
      <c r="C3646" s="24" t="s">
        <v>3838</v>
      </c>
      <c r="D3646" s="24" t="s">
        <v>401</v>
      </c>
      <c r="E3646" s="24">
        <v>11.25</v>
      </c>
      <c r="F3646" s="24">
        <v>0.94</v>
      </c>
    </row>
    <row r="3647" s="24" customFormat="1" spans="1:6">
      <c r="A3647" s="24" t="s">
        <v>142</v>
      </c>
      <c r="B3647" s="24" t="str">
        <f>"002142"</f>
        <v>002142</v>
      </c>
      <c r="C3647" s="24" t="s">
        <v>35</v>
      </c>
      <c r="D3647" s="24" t="s">
        <v>3755</v>
      </c>
      <c r="E3647" s="24">
        <v>11.25</v>
      </c>
      <c r="F3647" s="24">
        <v>1.77</v>
      </c>
    </row>
    <row r="3648" s="24" customFormat="1" spans="1:6">
      <c r="A3648" s="24" t="s">
        <v>142</v>
      </c>
      <c r="B3648" s="24" t="str">
        <f>"000591"</f>
        <v>000591</v>
      </c>
      <c r="C3648" s="24" t="s">
        <v>3839</v>
      </c>
      <c r="D3648" s="24" t="s">
        <v>188</v>
      </c>
      <c r="E3648" s="24">
        <v>11.25</v>
      </c>
      <c r="F3648" s="24">
        <v>0.86</v>
      </c>
    </row>
    <row r="3649" s="24" customFormat="1" spans="1:6">
      <c r="A3649" s="24" t="s">
        <v>142</v>
      </c>
      <c r="B3649" s="24" t="str">
        <f>"000560"</f>
        <v>000560</v>
      </c>
      <c r="C3649" s="24" t="s">
        <v>3840</v>
      </c>
      <c r="D3649" s="24" t="s">
        <v>1058</v>
      </c>
      <c r="E3649" s="24">
        <v>11.22</v>
      </c>
      <c r="F3649" s="24">
        <v>1.65</v>
      </c>
    </row>
    <row r="3650" s="24" customFormat="1" spans="1:6">
      <c r="A3650" s="24" t="s">
        <v>140</v>
      </c>
      <c r="B3650" s="24" t="str">
        <f>"600723"</f>
        <v>600723</v>
      </c>
      <c r="C3650" s="24" t="s">
        <v>3841</v>
      </c>
      <c r="D3650" s="24" t="s">
        <v>148</v>
      </c>
      <c r="E3650" s="24">
        <v>11.18</v>
      </c>
      <c r="F3650" s="24">
        <v>0.87</v>
      </c>
    </row>
    <row r="3651" s="24" customFormat="1" spans="1:6">
      <c r="A3651" s="24" t="s">
        <v>140</v>
      </c>
      <c r="B3651" s="24" t="str">
        <f>"601019"</f>
        <v>601019</v>
      </c>
      <c r="C3651" s="24" t="s">
        <v>3842</v>
      </c>
      <c r="D3651" s="24" t="s">
        <v>170</v>
      </c>
      <c r="E3651" s="24">
        <v>11.17</v>
      </c>
      <c r="F3651" s="24">
        <v>1.34</v>
      </c>
    </row>
    <row r="3652" s="24" customFormat="1" spans="1:6">
      <c r="A3652" s="24" t="s">
        <v>142</v>
      </c>
      <c r="B3652" s="24" t="str">
        <f>"000906"</f>
        <v>000906</v>
      </c>
      <c r="C3652" s="24" t="s">
        <v>3843</v>
      </c>
      <c r="D3652" s="24" t="s">
        <v>267</v>
      </c>
      <c r="E3652" s="24">
        <v>11.16</v>
      </c>
      <c r="F3652" s="24">
        <v>1.6</v>
      </c>
    </row>
    <row r="3653" s="24" customFormat="1" spans="1:6">
      <c r="A3653" s="24" t="s">
        <v>142</v>
      </c>
      <c r="B3653" s="24" t="str">
        <f>"002283"</f>
        <v>002283</v>
      </c>
      <c r="C3653" s="24" t="s">
        <v>3844</v>
      </c>
      <c r="D3653" s="24" t="s">
        <v>204</v>
      </c>
      <c r="E3653" s="24">
        <v>11.14</v>
      </c>
      <c r="F3653" s="24">
        <v>0.86</v>
      </c>
    </row>
    <row r="3654" s="24" customFormat="1" spans="1:6">
      <c r="A3654" s="24" t="s">
        <v>140</v>
      </c>
      <c r="B3654" s="24" t="str">
        <f>"601216"</f>
        <v>601216</v>
      </c>
      <c r="C3654" s="24" t="s">
        <v>3845</v>
      </c>
      <c r="D3654" s="24" t="s">
        <v>256</v>
      </c>
      <c r="E3654" s="24">
        <v>11.13</v>
      </c>
      <c r="F3654" s="24">
        <v>1.27</v>
      </c>
    </row>
    <row r="3655" s="24" customFormat="1" spans="1:6">
      <c r="A3655" s="24" t="s">
        <v>140</v>
      </c>
      <c r="B3655" s="24" t="str">
        <f>"600532"</f>
        <v>600532</v>
      </c>
      <c r="C3655" s="24" t="s">
        <v>3846</v>
      </c>
      <c r="D3655" s="24" t="s">
        <v>258</v>
      </c>
      <c r="E3655" s="24">
        <v>11.1</v>
      </c>
      <c r="F3655" s="24">
        <v>0.96</v>
      </c>
    </row>
    <row r="3656" s="24" customFormat="1" spans="1:6">
      <c r="A3656" s="24" t="s">
        <v>142</v>
      </c>
      <c r="B3656" s="24" t="str">
        <f>"001979"</f>
        <v>001979</v>
      </c>
      <c r="C3656" s="24" t="s">
        <v>3847</v>
      </c>
      <c r="D3656" s="24" t="s">
        <v>1076</v>
      </c>
      <c r="E3656" s="24">
        <v>11.1</v>
      </c>
      <c r="F3656" s="24">
        <v>2.14</v>
      </c>
    </row>
    <row r="3657" s="24" customFormat="1" spans="1:6">
      <c r="A3657" s="24" t="s">
        <v>140</v>
      </c>
      <c r="B3657" s="24" t="str">
        <f>"600928"</f>
        <v>600928</v>
      </c>
      <c r="C3657" s="24" t="s">
        <v>3848</v>
      </c>
      <c r="D3657" s="24" t="s">
        <v>3755</v>
      </c>
      <c r="E3657" s="24">
        <v>11.04</v>
      </c>
      <c r="F3657" s="24">
        <v>1.22</v>
      </c>
    </row>
    <row r="3658" s="24" customFormat="1" spans="1:6">
      <c r="A3658" s="24" t="s">
        <v>142</v>
      </c>
      <c r="B3658" s="24" t="str">
        <f>"002958"</f>
        <v>002958</v>
      </c>
      <c r="C3658" s="24" t="s">
        <v>3849</v>
      </c>
      <c r="D3658" s="24" t="s">
        <v>3755</v>
      </c>
      <c r="E3658" s="24">
        <v>10.94</v>
      </c>
      <c r="F3658" s="24">
        <v>1.25</v>
      </c>
    </row>
    <row r="3659" s="24" customFormat="1" spans="1:6">
      <c r="A3659" s="24" t="s">
        <v>142</v>
      </c>
      <c r="B3659" s="24" t="str">
        <f>"000666"</f>
        <v>000666</v>
      </c>
      <c r="C3659" s="24" t="s">
        <v>3850</v>
      </c>
      <c r="D3659" s="24" t="s">
        <v>442</v>
      </c>
      <c r="E3659" s="24">
        <v>10.92</v>
      </c>
      <c r="F3659" s="24">
        <v>0.9</v>
      </c>
    </row>
    <row r="3660" s="24" customFormat="1" spans="1:6">
      <c r="A3660" s="24" t="s">
        <v>140</v>
      </c>
      <c r="B3660" s="24" t="str">
        <f>"601515"</f>
        <v>601515</v>
      </c>
      <c r="C3660" s="24" t="s">
        <v>3851</v>
      </c>
      <c r="D3660" s="24" t="s">
        <v>214</v>
      </c>
      <c r="E3660" s="24">
        <v>10.88</v>
      </c>
      <c r="F3660" s="24">
        <v>2.22</v>
      </c>
    </row>
    <row r="3661" s="24" customFormat="1" spans="1:6">
      <c r="A3661" s="24" t="s">
        <v>140</v>
      </c>
      <c r="B3661" s="24" t="str">
        <f>"600697"</f>
        <v>600697</v>
      </c>
      <c r="C3661" s="24" t="s">
        <v>3852</v>
      </c>
      <c r="D3661" s="24" t="s">
        <v>148</v>
      </c>
      <c r="E3661" s="24">
        <v>10.86</v>
      </c>
      <c r="F3661" s="24">
        <v>0.98</v>
      </c>
    </row>
    <row r="3662" s="24" customFormat="1" spans="1:6">
      <c r="A3662" s="24" t="s">
        <v>140</v>
      </c>
      <c r="B3662" s="24" t="str">
        <f>"600317"</f>
        <v>600317</v>
      </c>
      <c r="C3662" s="24" t="s">
        <v>3853</v>
      </c>
      <c r="D3662" s="24" t="s">
        <v>1016</v>
      </c>
      <c r="E3662" s="24">
        <v>10.85</v>
      </c>
      <c r="F3662" s="24">
        <v>1.16</v>
      </c>
    </row>
    <row r="3663" s="24" customFormat="1" spans="1:6">
      <c r="A3663" s="24" t="s">
        <v>140</v>
      </c>
      <c r="B3663" s="24" t="str">
        <f>"600483"</f>
        <v>600483</v>
      </c>
      <c r="C3663" s="24" t="s">
        <v>3854</v>
      </c>
      <c r="D3663" s="24" t="s">
        <v>188</v>
      </c>
      <c r="E3663" s="24">
        <v>10.81</v>
      </c>
      <c r="F3663" s="24">
        <v>1.11</v>
      </c>
    </row>
    <row r="3664" s="24" customFormat="1" spans="1:6">
      <c r="A3664" s="24" t="s">
        <v>142</v>
      </c>
      <c r="B3664" s="24" t="str">
        <f>"002133"</f>
        <v>002133</v>
      </c>
      <c r="C3664" s="24" t="s">
        <v>3855</v>
      </c>
      <c r="D3664" s="24" t="s">
        <v>244</v>
      </c>
      <c r="E3664" s="24">
        <v>10.8</v>
      </c>
      <c r="F3664" s="24">
        <v>0.67</v>
      </c>
    </row>
    <row r="3665" s="24" customFormat="1" spans="1:6">
      <c r="A3665" s="24" t="s">
        <v>140</v>
      </c>
      <c r="B3665" s="24" t="str">
        <f>"600803"</f>
        <v>600803</v>
      </c>
      <c r="C3665" s="24" t="s">
        <v>3856</v>
      </c>
      <c r="D3665" s="24" t="s">
        <v>2551</v>
      </c>
      <c r="E3665" s="24">
        <v>10.78</v>
      </c>
      <c r="F3665" s="24">
        <v>1.31</v>
      </c>
    </row>
    <row r="3666" s="24" customFormat="1" spans="1:6">
      <c r="A3666" s="24" t="s">
        <v>142</v>
      </c>
      <c r="B3666" s="24" t="str">
        <f>"000528"</f>
        <v>000528</v>
      </c>
      <c r="C3666" s="24" t="s">
        <v>3857</v>
      </c>
      <c r="D3666" s="24" t="s">
        <v>173</v>
      </c>
      <c r="E3666" s="24">
        <v>10.78</v>
      </c>
      <c r="F3666" s="24">
        <v>0.92</v>
      </c>
    </row>
    <row r="3667" s="24" customFormat="1" spans="1:6">
      <c r="A3667" s="24" t="s">
        <v>140</v>
      </c>
      <c r="B3667" s="24" t="str">
        <f>"601717"</f>
        <v>601717</v>
      </c>
      <c r="C3667" s="24" t="s">
        <v>3858</v>
      </c>
      <c r="D3667" s="24" t="s">
        <v>173</v>
      </c>
      <c r="E3667" s="24">
        <v>10.78</v>
      </c>
      <c r="F3667" s="24">
        <v>0.92</v>
      </c>
    </row>
    <row r="3668" s="24" customFormat="1" spans="1:6">
      <c r="A3668" s="24" t="s">
        <v>140</v>
      </c>
      <c r="B3668" s="24" t="str">
        <f>"600655"</f>
        <v>600655</v>
      </c>
      <c r="C3668" s="24" t="s">
        <v>3859</v>
      </c>
      <c r="D3668" s="24" t="s">
        <v>207</v>
      </c>
      <c r="E3668" s="24">
        <v>10.78</v>
      </c>
      <c r="F3668" s="24">
        <v>1.01</v>
      </c>
    </row>
    <row r="3669" s="24" customFormat="1" spans="1:6">
      <c r="A3669" s="24" t="s">
        <v>140</v>
      </c>
      <c r="B3669" s="24" t="str">
        <f>"601298"</f>
        <v>601298</v>
      </c>
      <c r="C3669" s="24" t="s">
        <v>3860</v>
      </c>
      <c r="D3669" s="24" t="s">
        <v>1016</v>
      </c>
      <c r="E3669" s="24">
        <v>10.77</v>
      </c>
      <c r="F3669" s="24">
        <v>1.3</v>
      </c>
    </row>
    <row r="3670" s="24" customFormat="1" spans="1:6">
      <c r="A3670" s="24" t="s">
        <v>140</v>
      </c>
      <c r="B3670" s="24" t="str">
        <f>"603086"</f>
        <v>603086</v>
      </c>
      <c r="C3670" s="24" t="s">
        <v>3861</v>
      </c>
      <c r="D3670" s="24" t="s">
        <v>278</v>
      </c>
      <c r="E3670" s="24">
        <v>10.77</v>
      </c>
      <c r="F3670" s="24">
        <v>1.6</v>
      </c>
    </row>
    <row r="3671" s="24" customFormat="1" spans="1:6">
      <c r="A3671" s="24" t="s">
        <v>140</v>
      </c>
      <c r="B3671" s="24" t="str">
        <f>"601992"</f>
        <v>601992</v>
      </c>
      <c r="C3671" s="24" t="s">
        <v>3862</v>
      </c>
      <c r="D3671" s="24" t="s">
        <v>667</v>
      </c>
      <c r="E3671" s="24">
        <v>10.76</v>
      </c>
      <c r="F3671" s="24">
        <v>0.63</v>
      </c>
    </row>
    <row r="3672" s="24" customFormat="1" spans="1:6">
      <c r="A3672" s="24" t="s">
        <v>142</v>
      </c>
      <c r="B3672" s="24" t="str">
        <f>"200512"</f>
        <v>200512</v>
      </c>
      <c r="C3672" s="24" t="s">
        <v>3863</v>
      </c>
      <c r="D3672" s="24"/>
      <c r="E3672" s="24">
        <v>10.74</v>
      </c>
      <c r="F3672" s="24">
        <v>0.8</v>
      </c>
    </row>
    <row r="3673" s="24" customFormat="1" spans="1:6">
      <c r="A3673" s="24" t="s">
        <v>142</v>
      </c>
      <c r="B3673" s="24" t="str">
        <f>"000639"</f>
        <v>000639</v>
      </c>
      <c r="C3673" s="24" t="s">
        <v>3864</v>
      </c>
      <c r="D3673" s="24" t="s">
        <v>190</v>
      </c>
      <c r="E3673" s="24">
        <v>10.72</v>
      </c>
      <c r="F3673" s="24">
        <v>1.66</v>
      </c>
    </row>
    <row r="3674" s="24" customFormat="1" spans="1:6">
      <c r="A3674" s="24" t="s">
        <v>142</v>
      </c>
      <c r="B3674" s="24" t="str">
        <f>"002608"</f>
        <v>002608</v>
      </c>
      <c r="C3674" s="24" t="s">
        <v>3865</v>
      </c>
      <c r="D3674" s="24" t="s">
        <v>188</v>
      </c>
      <c r="E3674" s="24">
        <v>10.7</v>
      </c>
      <c r="F3674" s="24">
        <v>0.96</v>
      </c>
    </row>
    <row r="3675" s="24" customFormat="1" spans="1:6">
      <c r="A3675" s="24" t="s">
        <v>142</v>
      </c>
      <c r="B3675" s="24" t="str">
        <f>"002839"</f>
        <v>002839</v>
      </c>
      <c r="C3675" s="24" t="s">
        <v>3866</v>
      </c>
      <c r="D3675" s="24" t="s">
        <v>3755</v>
      </c>
      <c r="E3675" s="24">
        <v>10.67</v>
      </c>
      <c r="F3675" s="24">
        <v>0.96</v>
      </c>
    </row>
    <row r="3676" s="24" customFormat="1" spans="1:6">
      <c r="A3676" s="24" t="s">
        <v>140</v>
      </c>
      <c r="B3676" s="24" t="str">
        <f>"600901"</f>
        <v>600901</v>
      </c>
      <c r="C3676" s="24" t="s">
        <v>3867</v>
      </c>
      <c r="D3676" s="24" t="s">
        <v>280</v>
      </c>
      <c r="E3676" s="24">
        <v>10.67</v>
      </c>
      <c r="F3676" s="24">
        <v>1.37</v>
      </c>
    </row>
    <row r="3677" s="24" customFormat="1" spans="1:6">
      <c r="A3677" s="24" t="s">
        <v>140</v>
      </c>
      <c r="B3677" s="24" t="str">
        <f>"601107"</f>
        <v>601107</v>
      </c>
      <c r="C3677" s="24" t="s">
        <v>3868</v>
      </c>
      <c r="D3677" s="24" t="s">
        <v>1016</v>
      </c>
      <c r="E3677" s="24">
        <v>10.66</v>
      </c>
      <c r="F3677" s="24">
        <v>0.71</v>
      </c>
    </row>
    <row r="3678" s="24" customFormat="1" spans="1:6">
      <c r="A3678" s="24" t="s">
        <v>142</v>
      </c>
      <c r="B3678" s="24" t="str">
        <f>"002775"</f>
        <v>002775</v>
      </c>
      <c r="C3678" s="24" t="s">
        <v>3869</v>
      </c>
      <c r="D3678" s="24" t="s">
        <v>315</v>
      </c>
      <c r="E3678" s="24">
        <v>10.62</v>
      </c>
      <c r="F3678" s="24">
        <v>1.06</v>
      </c>
    </row>
    <row r="3679" s="24" customFormat="1" spans="1:6">
      <c r="A3679" s="24" t="s">
        <v>140</v>
      </c>
      <c r="B3679" s="24" t="str">
        <f>"600755"</f>
        <v>600755</v>
      </c>
      <c r="C3679" s="24" t="s">
        <v>3870</v>
      </c>
      <c r="D3679" s="24" t="s">
        <v>267</v>
      </c>
      <c r="E3679" s="24">
        <v>10.58</v>
      </c>
      <c r="F3679" s="24">
        <v>0.97</v>
      </c>
    </row>
    <row r="3680" s="24" customFormat="1" spans="1:6">
      <c r="A3680" s="24" t="s">
        <v>140</v>
      </c>
      <c r="B3680" s="24" t="str">
        <f>"600250"</f>
        <v>600250</v>
      </c>
      <c r="C3680" s="24" t="s">
        <v>3871</v>
      </c>
      <c r="D3680" s="24" t="s">
        <v>267</v>
      </c>
      <c r="E3680" s="24">
        <v>10.57</v>
      </c>
      <c r="F3680" s="24">
        <v>1.71</v>
      </c>
    </row>
    <row r="3681" s="24" customFormat="1" spans="1:6">
      <c r="A3681" s="24" t="s">
        <v>140</v>
      </c>
      <c r="B3681" s="24" t="str">
        <f>"600724"</f>
        <v>600724</v>
      </c>
      <c r="C3681" s="24" t="s">
        <v>3872</v>
      </c>
      <c r="D3681" s="24" t="s">
        <v>244</v>
      </c>
      <c r="E3681" s="24">
        <v>10.44</v>
      </c>
      <c r="F3681" s="24">
        <v>1.61</v>
      </c>
    </row>
    <row r="3682" s="24" customFormat="1" spans="1:6">
      <c r="A3682" s="24" t="s">
        <v>140</v>
      </c>
      <c r="B3682" s="24" t="str">
        <f>"600516"</f>
        <v>600516</v>
      </c>
      <c r="C3682" s="24" t="s">
        <v>3873</v>
      </c>
      <c r="D3682" s="24" t="s">
        <v>644</v>
      </c>
      <c r="E3682" s="24">
        <v>10.41</v>
      </c>
      <c r="F3682" s="24">
        <v>1.86</v>
      </c>
    </row>
    <row r="3683" s="24" customFormat="1" spans="1:6">
      <c r="A3683" s="24" t="s">
        <v>140</v>
      </c>
      <c r="B3683" s="24" t="str">
        <f>"601188"</f>
        <v>601188</v>
      </c>
      <c r="C3683" s="24" t="s">
        <v>3874</v>
      </c>
      <c r="D3683" s="24" t="s">
        <v>1016</v>
      </c>
      <c r="E3683" s="24">
        <v>10.39</v>
      </c>
      <c r="F3683" s="24">
        <v>0.79</v>
      </c>
    </row>
    <row r="3684" s="24" customFormat="1" spans="1:6">
      <c r="A3684" s="24" t="s">
        <v>140</v>
      </c>
      <c r="B3684" s="24" t="str">
        <f>"603980"</f>
        <v>603980</v>
      </c>
      <c r="C3684" s="24" t="s">
        <v>3875</v>
      </c>
      <c r="D3684" s="24" t="s">
        <v>228</v>
      </c>
      <c r="E3684" s="24">
        <v>10.37</v>
      </c>
      <c r="F3684" s="24">
        <v>1.11</v>
      </c>
    </row>
    <row r="3685" s="24" customFormat="1" spans="1:6">
      <c r="A3685" s="24" t="s">
        <v>142</v>
      </c>
      <c r="B3685" s="24" t="str">
        <f>"000581"</f>
        <v>000581</v>
      </c>
      <c r="C3685" s="24" t="s">
        <v>3876</v>
      </c>
      <c r="D3685" s="24" t="s">
        <v>204</v>
      </c>
      <c r="E3685" s="24">
        <v>10.35</v>
      </c>
      <c r="F3685" s="24">
        <v>1.09</v>
      </c>
    </row>
    <row r="3686" s="24" customFormat="1" spans="1:6">
      <c r="A3686" s="24" t="s">
        <v>142</v>
      </c>
      <c r="B3686" s="24" t="str">
        <f>"002051"</f>
        <v>002051</v>
      </c>
      <c r="C3686" s="24" t="s">
        <v>3877</v>
      </c>
      <c r="D3686" s="24" t="s">
        <v>315</v>
      </c>
      <c r="E3686" s="24">
        <v>10.31</v>
      </c>
      <c r="F3686" s="24">
        <v>1.01</v>
      </c>
    </row>
    <row r="3687" s="24" customFormat="1" spans="1:6">
      <c r="A3687" s="24" t="s">
        <v>140</v>
      </c>
      <c r="B3687" s="24" t="str">
        <f>"600039"</f>
        <v>600039</v>
      </c>
      <c r="C3687" s="24" t="s">
        <v>3878</v>
      </c>
      <c r="D3687" s="24" t="s">
        <v>315</v>
      </c>
      <c r="E3687" s="24">
        <v>10.29</v>
      </c>
      <c r="F3687" s="24">
        <v>0.82</v>
      </c>
    </row>
    <row r="3688" s="24" customFormat="1" spans="1:6">
      <c r="A3688" s="24" t="s">
        <v>142</v>
      </c>
      <c r="B3688" s="24" t="str">
        <f>"000719"</f>
        <v>000719</v>
      </c>
      <c r="C3688" s="24" t="s">
        <v>3879</v>
      </c>
      <c r="D3688" s="24" t="s">
        <v>170</v>
      </c>
      <c r="E3688" s="24">
        <v>10.29</v>
      </c>
      <c r="F3688" s="24">
        <v>0.96</v>
      </c>
    </row>
    <row r="3689" s="24" customFormat="1" spans="1:6">
      <c r="A3689" s="24" t="s">
        <v>142</v>
      </c>
      <c r="B3689" s="24" t="str">
        <f>"002061"</f>
        <v>002061</v>
      </c>
      <c r="C3689" s="24" t="s">
        <v>3880</v>
      </c>
      <c r="D3689" s="24" t="s">
        <v>315</v>
      </c>
      <c r="E3689" s="24">
        <v>10.27</v>
      </c>
      <c r="F3689" s="24">
        <v>0.93</v>
      </c>
    </row>
    <row r="3690" s="24" customFormat="1" spans="1:6">
      <c r="A3690" s="24" t="s">
        <v>142</v>
      </c>
      <c r="B3690" s="24" t="str">
        <f>"002233"</f>
        <v>002233</v>
      </c>
      <c r="C3690" s="24" t="s">
        <v>3881</v>
      </c>
      <c r="D3690" s="24" t="s">
        <v>667</v>
      </c>
      <c r="E3690" s="24">
        <v>10.25</v>
      </c>
      <c r="F3690" s="24">
        <v>1.47</v>
      </c>
    </row>
    <row r="3691" s="24" customFormat="1" spans="1:6">
      <c r="A3691" s="24" t="s">
        <v>140</v>
      </c>
      <c r="B3691" s="24" t="str">
        <f>"600308"</f>
        <v>600308</v>
      </c>
      <c r="C3691" s="24" t="s">
        <v>3882</v>
      </c>
      <c r="D3691" s="24" t="s">
        <v>509</v>
      </c>
      <c r="E3691" s="24">
        <v>10.23</v>
      </c>
      <c r="F3691" s="24">
        <v>0.64</v>
      </c>
    </row>
    <row r="3692" s="24" customFormat="1" spans="1:6">
      <c r="A3692" s="24" t="s">
        <v>140</v>
      </c>
      <c r="B3692" s="24" t="str">
        <f>"600352"</f>
        <v>600352</v>
      </c>
      <c r="C3692" s="24" t="s">
        <v>3883</v>
      </c>
      <c r="D3692" s="24" t="s">
        <v>228</v>
      </c>
      <c r="E3692" s="24">
        <v>10.2</v>
      </c>
      <c r="F3692" s="24">
        <v>1.74</v>
      </c>
    </row>
    <row r="3693" s="24" customFormat="1" spans="1:6">
      <c r="A3693" s="24" t="s">
        <v>142</v>
      </c>
      <c r="B3693" s="24" t="str">
        <f>"000001"</f>
        <v>000001</v>
      </c>
      <c r="C3693" s="24" t="s">
        <v>3884</v>
      </c>
      <c r="D3693" s="24" t="s">
        <v>3755</v>
      </c>
      <c r="E3693" s="24">
        <v>10.2</v>
      </c>
      <c r="F3693" s="24">
        <v>1.09</v>
      </c>
    </row>
    <row r="3694" s="24" customFormat="1" spans="1:6">
      <c r="A3694" s="24" t="s">
        <v>140</v>
      </c>
      <c r="B3694" s="24" t="str">
        <f>"600057"</f>
        <v>600057</v>
      </c>
      <c r="C3694" s="24" t="s">
        <v>3885</v>
      </c>
      <c r="D3694" s="24" t="s">
        <v>177</v>
      </c>
      <c r="E3694" s="24">
        <v>10.17</v>
      </c>
      <c r="F3694" s="24">
        <v>0.83</v>
      </c>
    </row>
    <row r="3695" s="24" customFormat="1" spans="1:6">
      <c r="A3695" s="24" t="s">
        <v>142</v>
      </c>
      <c r="B3695" s="24" t="str">
        <f>"000030"</f>
        <v>000030</v>
      </c>
      <c r="C3695" s="24" t="s">
        <v>3886</v>
      </c>
      <c r="D3695" s="24" t="s">
        <v>204</v>
      </c>
      <c r="E3695" s="24">
        <v>10.16</v>
      </c>
      <c r="F3695" s="24">
        <v>1.23</v>
      </c>
    </row>
    <row r="3696" s="24" customFormat="1" spans="1:6">
      <c r="A3696" s="24" t="s">
        <v>140</v>
      </c>
      <c r="B3696" s="24" t="str">
        <f>"600618"</f>
        <v>600618</v>
      </c>
      <c r="C3696" s="24" t="s">
        <v>3887</v>
      </c>
      <c r="D3696" s="24" t="s">
        <v>256</v>
      </c>
      <c r="E3696" s="24">
        <v>10.11</v>
      </c>
      <c r="F3696" s="24">
        <v>2.26</v>
      </c>
    </row>
    <row r="3697" s="24" customFormat="1" spans="1:6">
      <c r="A3697" s="24" t="s">
        <v>142</v>
      </c>
      <c r="B3697" s="24" t="str">
        <f>"000726"</f>
        <v>000726</v>
      </c>
      <c r="C3697" s="24" t="s">
        <v>3888</v>
      </c>
      <c r="D3697" s="24" t="s">
        <v>253</v>
      </c>
      <c r="E3697" s="24">
        <v>10.04</v>
      </c>
      <c r="F3697" s="24">
        <v>1.05</v>
      </c>
    </row>
    <row r="3698" s="24" customFormat="1" spans="1:6">
      <c r="A3698" s="24" t="s">
        <v>142</v>
      </c>
      <c r="B3698" s="24" t="str">
        <f>"002440"</f>
        <v>002440</v>
      </c>
      <c r="C3698" s="24" t="s">
        <v>3889</v>
      </c>
      <c r="D3698" s="24" t="s">
        <v>228</v>
      </c>
      <c r="E3698" s="24">
        <v>10.04</v>
      </c>
      <c r="F3698" s="24">
        <v>1.38</v>
      </c>
    </row>
    <row r="3699" s="24" customFormat="1" spans="1:6">
      <c r="A3699" s="24" t="s">
        <v>142</v>
      </c>
      <c r="B3699" s="24" t="str">
        <f>"002081"</f>
        <v>002081</v>
      </c>
      <c r="C3699" s="24" t="s">
        <v>3890</v>
      </c>
      <c r="D3699" s="24" t="s">
        <v>315</v>
      </c>
      <c r="E3699" s="24">
        <v>10.03</v>
      </c>
      <c r="F3699" s="24">
        <v>1.58</v>
      </c>
    </row>
    <row r="3700" s="24" customFormat="1" spans="1:6">
      <c r="A3700" s="24" t="s">
        <v>140</v>
      </c>
      <c r="B3700" s="24" t="str">
        <f>"600603"</f>
        <v>600603</v>
      </c>
      <c r="C3700" s="24" t="s">
        <v>3891</v>
      </c>
      <c r="D3700" s="24" t="s">
        <v>623</v>
      </c>
      <c r="E3700" s="24">
        <v>9.99</v>
      </c>
      <c r="F3700" s="24">
        <v>1.01</v>
      </c>
    </row>
    <row r="3701" s="24" customFormat="1" spans="1:6">
      <c r="A3701" s="24" t="s">
        <v>140</v>
      </c>
      <c r="B3701" s="24" t="str">
        <f>"601318"</f>
        <v>601318</v>
      </c>
      <c r="C3701" s="24" t="s">
        <v>116</v>
      </c>
      <c r="D3701" s="24" t="s">
        <v>575</v>
      </c>
      <c r="E3701" s="24">
        <v>9.96</v>
      </c>
      <c r="F3701" s="24">
        <v>2.37</v>
      </c>
    </row>
    <row r="3702" s="24" customFormat="1" spans="1:6">
      <c r="A3702" s="24" t="s">
        <v>140</v>
      </c>
      <c r="B3702" s="24" t="str">
        <f>"600170"</f>
        <v>600170</v>
      </c>
      <c r="C3702" s="24" t="s">
        <v>3892</v>
      </c>
      <c r="D3702" s="24" t="s">
        <v>315</v>
      </c>
      <c r="E3702" s="24">
        <v>9.93</v>
      </c>
      <c r="F3702" s="24">
        <v>1.08</v>
      </c>
    </row>
    <row r="3703" s="24" customFormat="1" spans="1:6">
      <c r="A3703" s="24" t="s">
        <v>142</v>
      </c>
      <c r="B3703" s="24" t="str">
        <f>"002392"</f>
        <v>002392</v>
      </c>
      <c r="C3703" s="24" t="s">
        <v>3893</v>
      </c>
      <c r="D3703" s="24" t="s">
        <v>644</v>
      </c>
      <c r="E3703" s="24">
        <v>9.93</v>
      </c>
      <c r="F3703" s="24">
        <v>1.12</v>
      </c>
    </row>
    <row r="3704" s="24" customFormat="1" spans="1:6">
      <c r="A3704" s="24" t="s">
        <v>142</v>
      </c>
      <c r="B3704" s="24" t="str">
        <f>"002087"</f>
        <v>002087</v>
      </c>
      <c r="C3704" s="24" t="s">
        <v>3894</v>
      </c>
      <c r="D3704" s="24" t="s">
        <v>253</v>
      </c>
      <c r="E3704" s="24">
        <v>9.92</v>
      </c>
      <c r="F3704" s="24">
        <v>0.68</v>
      </c>
    </row>
    <row r="3705" s="24" customFormat="1" spans="1:6">
      <c r="A3705" s="24" t="s">
        <v>140</v>
      </c>
      <c r="B3705" s="24" t="str">
        <f>"600036"</f>
        <v>600036</v>
      </c>
      <c r="C3705" s="24" t="s">
        <v>3895</v>
      </c>
      <c r="D3705" s="24" t="s">
        <v>3755</v>
      </c>
      <c r="E3705" s="24">
        <v>9.9</v>
      </c>
      <c r="F3705" s="24">
        <v>1.61</v>
      </c>
    </row>
    <row r="3706" s="24" customFormat="1" spans="1:6">
      <c r="A3706" s="24" t="s">
        <v>140</v>
      </c>
      <c r="B3706" s="24" t="str">
        <f>"600033"</f>
        <v>600033</v>
      </c>
      <c r="C3706" s="24" t="s">
        <v>3896</v>
      </c>
      <c r="D3706" s="24" t="s">
        <v>1016</v>
      </c>
      <c r="E3706" s="24">
        <v>9.88</v>
      </c>
      <c r="F3706" s="24">
        <v>0.81</v>
      </c>
    </row>
    <row r="3707" s="24" customFormat="1" spans="1:6">
      <c r="A3707" s="24" t="s">
        <v>140</v>
      </c>
      <c r="B3707" s="24" t="str">
        <f>"600995"</f>
        <v>600995</v>
      </c>
      <c r="C3707" s="24" t="s">
        <v>3897</v>
      </c>
      <c r="D3707" s="24" t="s">
        <v>188</v>
      </c>
      <c r="E3707" s="24">
        <v>9.85</v>
      </c>
      <c r="F3707" s="24">
        <v>1.52</v>
      </c>
    </row>
    <row r="3708" s="24" customFormat="1" spans="1:6">
      <c r="A3708" s="24" t="s">
        <v>140</v>
      </c>
      <c r="B3708" s="24" t="str">
        <f>"600987"</f>
        <v>600987</v>
      </c>
      <c r="C3708" s="24" t="s">
        <v>3898</v>
      </c>
      <c r="D3708" s="24" t="s">
        <v>253</v>
      </c>
      <c r="E3708" s="24">
        <v>9.82</v>
      </c>
      <c r="F3708" s="24">
        <v>1.39</v>
      </c>
    </row>
    <row r="3709" s="24" customFormat="1" spans="1:6">
      <c r="A3709" s="24" t="s">
        <v>142</v>
      </c>
      <c r="B3709" s="24" t="str">
        <f>"000059"</f>
        <v>000059</v>
      </c>
      <c r="C3709" s="24" t="s">
        <v>3899</v>
      </c>
      <c r="D3709" s="24" t="s">
        <v>246</v>
      </c>
      <c r="E3709" s="24">
        <v>9.8</v>
      </c>
      <c r="F3709" s="24">
        <v>0.63</v>
      </c>
    </row>
    <row r="3710" s="24" customFormat="1" spans="1:6">
      <c r="A3710" s="24" t="s">
        <v>140</v>
      </c>
      <c r="B3710" s="24" t="str">
        <f>"600398"</f>
        <v>600398</v>
      </c>
      <c r="C3710" s="24" t="s">
        <v>3900</v>
      </c>
      <c r="D3710" s="24" t="s">
        <v>161</v>
      </c>
      <c r="E3710" s="24">
        <v>9.72</v>
      </c>
      <c r="F3710" s="24">
        <v>2.63</v>
      </c>
    </row>
    <row r="3711" s="24" customFormat="1" spans="1:6">
      <c r="A3711" s="24" t="s">
        <v>140</v>
      </c>
      <c r="B3711" s="24" t="str">
        <f>"600104"</f>
        <v>600104</v>
      </c>
      <c r="C3711" s="24" t="s">
        <v>3901</v>
      </c>
      <c r="D3711" s="24" t="s">
        <v>175</v>
      </c>
      <c r="E3711" s="24">
        <v>9.72</v>
      </c>
      <c r="F3711" s="24">
        <v>1.04</v>
      </c>
    </row>
    <row r="3712" s="24" customFormat="1" spans="1:6">
      <c r="A3712" s="24" t="s">
        <v>142</v>
      </c>
      <c r="B3712" s="24" t="str">
        <f>"200869"</f>
        <v>200869</v>
      </c>
      <c r="C3712" s="24" t="s">
        <v>3902</v>
      </c>
      <c r="D3712" s="24"/>
      <c r="E3712" s="24">
        <v>9.7</v>
      </c>
      <c r="F3712" s="24">
        <v>0.92</v>
      </c>
    </row>
    <row r="3713" s="24" customFormat="1" spans="1:6">
      <c r="A3713" s="24" t="s">
        <v>140</v>
      </c>
      <c r="B3713" s="24" t="str">
        <f>"603030"</f>
        <v>603030</v>
      </c>
      <c r="C3713" s="24" t="s">
        <v>3903</v>
      </c>
      <c r="D3713" s="24" t="s">
        <v>315</v>
      </c>
      <c r="E3713" s="24">
        <v>9.67</v>
      </c>
      <c r="F3713" s="24">
        <v>1.52</v>
      </c>
    </row>
    <row r="3714" s="24" customFormat="1" spans="1:6">
      <c r="A3714" s="24" t="s">
        <v>142</v>
      </c>
      <c r="B3714" s="24" t="str">
        <f>"000791"</f>
        <v>000791</v>
      </c>
      <c r="C3714" s="24" t="s">
        <v>3904</v>
      </c>
      <c r="D3714" s="24" t="s">
        <v>188</v>
      </c>
      <c r="E3714" s="24">
        <v>9.61</v>
      </c>
      <c r="F3714" s="24">
        <v>0.69</v>
      </c>
    </row>
    <row r="3715" s="24" customFormat="1" spans="1:6">
      <c r="A3715" s="24" t="s">
        <v>140</v>
      </c>
      <c r="B3715" s="24" t="str">
        <f>"600548"</f>
        <v>600548</v>
      </c>
      <c r="C3715" s="24" t="s">
        <v>3905</v>
      </c>
      <c r="D3715" s="24" t="s">
        <v>1016</v>
      </c>
      <c r="E3715" s="24">
        <v>9.6</v>
      </c>
      <c r="F3715" s="24">
        <v>1.23</v>
      </c>
    </row>
    <row r="3716" s="24" customFormat="1" spans="1:6">
      <c r="A3716" s="24" t="s">
        <v>140</v>
      </c>
      <c r="B3716" s="24" t="str">
        <f>"601155"</f>
        <v>601155</v>
      </c>
      <c r="C3716" s="24" t="s">
        <v>3906</v>
      </c>
      <c r="D3716" s="24" t="s">
        <v>244</v>
      </c>
      <c r="E3716" s="24">
        <v>9.59</v>
      </c>
      <c r="F3716" s="24">
        <v>2.64</v>
      </c>
    </row>
    <row r="3717" s="24" customFormat="1" spans="1:6">
      <c r="A3717" s="24" t="s">
        <v>142</v>
      </c>
      <c r="B3717" s="24" t="str">
        <f>"000910"</f>
        <v>000910</v>
      </c>
      <c r="C3717" s="24" t="s">
        <v>3907</v>
      </c>
      <c r="D3717" s="24" t="s">
        <v>509</v>
      </c>
      <c r="E3717" s="24">
        <v>9.58</v>
      </c>
      <c r="F3717" s="24">
        <v>1.57</v>
      </c>
    </row>
    <row r="3718" s="24" customFormat="1" spans="1:6">
      <c r="A3718" s="24" t="s">
        <v>140</v>
      </c>
      <c r="B3718" s="24" t="str">
        <f>"601001"</f>
        <v>601001</v>
      </c>
      <c r="C3718" s="24" t="s">
        <v>3908</v>
      </c>
      <c r="D3718" s="24" t="s">
        <v>401</v>
      </c>
      <c r="E3718" s="24">
        <v>9.53</v>
      </c>
      <c r="F3718" s="24">
        <v>0.99</v>
      </c>
    </row>
    <row r="3719" s="24" customFormat="1" spans="1:6">
      <c r="A3719" s="24" t="s">
        <v>142</v>
      </c>
      <c r="B3719" s="24" t="str">
        <f>"000922"</f>
        <v>000922</v>
      </c>
      <c r="C3719" s="24" t="s">
        <v>3909</v>
      </c>
      <c r="D3719" s="24" t="s">
        <v>251</v>
      </c>
      <c r="E3719" s="24">
        <v>9.51</v>
      </c>
      <c r="F3719" s="24">
        <v>1.7</v>
      </c>
    </row>
    <row r="3720" s="24" customFormat="1" spans="1:6">
      <c r="A3720" s="24" t="s">
        <v>142</v>
      </c>
      <c r="B3720" s="24" t="str">
        <f>"000065"</f>
        <v>000065</v>
      </c>
      <c r="C3720" s="24" t="s">
        <v>3910</v>
      </c>
      <c r="D3720" s="24" t="s">
        <v>315</v>
      </c>
      <c r="E3720" s="24">
        <v>9.49</v>
      </c>
      <c r="F3720" s="24">
        <v>1.25</v>
      </c>
    </row>
    <row r="3721" s="24" customFormat="1" spans="1:6">
      <c r="A3721" s="24" t="s">
        <v>142</v>
      </c>
      <c r="B3721" s="24" t="str">
        <f>"000413"</f>
        <v>000413</v>
      </c>
      <c r="C3721" s="24" t="s">
        <v>3911</v>
      </c>
      <c r="D3721" s="24" t="s">
        <v>197</v>
      </c>
      <c r="E3721" s="24">
        <v>9.46</v>
      </c>
      <c r="F3721" s="24">
        <v>0.54</v>
      </c>
    </row>
    <row r="3722" s="24" customFormat="1" spans="1:6">
      <c r="A3722" s="24" t="s">
        <v>140</v>
      </c>
      <c r="B3722" s="24" t="str">
        <f>"600307"</f>
        <v>600307</v>
      </c>
      <c r="C3722" s="24" t="s">
        <v>3912</v>
      </c>
      <c r="D3722" s="24" t="s">
        <v>258</v>
      </c>
      <c r="E3722" s="24">
        <v>9.46</v>
      </c>
      <c r="F3722" s="24">
        <v>0.94</v>
      </c>
    </row>
    <row r="3723" s="24" customFormat="1" spans="1:6">
      <c r="A3723" s="24" t="s">
        <v>142</v>
      </c>
      <c r="B3723" s="24" t="str">
        <f>"002807"</f>
        <v>002807</v>
      </c>
      <c r="C3723" s="24" t="s">
        <v>3913</v>
      </c>
      <c r="D3723" s="24" t="s">
        <v>3755</v>
      </c>
      <c r="E3723" s="24">
        <v>9.4</v>
      </c>
      <c r="F3723" s="24">
        <v>0.83</v>
      </c>
    </row>
    <row r="3724" s="24" customFormat="1" spans="1:6">
      <c r="A3724" s="24" t="s">
        <v>140</v>
      </c>
      <c r="B3724" s="24" t="str">
        <f>"600693"</f>
        <v>600693</v>
      </c>
      <c r="C3724" s="24" t="s">
        <v>3914</v>
      </c>
      <c r="D3724" s="24" t="s">
        <v>148</v>
      </c>
      <c r="E3724" s="24">
        <v>9.4</v>
      </c>
      <c r="F3724" s="24">
        <v>1.86</v>
      </c>
    </row>
    <row r="3725" s="24" customFormat="1" spans="1:6">
      <c r="A3725" s="24" t="s">
        <v>142</v>
      </c>
      <c r="B3725" s="24" t="str">
        <f>"000667"</f>
        <v>000667</v>
      </c>
      <c r="C3725" s="24" t="s">
        <v>3915</v>
      </c>
      <c r="D3725" s="24" t="s">
        <v>244</v>
      </c>
      <c r="E3725" s="24">
        <v>9.37</v>
      </c>
      <c r="F3725" s="24">
        <v>0.93</v>
      </c>
    </row>
    <row r="3726" s="24" customFormat="1" spans="1:6">
      <c r="A3726" s="24" t="s">
        <v>142</v>
      </c>
      <c r="B3726" s="24" t="str">
        <f>"002244"</f>
        <v>002244</v>
      </c>
      <c r="C3726" s="24" t="s">
        <v>3916</v>
      </c>
      <c r="D3726" s="24" t="s">
        <v>244</v>
      </c>
      <c r="E3726" s="24">
        <v>9.36</v>
      </c>
      <c r="F3726" s="24">
        <v>0.82</v>
      </c>
    </row>
    <row r="3727" s="24" customFormat="1" spans="1:6">
      <c r="A3727" s="24" t="s">
        <v>140</v>
      </c>
      <c r="B3727" s="24" t="str">
        <f>"600681"</f>
        <v>600681</v>
      </c>
      <c r="C3727" s="24" t="s">
        <v>3917</v>
      </c>
      <c r="D3727" s="24" t="s">
        <v>195</v>
      </c>
      <c r="E3727" s="24">
        <v>9.3</v>
      </c>
      <c r="F3727" s="24">
        <v>2.58</v>
      </c>
    </row>
    <row r="3728" s="24" customFormat="1" spans="1:6">
      <c r="A3728" s="24" t="s">
        <v>140</v>
      </c>
      <c r="B3728" s="24" t="str">
        <f>"900925"</f>
        <v>900925</v>
      </c>
      <c r="C3728" s="24" t="s">
        <v>3918</v>
      </c>
      <c r="D3728" s="24"/>
      <c r="E3728" s="24">
        <v>9.29</v>
      </c>
      <c r="F3728" s="24">
        <v>0.85</v>
      </c>
    </row>
    <row r="3729" s="24" customFormat="1" spans="1:6">
      <c r="A3729" s="24" t="s">
        <v>142</v>
      </c>
      <c r="B3729" s="24" t="str">
        <f>"000620"</f>
        <v>000620</v>
      </c>
      <c r="C3729" s="24" t="s">
        <v>3919</v>
      </c>
      <c r="D3729" s="24" t="s">
        <v>244</v>
      </c>
      <c r="E3729" s="24">
        <v>9.27</v>
      </c>
      <c r="F3729" s="24">
        <v>0.95</v>
      </c>
    </row>
    <row r="3730" s="24" customFormat="1" spans="1:6">
      <c r="A3730" s="24" t="s">
        <v>142</v>
      </c>
      <c r="B3730" s="24" t="str">
        <f>"002394"</f>
        <v>002394</v>
      </c>
      <c r="C3730" s="24" t="s">
        <v>3920</v>
      </c>
      <c r="D3730" s="24" t="s">
        <v>253</v>
      </c>
      <c r="E3730" s="24">
        <v>9.27</v>
      </c>
      <c r="F3730" s="24">
        <v>0.91</v>
      </c>
    </row>
    <row r="3731" s="24" customFormat="1" spans="1:6">
      <c r="A3731" s="24" t="s">
        <v>140</v>
      </c>
      <c r="B3731" s="24" t="str">
        <f>"900905"</f>
        <v>900905</v>
      </c>
      <c r="C3731" s="24" t="s">
        <v>3921</v>
      </c>
      <c r="D3731" s="24"/>
      <c r="E3731" s="24">
        <v>9.23</v>
      </c>
      <c r="F3731" s="24">
        <v>1.72</v>
      </c>
    </row>
    <row r="3732" s="24" customFormat="1" spans="1:6">
      <c r="A3732" s="24" t="s">
        <v>140</v>
      </c>
      <c r="B3732" s="24" t="str">
        <f>"603323"</f>
        <v>603323</v>
      </c>
      <c r="C3732" s="24" t="s">
        <v>3922</v>
      </c>
      <c r="D3732" s="24" t="s">
        <v>3755</v>
      </c>
      <c r="E3732" s="24">
        <v>9.21</v>
      </c>
      <c r="F3732" s="24">
        <v>0.74</v>
      </c>
    </row>
    <row r="3733" s="24" customFormat="1" spans="1:6">
      <c r="A3733" s="24" t="s">
        <v>140</v>
      </c>
      <c r="B3733" s="24" t="str">
        <f>"600076"</f>
        <v>600076</v>
      </c>
      <c r="C3733" s="24" t="s">
        <v>3923</v>
      </c>
      <c r="D3733" s="24" t="s">
        <v>509</v>
      </c>
      <c r="E3733" s="24">
        <v>9.17</v>
      </c>
      <c r="F3733" s="24">
        <v>1.01</v>
      </c>
    </row>
    <row r="3734" s="24" customFormat="1" spans="1:6">
      <c r="A3734" s="24" t="s">
        <v>140</v>
      </c>
      <c r="B3734" s="24" t="str">
        <f>"601669"</f>
        <v>601669</v>
      </c>
      <c r="C3734" s="24" t="s">
        <v>3924</v>
      </c>
      <c r="D3734" s="24" t="s">
        <v>315</v>
      </c>
      <c r="E3734" s="24">
        <v>9.07</v>
      </c>
      <c r="F3734" s="24">
        <v>0.72</v>
      </c>
    </row>
    <row r="3735" s="24" customFormat="1" spans="1:6">
      <c r="A3735" s="24" t="s">
        <v>140</v>
      </c>
      <c r="B3735" s="24" t="str">
        <f>"600382"</f>
        <v>600382</v>
      </c>
      <c r="C3735" s="24" t="s">
        <v>3925</v>
      </c>
      <c r="D3735" s="24" t="s">
        <v>267</v>
      </c>
      <c r="E3735" s="24">
        <v>9.05</v>
      </c>
      <c r="F3735" s="24">
        <v>0.65</v>
      </c>
    </row>
    <row r="3736" s="24" customFormat="1" spans="1:6">
      <c r="A3736" s="24" t="s">
        <v>140</v>
      </c>
      <c r="B3736" s="24" t="str">
        <f>"603458"</f>
        <v>603458</v>
      </c>
      <c r="C3736" s="24" t="s">
        <v>3926</v>
      </c>
      <c r="D3736" s="24" t="s">
        <v>214</v>
      </c>
      <c r="E3736" s="24">
        <v>9.04</v>
      </c>
      <c r="F3736" s="24">
        <v>1.32</v>
      </c>
    </row>
    <row r="3737" s="24" customFormat="1" spans="1:6">
      <c r="A3737" s="24" t="s">
        <v>140</v>
      </c>
      <c r="B3737" s="24" t="str">
        <f>"600395"</f>
        <v>600395</v>
      </c>
      <c r="C3737" s="24" t="s">
        <v>3927</v>
      </c>
      <c r="D3737" s="24" t="s">
        <v>401</v>
      </c>
      <c r="E3737" s="24">
        <v>9.03</v>
      </c>
      <c r="F3737" s="24">
        <v>1.31</v>
      </c>
    </row>
    <row r="3738" s="24" customFormat="1" spans="1:6">
      <c r="A3738" s="24" t="s">
        <v>140</v>
      </c>
      <c r="B3738" s="24" t="str">
        <f>"603766"</f>
        <v>603766</v>
      </c>
      <c r="C3738" s="24" t="s">
        <v>3928</v>
      </c>
      <c r="D3738" s="24" t="s">
        <v>175</v>
      </c>
      <c r="E3738" s="24">
        <v>9.02</v>
      </c>
      <c r="F3738" s="24">
        <v>1.23</v>
      </c>
    </row>
    <row r="3739" s="24" customFormat="1" spans="1:6">
      <c r="A3739" s="24" t="s">
        <v>140</v>
      </c>
      <c r="B3739" s="24" t="str">
        <f>"600569"</f>
        <v>600569</v>
      </c>
      <c r="C3739" s="24" t="s">
        <v>3929</v>
      </c>
      <c r="D3739" s="24" t="s">
        <v>258</v>
      </c>
      <c r="E3739" s="24">
        <v>9.01</v>
      </c>
      <c r="F3739" s="24">
        <v>0.66</v>
      </c>
    </row>
    <row r="3740" s="24" customFormat="1" spans="1:6">
      <c r="A3740" s="24" t="s">
        <v>140</v>
      </c>
      <c r="B3740" s="24" t="str">
        <f>"600665"</f>
        <v>600665</v>
      </c>
      <c r="C3740" s="24" t="s">
        <v>3930</v>
      </c>
      <c r="D3740" s="24" t="s">
        <v>244</v>
      </c>
      <c r="E3740" s="24">
        <v>9</v>
      </c>
      <c r="F3740" s="24">
        <v>0.8</v>
      </c>
    </row>
    <row r="3741" s="24" customFormat="1" spans="1:6">
      <c r="A3741" s="24" t="s">
        <v>140</v>
      </c>
      <c r="B3741" s="24" t="str">
        <f>"600208"</f>
        <v>600208</v>
      </c>
      <c r="C3741" s="24" t="s">
        <v>3931</v>
      </c>
      <c r="D3741" s="24" t="s">
        <v>244</v>
      </c>
      <c r="E3741" s="24">
        <v>8.97</v>
      </c>
      <c r="F3741" s="24">
        <v>0.83</v>
      </c>
    </row>
    <row r="3742" s="24" customFormat="1" spans="1:6">
      <c r="A3742" s="24" t="s">
        <v>142</v>
      </c>
      <c r="B3742" s="24" t="str">
        <f>"000002"</f>
        <v>000002</v>
      </c>
      <c r="C3742" s="24" t="s">
        <v>3932</v>
      </c>
      <c r="D3742" s="24" t="s">
        <v>244</v>
      </c>
      <c r="E3742" s="24">
        <v>8.97</v>
      </c>
      <c r="F3742" s="24">
        <v>2.03</v>
      </c>
    </row>
    <row r="3743" s="24" customFormat="1" spans="1:6">
      <c r="A3743" s="24" t="s">
        <v>140</v>
      </c>
      <c r="B3743" s="24" t="str">
        <f>"600682"</f>
        <v>600682</v>
      </c>
      <c r="C3743" s="24" t="s">
        <v>3933</v>
      </c>
      <c r="D3743" s="24" t="s">
        <v>148</v>
      </c>
      <c r="E3743" s="24">
        <v>8.95</v>
      </c>
      <c r="F3743" s="24">
        <v>1.36</v>
      </c>
    </row>
    <row r="3744" s="24" customFormat="1" spans="1:6">
      <c r="A3744" s="24" t="s">
        <v>142</v>
      </c>
      <c r="B3744" s="24" t="str">
        <f>"002458"</f>
        <v>002458</v>
      </c>
      <c r="C3744" s="24" t="s">
        <v>3934</v>
      </c>
      <c r="D3744" s="24" t="s">
        <v>145</v>
      </c>
      <c r="E3744" s="24">
        <v>8.95</v>
      </c>
      <c r="F3744" s="24">
        <v>5.3</v>
      </c>
    </row>
    <row r="3745" s="24" customFormat="1" spans="1:6">
      <c r="A3745" s="24" t="s">
        <v>140</v>
      </c>
      <c r="B3745" s="24" t="str">
        <f>"600295"</f>
        <v>600295</v>
      </c>
      <c r="C3745" s="24" t="s">
        <v>3935</v>
      </c>
      <c r="D3745" s="24" t="s">
        <v>167</v>
      </c>
      <c r="E3745" s="24">
        <v>8.91</v>
      </c>
      <c r="F3745" s="24">
        <v>0.98</v>
      </c>
    </row>
    <row r="3746" s="24" customFormat="1" spans="1:6">
      <c r="A3746" s="24" t="s">
        <v>142</v>
      </c>
      <c r="B3746" s="24" t="str">
        <f>"000966"</f>
        <v>000966</v>
      </c>
      <c r="C3746" s="24" t="s">
        <v>3936</v>
      </c>
      <c r="D3746" s="24" t="s">
        <v>188</v>
      </c>
      <c r="E3746" s="24">
        <v>8.89</v>
      </c>
      <c r="F3746" s="24">
        <v>1.18</v>
      </c>
    </row>
    <row r="3747" s="24" customFormat="1" spans="1:6">
      <c r="A3747" s="24" t="s">
        <v>142</v>
      </c>
      <c r="B3747" s="24" t="str">
        <f>"000401"</f>
        <v>000401</v>
      </c>
      <c r="C3747" s="24" t="s">
        <v>3937</v>
      </c>
      <c r="D3747" s="24" t="s">
        <v>667</v>
      </c>
      <c r="E3747" s="24">
        <v>8.85</v>
      </c>
      <c r="F3747" s="24">
        <v>1.77</v>
      </c>
    </row>
    <row r="3748" s="24" customFormat="1" spans="1:6">
      <c r="A3748" s="24" t="s">
        <v>142</v>
      </c>
      <c r="B3748" s="24" t="str">
        <f>"200028"</f>
        <v>200028</v>
      </c>
      <c r="C3748" s="24" t="s">
        <v>3938</v>
      </c>
      <c r="D3748" s="24"/>
      <c r="E3748" s="24">
        <v>8.83</v>
      </c>
      <c r="F3748" s="24">
        <v>0.93</v>
      </c>
    </row>
    <row r="3749" s="24" customFormat="1" spans="1:6">
      <c r="A3749" s="24" t="s">
        <v>142</v>
      </c>
      <c r="B3749" s="24" t="str">
        <f>"002948"</f>
        <v>002948</v>
      </c>
      <c r="C3749" s="24" t="s">
        <v>3939</v>
      </c>
      <c r="D3749" s="24" t="s">
        <v>3755</v>
      </c>
      <c r="E3749" s="24">
        <v>8.72</v>
      </c>
      <c r="F3749" s="24">
        <v>1.09</v>
      </c>
    </row>
    <row r="3750" s="24" customFormat="1" spans="1:6">
      <c r="A3750" s="24" t="s">
        <v>140</v>
      </c>
      <c r="B3750" s="24" t="str">
        <f>"600368"</f>
        <v>600368</v>
      </c>
      <c r="C3750" s="24" t="s">
        <v>3940</v>
      </c>
      <c r="D3750" s="24" t="s">
        <v>540</v>
      </c>
      <c r="E3750" s="24">
        <v>8.72</v>
      </c>
      <c r="F3750" s="24">
        <v>1.03</v>
      </c>
    </row>
    <row r="3751" s="24" customFormat="1" spans="1:6">
      <c r="A3751" s="24" t="s">
        <v>140</v>
      </c>
      <c r="B3751" s="24" t="str">
        <f>"600533"</f>
        <v>600533</v>
      </c>
      <c r="C3751" s="24" t="s">
        <v>3941</v>
      </c>
      <c r="D3751" s="24" t="s">
        <v>244</v>
      </c>
      <c r="E3751" s="24">
        <v>8.72</v>
      </c>
      <c r="F3751" s="24">
        <v>0.79</v>
      </c>
    </row>
    <row r="3752" s="24" customFormat="1" spans="1:6">
      <c r="A3752" s="24" t="s">
        <v>142</v>
      </c>
      <c r="B3752" s="24" t="str">
        <f>"000036"</f>
        <v>000036</v>
      </c>
      <c r="C3752" s="24" t="s">
        <v>3942</v>
      </c>
      <c r="D3752" s="24" t="s">
        <v>244</v>
      </c>
      <c r="E3752" s="24">
        <v>8.7</v>
      </c>
      <c r="F3752" s="24">
        <v>1.17</v>
      </c>
    </row>
    <row r="3753" s="24" customFormat="1" spans="1:6">
      <c r="A3753" s="24" t="s">
        <v>140</v>
      </c>
      <c r="B3753" s="24" t="str">
        <f>"600350"</f>
        <v>600350</v>
      </c>
      <c r="C3753" s="24" t="s">
        <v>3943</v>
      </c>
      <c r="D3753" s="24" t="s">
        <v>1016</v>
      </c>
      <c r="E3753" s="24">
        <v>8.68</v>
      </c>
      <c r="F3753" s="24">
        <v>0.73</v>
      </c>
    </row>
    <row r="3754" s="24" customFormat="1" spans="1:6">
      <c r="A3754" s="24" t="s">
        <v>140</v>
      </c>
      <c r="B3754" s="24" t="str">
        <f>"600720"</f>
        <v>600720</v>
      </c>
      <c r="C3754" s="24" t="s">
        <v>3944</v>
      </c>
      <c r="D3754" s="24" t="s">
        <v>667</v>
      </c>
      <c r="E3754" s="24">
        <v>8.67</v>
      </c>
      <c r="F3754" s="24">
        <v>1.41</v>
      </c>
    </row>
    <row r="3755" s="24" customFormat="1" spans="1:6">
      <c r="A3755" s="24" t="s">
        <v>142</v>
      </c>
      <c r="B3755" s="24" t="str">
        <f>"000011"</f>
        <v>000011</v>
      </c>
      <c r="C3755" s="24" t="s">
        <v>3945</v>
      </c>
      <c r="D3755" s="24" t="s">
        <v>244</v>
      </c>
      <c r="E3755" s="24">
        <v>8.67</v>
      </c>
      <c r="F3755" s="24">
        <v>1.46</v>
      </c>
    </row>
    <row r="3756" s="24" customFormat="1" spans="1:6">
      <c r="A3756" s="24" t="s">
        <v>140</v>
      </c>
      <c r="B3756" s="24" t="str">
        <f>"600048"</f>
        <v>600048</v>
      </c>
      <c r="C3756" s="24" t="s">
        <v>3946</v>
      </c>
      <c r="D3756" s="24" t="s">
        <v>244</v>
      </c>
      <c r="E3756" s="24">
        <v>8.6</v>
      </c>
      <c r="F3756" s="24">
        <v>1.51</v>
      </c>
    </row>
    <row r="3757" s="24" customFormat="1" spans="1:6">
      <c r="A3757" s="24" t="s">
        <v>140</v>
      </c>
      <c r="B3757" s="24" t="str">
        <f>"600585"</f>
        <v>600585</v>
      </c>
      <c r="C3757" s="24" t="s">
        <v>3947</v>
      </c>
      <c r="D3757" s="24" t="s">
        <v>667</v>
      </c>
      <c r="E3757" s="24">
        <v>8.51</v>
      </c>
      <c r="F3757" s="24">
        <v>2.19</v>
      </c>
    </row>
    <row r="3758" s="24" customFormat="1" spans="1:6">
      <c r="A3758" s="24" t="s">
        <v>140</v>
      </c>
      <c r="B3758" s="24" t="str">
        <f>"600820"</f>
        <v>600820</v>
      </c>
      <c r="C3758" s="24" t="s">
        <v>3948</v>
      </c>
      <c r="D3758" s="24" t="s">
        <v>315</v>
      </c>
      <c r="E3758" s="24">
        <v>8.5</v>
      </c>
      <c r="F3758" s="24">
        <v>0.8</v>
      </c>
    </row>
    <row r="3759" s="24" customFormat="1" spans="1:6">
      <c r="A3759" s="24" t="s">
        <v>142</v>
      </c>
      <c r="B3759" s="24" t="str">
        <f>"000683"</f>
        <v>000683</v>
      </c>
      <c r="C3759" s="24" t="s">
        <v>3949</v>
      </c>
      <c r="D3759" s="24" t="s">
        <v>256</v>
      </c>
      <c r="E3759" s="24">
        <v>8.49</v>
      </c>
      <c r="F3759" s="24">
        <v>0.81</v>
      </c>
    </row>
    <row r="3760" s="24" customFormat="1" spans="1:6">
      <c r="A3760" s="24" t="s">
        <v>142</v>
      </c>
      <c r="B3760" s="24" t="str">
        <f>"002478"</f>
        <v>002478</v>
      </c>
      <c r="C3760" s="24" t="s">
        <v>3950</v>
      </c>
      <c r="D3760" s="24" t="s">
        <v>258</v>
      </c>
      <c r="E3760" s="24">
        <v>8.47</v>
      </c>
      <c r="F3760" s="24">
        <v>1.36</v>
      </c>
    </row>
    <row r="3761" s="24" customFormat="1" spans="1:6">
      <c r="A3761" s="24" t="s">
        <v>140</v>
      </c>
      <c r="B3761" s="24" t="str">
        <f>"600266"</f>
        <v>600266</v>
      </c>
      <c r="C3761" s="24" t="s">
        <v>3951</v>
      </c>
      <c r="D3761" s="24" t="s">
        <v>244</v>
      </c>
      <c r="E3761" s="24">
        <v>8.46</v>
      </c>
      <c r="F3761" s="24">
        <v>0.65</v>
      </c>
    </row>
    <row r="3762" s="24" customFormat="1" spans="1:6">
      <c r="A3762" s="24" t="s">
        <v>140</v>
      </c>
      <c r="B3762" s="24" t="str">
        <f>"601618"</f>
        <v>601618</v>
      </c>
      <c r="C3762" s="24" t="s">
        <v>3952</v>
      </c>
      <c r="D3762" s="24" t="s">
        <v>315</v>
      </c>
      <c r="E3762" s="24">
        <v>8.41</v>
      </c>
      <c r="F3762" s="24">
        <v>0.74</v>
      </c>
    </row>
    <row r="3763" s="24" customFormat="1" spans="1:6">
      <c r="A3763" s="24" t="s">
        <v>140</v>
      </c>
      <c r="B3763" s="24" t="str">
        <f>"601666"</f>
        <v>601666</v>
      </c>
      <c r="C3763" s="24" t="s">
        <v>3953</v>
      </c>
      <c r="D3763" s="24" t="s">
        <v>401</v>
      </c>
      <c r="E3763" s="24">
        <v>8.41</v>
      </c>
      <c r="F3763" s="24">
        <v>0.64</v>
      </c>
    </row>
    <row r="3764" s="24" customFormat="1" spans="1:6">
      <c r="A3764" s="24" t="s">
        <v>142</v>
      </c>
      <c r="B3764" s="24" t="str">
        <f>"000830"</f>
        <v>000830</v>
      </c>
      <c r="C3764" s="24" t="s">
        <v>3954</v>
      </c>
      <c r="D3764" s="24" t="s">
        <v>278</v>
      </c>
      <c r="E3764" s="24">
        <v>8.4</v>
      </c>
      <c r="F3764" s="24">
        <v>1.34</v>
      </c>
    </row>
    <row r="3765" s="24" customFormat="1" spans="1:6">
      <c r="A3765" s="24" t="s">
        <v>140</v>
      </c>
      <c r="B3765" s="24" t="str">
        <f>"600668"</f>
        <v>600668</v>
      </c>
      <c r="C3765" s="24" t="s">
        <v>3955</v>
      </c>
      <c r="D3765" s="24" t="s">
        <v>667</v>
      </c>
      <c r="E3765" s="24">
        <v>8.36</v>
      </c>
      <c r="F3765" s="24">
        <v>1.39</v>
      </c>
    </row>
    <row r="3766" s="24" customFormat="1" spans="1:6">
      <c r="A3766" s="24" t="s">
        <v>140</v>
      </c>
      <c r="B3766" s="24" t="str">
        <f>"600810"</f>
        <v>600810</v>
      </c>
      <c r="C3766" s="24" t="s">
        <v>3956</v>
      </c>
      <c r="D3766" s="24" t="s">
        <v>302</v>
      </c>
      <c r="E3766" s="24">
        <v>8.35</v>
      </c>
      <c r="F3766" s="24">
        <v>1.14</v>
      </c>
    </row>
    <row r="3767" s="24" customFormat="1" spans="1:6">
      <c r="A3767" s="24" t="s">
        <v>140</v>
      </c>
      <c r="B3767" s="24" t="str">
        <f>"600064"</f>
        <v>600064</v>
      </c>
      <c r="C3767" s="24" t="s">
        <v>3957</v>
      </c>
      <c r="D3767" s="24" t="s">
        <v>244</v>
      </c>
      <c r="E3767" s="24">
        <v>8.35</v>
      </c>
      <c r="F3767" s="24">
        <v>0.96</v>
      </c>
    </row>
    <row r="3768" s="24" customFormat="1" spans="1:6">
      <c r="A3768" s="24" t="s">
        <v>142</v>
      </c>
      <c r="B3768" s="24" t="str">
        <f>"200429"</f>
        <v>200429</v>
      </c>
      <c r="C3768" s="24" t="s">
        <v>3958</v>
      </c>
      <c r="D3768" s="24"/>
      <c r="E3768" s="24">
        <v>8.32</v>
      </c>
      <c r="F3768" s="24">
        <v>1.15</v>
      </c>
    </row>
    <row r="3769" s="24" customFormat="1" spans="1:6">
      <c r="A3769" s="24" t="s">
        <v>142</v>
      </c>
      <c r="B3769" s="24" t="str">
        <f>"000629"</f>
        <v>000629</v>
      </c>
      <c r="C3769" s="24" t="s">
        <v>3959</v>
      </c>
      <c r="D3769" s="24" t="s">
        <v>167</v>
      </c>
      <c r="E3769" s="24">
        <v>8.27</v>
      </c>
      <c r="F3769" s="24">
        <v>2.11</v>
      </c>
    </row>
    <row r="3770" s="24" customFormat="1" spans="1:6">
      <c r="A3770" s="24" t="s">
        <v>140</v>
      </c>
      <c r="B3770" s="24" t="str">
        <f>"600743"</f>
        <v>600743</v>
      </c>
      <c r="C3770" s="24" t="s">
        <v>3960</v>
      </c>
      <c r="D3770" s="24" t="s">
        <v>244</v>
      </c>
      <c r="E3770" s="24">
        <v>8.24</v>
      </c>
      <c r="F3770" s="24">
        <v>0.65</v>
      </c>
    </row>
    <row r="3771" s="24" customFormat="1" spans="1:6">
      <c r="A3771" s="24" t="s">
        <v>142</v>
      </c>
      <c r="B3771" s="24" t="str">
        <f>"000778"</f>
        <v>000778</v>
      </c>
      <c r="C3771" s="24" t="s">
        <v>3961</v>
      </c>
      <c r="D3771" s="24" t="s">
        <v>258</v>
      </c>
      <c r="E3771" s="24">
        <v>8.18</v>
      </c>
      <c r="F3771" s="24">
        <v>0.67</v>
      </c>
    </row>
    <row r="3772" s="24" customFormat="1" spans="1:6">
      <c r="A3772" s="24" t="s">
        <v>140</v>
      </c>
      <c r="B3772" s="24" t="str">
        <f>"600177"</f>
        <v>600177</v>
      </c>
      <c r="C3772" s="24" t="s">
        <v>3962</v>
      </c>
      <c r="D3772" s="24" t="s">
        <v>244</v>
      </c>
      <c r="E3772" s="24">
        <v>8.17</v>
      </c>
      <c r="F3772" s="24">
        <v>1.25</v>
      </c>
    </row>
    <row r="3773" s="24" customFormat="1" spans="1:6">
      <c r="A3773" s="24" t="s">
        <v>142</v>
      </c>
      <c r="B3773" s="24" t="str">
        <f>"002277"</f>
        <v>002277</v>
      </c>
      <c r="C3773" s="24" t="s">
        <v>3963</v>
      </c>
      <c r="D3773" s="24" t="s">
        <v>148</v>
      </c>
      <c r="E3773" s="24">
        <v>8.17</v>
      </c>
      <c r="F3773" s="24">
        <v>0.67</v>
      </c>
    </row>
    <row r="3774" s="24" customFormat="1" spans="1:6">
      <c r="A3774" s="24" t="s">
        <v>142</v>
      </c>
      <c r="B3774" s="24" t="str">
        <f>"002746"</f>
        <v>002746</v>
      </c>
      <c r="C3774" s="24" t="s">
        <v>3964</v>
      </c>
      <c r="D3774" s="24" t="s">
        <v>145</v>
      </c>
      <c r="E3774" s="24">
        <v>8.17</v>
      </c>
      <c r="F3774" s="24">
        <v>2.16</v>
      </c>
    </row>
    <row r="3775" s="24" customFormat="1" spans="1:6">
      <c r="A3775" s="24" t="s">
        <v>140</v>
      </c>
      <c r="B3775" s="24" t="str">
        <f>"600019"</f>
        <v>600019</v>
      </c>
      <c r="C3775" s="24" t="s">
        <v>3965</v>
      </c>
      <c r="D3775" s="24" t="s">
        <v>258</v>
      </c>
      <c r="E3775" s="24">
        <v>8.16</v>
      </c>
      <c r="F3775" s="24">
        <v>0.67</v>
      </c>
    </row>
    <row r="3776" s="24" customFormat="1" spans="1:6">
      <c r="A3776" s="24" t="s">
        <v>142</v>
      </c>
      <c r="B3776" s="24" t="str">
        <f>"000983"</f>
        <v>000983</v>
      </c>
      <c r="C3776" s="24" t="s">
        <v>3966</v>
      </c>
      <c r="D3776" s="24" t="s">
        <v>401</v>
      </c>
      <c r="E3776" s="24">
        <v>8.16</v>
      </c>
      <c r="F3776" s="24">
        <v>0.82</v>
      </c>
    </row>
    <row r="3777" s="24" customFormat="1" spans="1:6">
      <c r="A3777" s="24" t="s">
        <v>140</v>
      </c>
      <c r="B3777" s="24" t="str">
        <f>"600012"</f>
        <v>600012</v>
      </c>
      <c r="C3777" s="24" t="s">
        <v>3967</v>
      </c>
      <c r="D3777" s="24" t="s">
        <v>1016</v>
      </c>
      <c r="E3777" s="24">
        <v>8.15</v>
      </c>
      <c r="F3777" s="24">
        <v>0.87</v>
      </c>
    </row>
    <row r="3778" s="24" customFormat="1" spans="1:6">
      <c r="A3778" s="24" t="s">
        <v>142</v>
      </c>
      <c r="B3778" s="24" t="str">
        <f>"002062"</f>
        <v>002062</v>
      </c>
      <c r="C3778" s="24" t="s">
        <v>3968</v>
      </c>
      <c r="D3778" s="24" t="s">
        <v>315</v>
      </c>
      <c r="E3778" s="24">
        <v>8.15</v>
      </c>
      <c r="F3778" s="24">
        <v>1.16</v>
      </c>
    </row>
    <row r="3779" s="24" customFormat="1" spans="1:6">
      <c r="A3779" s="24" t="s">
        <v>140</v>
      </c>
      <c r="B3779" s="24" t="str">
        <f>"601658"</f>
        <v>601658</v>
      </c>
      <c r="C3779" s="24" t="s">
        <v>3969</v>
      </c>
      <c r="D3779" s="24" t="s">
        <v>3755</v>
      </c>
      <c r="E3779" s="24">
        <v>8.11</v>
      </c>
      <c r="F3779" s="24">
        <v>0.97</v>
      </c>
    </row>
    <row r="3780" s="24" customFormat="1" spans="1:6">
      <c r="A3780" s="24" t="s">
        <v>140</v>
      </c>
      <c r="B3780" s="24" t="str">
        <f>"603113"</f>
        <v>603113</v>
      </c>
      <c r="C3780" s="24" t="s">
        <v>3970</v>
      </c>
      <c r="D3780" s="24" t="s">
        <v>401</v>
      </c>
      <c r="E3780" s="24">
        <v>8.09</v>
      </c>
      <c r="F3780" s="24">
        <v>1.24</v>
      </c>
    </row>
    <row r="3781" s="24" customFormat="1" spans="1:6">
      <c r="A3781" s="24" t="s">
        <v>140</v>
      </c>
      <c r="B3781" s="24" t="str">
        <f>"600383"</f>
        <v>600383</v>
      </c>
      <c r="C3781" s="24" t="s">
        <v>3971</v>
      </c>
      <c r="D3781" s="24" t="s">
        <v>244</v>
      </c>
      <c r="E3781" s="24">
        <v>8.06</v>
      </c>
      <c r="F3781" s="24">
        <v>1.19</v>
      </c>
    </row>
    <row r="3782" s="24" customFormat="1" spans="1:6">
      <c r="A3782" s="24" t="s">
        <v>140</v>
      </c>
      <c r="B3782" s="24" t="str">
        <f>"600067"</f>
        <v>600067</v>
      </c>
      <c r="C3782" s="24" t="s">
        <v>3972</v>
      </c>
      <c r="D3782" s="24" t="s">
        <v>244</v>
      </c>
      <c r="E3782" s="24">
        <v>8.05</v>
      </c>
      <c r="F3782" s="24">
        <v>0.73</v>
      </c>
    </row>
    <row r="3783" s="24" customFormat="1" spans="1:6">
      <c r="A3783" s="24" t="s">
        <v>142</v>
      </c>
      <c r="B3783" s="24" t="str">
        <f>"200761"</f>
        <v>200761</v>
      </c>
      <c r="C3783" s="24" t="s">
        <v>3973</v>
      </c>
      <c r="D3783" s="24"/>
      <c r="E3783" s="24">
        <v>8.01</v>
      </c>
      <c r="F3783" s="24">
        <v>0.33</v>
      </c>
    </row>
    <row r="3784" s="24" customFormat="1" spans="1:6">
      <c r="A3784" s="24" t="s">
        <v>142</v>
      </c>
      <c r="B3784" s="24" t="str">
        <f>"002299"</f>
        <v>002299</v>
      </c>
      <c r="C3784" s="24" t="s">
        <v>3974</v>
      </c>
      <c r="D3784" s="24" t="s">
        <v>145</v>
      </c>
      <c r="E3784" s="24">
        <v>8.01</v>
      </c>
      <c r="F3784" s="24">
        <v>3.73</v>
      </c>
    </row>
    <row r="3785" s="24" customFormat="1" spans="1:6">
      <c r="A3785" s="24" t="s">
        <v>142</v>
      </c>
      <c r="B3785" s="24" t="str">
        <f>"000828"</f>
        <v>000828</v>
      </c>
      <c r="C3785" s="24" t="s">
        <v>3975</v>
      </c>
      <c r="D3785" s="24" t="s">
        <v>1016</v>
      </c>
      <c r="E3785" s="24">
        <v>8.01</v>
      </c>
      <c r="F3785" s="24">
        <v>1.1</v>
      </c>
    </row>
    <row r="3786" s="24" customFormat="1" spans="1:6">
      <c r="A3786" s="24" t="s">
        <v>140</v>
      </c>
      <c r="B3786" s="24" t="str">
        <f>"600565"</f>
        <v>600565</v>
      </c>
      <c r="C3786" s="24" t="s">
        <v>3976</v>
      </c>
      <c r="D3786" s="24" t="s">
        <v>244</v>
      </c>
      <c r="E3786" s="24">
        <v>7.96</v>
      </c>
      <c r="F3786" s="24">
        <v>0.89</v>
      </c>
    </row>
    <row r="3787" s="24" customFormat="1" spans="1:6">
      <c r="A3787" s="24" t="s">
        <v>140</v>
      </c>
      <c r="B3787" s="24" t="str">
        <f>"600020"</f>
        <v>600020</v>
      </c>
      <c r="C3787" s="24" t="s">
        <v>3977</v>
      </c>
      <c r="D3787" s="24" t="s">
        <v>1016</v>
      </c>
      <c r="E3787" s="24">
        <v>7.89</v>
      </c>
      <c r="F3787" s="24">
        <v>0.86</v>
      </c>
    </row>
    <row r="3788" s="24" customFormat="1" spans="1:6">
      <c r="A3788" s="24" t="s">
        <v>140</v>
      </c>
      <c r="B3788" s="24" t="str">
        <f>"600622"</f>
        <v>600622</v>
      </c>
      <c r="C3788" s="24" t="s">
        <v>3978</v>
      </c>
      <c r="D3788" s="24" t="s">
        <v>244</v>
      </c>
      <c r="E3788" s="24">
        <v>7.87</v>
      </c>
      <c r="F3788" s="24">
        <v>1.09</v>
      </c>
    </row>
    <row r="3789" s="24" customFormat="1" spans="1:6">
      <c r="A3789" s="24" t="s">
        <v>142</v>
      </c>
      <c r="B3789" s="24" t="str">
        <f>"000671"</f>
        <v>000671</v>
      </c>
      <c r="C3789" s="24" t="s">
        <v>3979</v>
      </c>
      <c r="D3789" s="24" t="s">
        <v>244</v>
      </c>
      <c r="E3789" s="24">
        <v>7.86</v>
      </c>
      <c r="F3789" s="24">
        <v>1.47</v>
      </c>
    </row>
    <row r="3790" s="24" customFormat="1" spans="1:6">
      <c r="A3790" s="24" t="s">
        <v>142</v>
      </c>
      <c r="B3790" s="24" t="str">
        <f>"000718"</f>
        <v>000718</v>
      </c>
      <c r="C3790" s="24" t="s">
        <v>3980</v>
      </c>
      <c r="D3790" s="24" t="s">
        <v>244</v>
      </c>
      <c r="E3790" s="24">
        <v>7.83</v>
      </c>
      <c r="F3790" s="24">
        <v>1.23</v>
      </c>
    </row>
    <row r="3791" s="24" customFormat="1" spans="1:6">
      <c r="A3791" s="24" t="s">
        <v>140</v>
      </c>
      <c r="B3791" s="24" t="str">
        <f>"600675"</f>
        <v>600675</v>
      </c>
      <c r="C3791" s="24" t="s">
        <v>3981</v>
      </c>
      <c r="D3791" s="24" t="s">
        <v>244</v>
      </c>
      <c r="E3791" s="24">
        <v>7.82</v>
      </c>
      <c r="F3791" s="24">
        <v>1.76</v>
      </c>
    </row>
    <row r="3792" s="24" customFormat="1" spans="1:6">
      <c r="A3792" s="24" t="s">
        <v>140</v>
      </c>
      <c r="B3792" s="24" t="str">
        <f>"600567"</f>
        <v>600567</v>
      </c>
      <c r="C3792" s="24" t="s">
        <v>3982</v>
      </c>
      <c r="D3792" s="24" t="s">
        <v>509</v>
      </c>
      <c r="E3792" s="24">
        <v>7.8</v>
      </c>
      <c r="F3792" s="24">
        <v>1.36</v>
      </c>
    </row>
    <row r="3793" s="24" customFormat="1" spans="1:6">
      <c r="A3793" s="24" t="s">
        <v>140</v>
      </c>
      <c r="B3793" s="24" t="str">
        <f>"600708"</f>
        <v>600708</v>
      </c>
      <c r="C3793" s="24" t="s">
        <v>3983</v>
      </c>
      <c r="D3793" s="24" t="s">
        <v>244</v>
      </c>
      <c r="E3793" s="24">
        <v>7.78</v>
      </c>
      <c r="F3793" s="24">
        <v>0.59</v>
      </c>
    </row>
    <row r="3794" s="24" customFormat="1" spans="1:6">
      <c r="A3794" s="24" t="s">
        <v>140</v>
      </c>
      <c r="B3794" s="24" t="str">
        <f>"600740"</f>
        <v>600740</v>
      </c>
      <c r="C3794" s="24" t="s">
        <v>3984</v>
      </c>
      <c r="D3794" s="24" t="s">
        <v>401</v>
      </c>
      <c r="E3794" s="24">
        <v>7.72</v>
      </c>
      <c r="F3794" s="24">
        <v>0.85</v>
      </c>
    </row>
    <row r="3795" s="24" customFormat="1" spans="1:6">
      <c r="A3795" s="24" t="s">
        <v>140</v>
      </c>
      <c r="B3795" s="24" t="str">
        <f>"600908"</f>
        <v>600908</v>
      </c>
      <c r="C3795" s="24" t="s">
        <v>3985</v>
      </c>
      <c r="D3795" s="24" t="s">
        <v>3755</v>
      </c>
      <c r="E3795" s="24">
        <v>7.66</v>
      </c>
      <c r="F3795" s="24">
        <v>0.86</v>
      </c>
    </row>
    <row r="3796" s="24" customFormat="1" spans="1:6">
      <c r="A3796" s="24" t="s">
        <v>142</v>
      </c>
      <c r="B3796" s="24" t="str">
        <f>"000006"</f>
        <v>000006</v>
      </c>
      <c r="C3796" s="24" t="s">
        <v>3986</v>
      </c>
      <c r="D3796" s="24" t="s">
        <v>244</v>
      </c>
      <c r="E3796" s="24">
        <v>7.65</v>
      </c>
      <c r="F3796" s="24">
        <v>0.99</v>
      </c>
    </row>
    <row r="3797" s="24" customFormat="1" spans="1:6">
      <c r="A3797" s="24" t="s">
        <v>142</v>
      </c>
      <c r="B3797" s="24" t="str">
        <f>"300107"</f>
        <v>300107</v>
      </c>
      <c r="C3797" s="24" t="s">
        <v>3987</v>
      </c>
      <c r="D3797" s="24" t="s">
        <v>256</v>
      </c>
      <c r="E3797" s="24">
        <v>7.63</v>
      </c>
      <c r="F3797" s="24">
        <v>1.99</v>
      </c>
    </row>
    <row r="3798" s="24" customFormat="1" spans="1:6">
      <c r="A3798" s="24" t="s">
        <v>140</v>
      </c>
      <c r="B3798" s="24" t="str">
        <f>"601000"</f>
        <v>601000</v>
      </c>
      <c r="C3798" s="24" t="s">
        <v>3988</v>
      </c>
      <c r="D3798" s="24" t="s">
        <v>1016</v>
      </c>
      <c r="E3798" s="24">
        <v>7.63</v>
      </c>
      <c r="F3798" s="24">
        <v>0.81</v>
      </c>
    </row>
    <row r="3799" s="24" customFormat="1" spans="1:6">
      <c r="A3799" s="24" t="s">
        <v>142</v>
      </c>
      <c r="B3799" s="24" t="str">
        <f>"002936"</f>
        <v>002936</v>
      </c>
      <c r="C3799" s="24" t="s">
        <v>3989</v>
      </c>
      <c r="D3799" s="24" t="s">
        <v>3755</v>
      </c>
      <c r="E3799" s="24">
        <v>7.62</v>
      </c>
      <c r="F3799" s="24">
        <v>0.77</v>
      </c>
    </row>
    <row r="3800" s="24" customFormat="1" spans="1:6">
      <c r="A3800" s="24" t="s">
        <v>140</v>
      </c>
      <c r="B3800" s="24" t="str">
        <f>"600449"</f>
        <v>600449</v>
      </c>
      <c r="C3800" s="24" t="s">
        <v>3990</v>
      </c>
      <c r="D3800" s="24" t="s">
        <v>667</v>
      </c>
      <c r="E3800" s="24">
        <v>7.6</v>
      </c>
      <c r="F3800" s="24">
        <v>0.89</v>
      </c>
    </row>
    <row r="3801" s="24" customFormat="1" spans="1:6">
      <c r="A3801" s="24" t="s">
        <v>140</v>
      </c>
      <c r="B3801" s="24" t="str">
        <f>"900911"</f>
        <v>900911</v>
      </c>
      <c r="C3801" s="24" t="s">
        <v>3991</v>
      </c>
      <c r="D3801" s="24"/>
      <c r="E3801" s="24">
        <v>7.59</v>
      </c>
      <c r="F3801" s="24">
        <v>0.75</v>
      </c>
    </row>
    <row r="3802" s="24" customFormat="1" spans="1:6">
      <c r="A3802" s="24" t="s">
        <v>142</v>
      </c>
      <c r="B3802" s="24" t="str">
        <f>"000498"</f>
        <v>000498</v>
      </c>
      <c r="C3802" s="24" t="s">
        <v>3992</v>
      </c>
      <c r="D3802" s="24" t="s">
        <v>315</v>
      </c>
      <c r="E3802" s="24">
        <v>7.55</v>
      </c>
      <c r="F3802" s="24">
        <v>0.88</v>
      </c>
    </row>
    <row r="3803" s="24" customFormat="1" spans="1:6">
      <c r="A3803" s="24" t="s">
        <v>142</v>
      </c>
      <c r="B3803" s="24" t="str">
        <f>"200992"</f>
        <v>200992</v>
      </c>
      <c r="C3803" s="24" t="s">
        <v>3993</v>
      </c>
      <c r="D3803" s="24"/>
      <c r="E3803" s="24">
        <v>7.51</v>
      </c>
      <c r="F3803" s="24">
        <v>0.8</v>
      </c>
    </row>
    <row r="3804" s="24" customFormat="1" spans="1:6">
      <c r="A3804" s="24" t="s">
        <v>142</v>
      </c>
      <c r="B3804" s="24" t="str">
        <f>"000885"</f>
        <v>000885</v>
      </c>
      <c r="C3804" s="24" t="s">
        <v>3994</v>
      </c>
      <c r="D3804" s="24" t="s">
        <v>667</v>
      </c>
      <c r="E3804" s="24">
        <v>7.5</v>
      </c>
      <c r="F3804" s="24">
        <v>1.84</v>
      </c>
    </row>
    <row r="3805" s="24" customFormat="1" spans="1:6">
      <c r="A3805" s="24" t="s">
        <v>140</v>
      </c>
      <c r="B3805" s="24" t="str">
        <f>"600694"</f>
        <v>600694</v>
      </c>
      <c r="C3805" s="24" t="s">
        <v>3995</v>
      </c>
      <c r="D3805" s="24" t="s">
        <v>148</v>
      </c>
      <c r="E3805" s="24">
        <v>7.47</v>
      </c>
      <c r="F3805" s="24">
        <v>0.8</v>
      </c>
    </row>
    <row r="3806" s="24" customFormat="1" spans="1:6">
      <c r="A3806" s="24" t="s">
        <v>140</v>
      </c>
      <c r="B3806" s="24" t="str">
        <f>"601699"</f>
        <v>601699</v>
      </c>
      <c r="C3806" s="24" t="s">
        <v>3996</v>
      </c>
      <c r="D3806" s="24" t="s">
        <v>401</v>
      </c>
      <c r="E3806" s="24">
        <v>7.47</v>
      </c>
      <c r="F3806" s="24">
        <v>0.72</v>
      </c>
    </row>
    <row r="3807" s="24" customFormat="1" spans="1:6">
      <c r="A3807" s="24" t="s">
        <v>140</v>
      </c>
      <c r="B3807" s="24" t="str">
        <f>"601006"</f>
        <v>601006</v>
      </c>
      <c r="C3807" s="24" t="s">
        <v>3997</v>
      </c>
      <c r="D3807" s="24" t="s">
        <v>540</v>
      </c>
      <c r="E3807" s="24">
        <v>7.46</v>
      </c>
      <c r="F3807" s="24">
        <v>0.98</v>
      </c>
    </row>
    <row r="3808" s="24" customFormat="1" spans="1:6">
      <c r="A3808" s="24" t="s">
        <v>142</v>
      </c>
      <c r="B3808" s="24" t="str">
        <f>"000501"</f>
        <v>000501</v>
      </c>
      <c r="C3808" s="24" t="s">
        <v>3998</v>
      </c>
      <c r="D3808" s="24" t="s">
        <v>148</v>
      </c>
      <c r="E3808" s="24">
        <v>7.44</v>
      </c>
      <c r="F3808" s="24">
        <v>0.92</v>
      </c>
    </row>
    <row r="3809" s="24" customFormat="1" spans="1:6">
      <c r="A3809" s="24" t="s">
        <v>142</v>
      </c>
      <c r="B3809" s="24" t="str">
        <f>"000573"</f>
        <v>000573</v>
      </c>
      <c r="C3809" s="24" t="s">
        <v>3999</v>
      </c>
      <c r="D3809" s="24" t="s">
        <v>244</v>
      </c>
      <c r="E3809" s="24">
        <v>7.42</v>
      </c>
      <c r="F3809" s="24">
        <v>1.04</v>
      </c>
    </row>
    <row r="3810" s="24" customFormat="1" spans="1:6">
      <c r="A3810" s="24" t="s">
        <v>142</v>
      </c>
      <c r="B3810" s="24" t="str">
        <f>"000825"</f>
        <v>000825</v>
      </c>
      <c r="C3810" s="24" t="s">
        <v>4000</v>
      </c>
      <c r="D3810" s="24" t="s">
        <v>258</v>
      </c>
      <c r="E3810" s="24">
        <v>7.39</v>
      </c>
      <c r="F3810" s="24">
        <v>0.63</v>
      </c>
    </row>
    <row r="3811" s="24" customFormat="1" spans="1:6">
      <c r="A3811" s="24" t="s">
        <v>140</v>
      </c>
      <c r="B3811" s="24" t="str">
        <f>"600970"</f>
        <v>600970</v>
      </c>
      <c r="C3811" s="24" t="s">
        <v>4001</v>
      </c>
      <c r="D3811" s="24" t="s">
        <v>173</v>
      </c>
      <c r="E3811" s="24">
        <v>7.37</v>
      </c>
      <c r="F3811" s="24">
        <v>1.17</v>
      </c>
    </row>
    <row r="3812" s="24" customFormat="1" spans="1:6">
      <c r="A3812" s="24" t="s">
        <v>140</v>
      </c>
      <c r="B3812" s="24" t="str">
        <f>"600823"</f>
        <v>600823</v>
      </c>
      <c r="C3812" s="24" t="s">
        <v>4002</v>
      </c>
      <c r="D3812" s="24" t="s">
        <v>244</v>
      </c>
      <c r="E3812" s="24">
        <v>7.33</v>
      </c>
      <c r="F3812" s="24">
        <v>0.63</v>
      </c>
    </row>
    <row r="3813" s="24" customFormat="1" spans="1:6">
      <c r="A3813" s="24" t="s">
        <v>142</v>
      </c>
      <c r="B3813" s="24" t="str">
        <f>"200726"</f>
        <v>200726</v>
      </c>
      <c r="C3813" s="24" t="s">
        <v>4003</v>
      </c>
      <c r="D3813" s="24"/>
      <c r="E3813" s="24">
        <v>7.32</v>
      </c>
      <c r="F3813" s="24">
        <v>0.77</v>
      </c>
    </row>
    <row r="3814" s="24" customFormat="1" spans="1:6">
      <c r="A3814" s="24" t="s">
        <v>140</v>
      </c>
      <c r="B3814" s="24" t="str">
        <f>"601225"</f>
        <v>601225</v>
      </c>
      <c r="C3814" s="24" t="s">
        <v>4004</v>
      </c>
      <c r="D3814" s="24" t="s">
        <v>401</v>
      </c>
      <c r="E3814" s="24">
        <v>7.32</v>
      </c>
      <c r="F3814" s="24">
        <v>1.44</v>
      </c>
    </row>
    <row r="3815" s="24" customFormat="1" spans="1:6">
      <c r="A3815" s="24" t="s">
        <v>140</v>
      </c>
      <c r="B3815" s="24" t="str">
        <f>"600801"</f>
        <v>600801</v>
      </c>
      <c r="C3815" s="24" t="s">
        <v>4005</v>
      </c>
      <c r="D3815" s="24" t="s">
        <v>667</v>
      </c>
      <c r="E3815" s="24">
        <v>7.3</v>
      </c>
      <c r="F3815" s="24">
        <v>2.47</v>
      </c>
    </row>
    <row r="3816" s="24" customFormat="1" spans="1:6">
      <c r="A3816" s="24" t="s">
        <v>140</v>
      </c>
      <c r="B3816" s="24" t="str">
        <f>"601800"</f>
        <v>601800</v>
      </c>
      <c r="C3816" s="24" t="s">
        <v>4006</v>
      </c>
      <c r="D3816" s="24" t="s">
        <v>315</v>
      </c>
      <c r="E3816" s="24">
        <v>7.28</v>
      </c>
      <c r="F3816" s="24">
        <v>0.7</v>
      </c>
    </row>
    <row r="3817" s="24" customFormat="1" spans="1:6">
      <c r="A3817" s="24" t="s">
        <v>142</v>
      </c>
      <c r="B3817" s="24" t="str">
        <f>"000672"</f>
        <v>000672</v>
      </c>
      <c r="C3817" s="24" t="s">
        <v>4007</v>
      </c>
      <c r="D3817" s="24" t="s">
        <v>667</v>
      </c>
      <c r="E3817" s="24">
        <v>7.27</v>
      </c>
      <c r="F3817" s="24">
        <v>3.25</v>
      </c>
    </row>
    <row r="3818" s="24" customFormat="1" spans="1:6">
      <c r="A3818" s="24" t="s">
        <v>140</v>
      </c>
      <c r="B3818" s="24" t="str">
        <f>"600507"</f>
        <v>600507</v>
      </c>
      <c r="C3818" s="24" t="s">
        <v>4008</v>
      </c>
      <c r="D3818" s="24" t="s">
        <v>258</v>
      </c>
      <c r="E3818" s="24">
        <v>7.23</v>
      </c>
      <c r="F3818" s="24">
        <v>2.15</v>
      </c>
    </row>
    <row r="3819" s="24" customFormat="1" spans="1:6">
      <c r="A3819" s="24" t="s">
        <v>140</v>
      </c>
      <c r="B3819" s="24" t="str">
        <f>"601088"</f>
        <v>601088</v>
      </c>
      <c r="C3819" s="24" t="s">
        <v>4009</v>
      </c>
      <c r="D3819" s="24" t="s">
        <v>401</v>
      </c>
      <c r="E3819" s="24">
        <v>7.21</v>
      </c>
      <c r="F3819" s="24">
        <v>0.95</v>
      </c>
    </row>
    <row r="3820" s="24" customFormat="1" spans="1:6">
      <c r="A3820" s="24" t="s">
        <v>140</v>
      </c>
      <c r="B3820" s="24" t="str">
        <f>"601588"</f>
        <v>601588</v>
      </c>
      <c r="C3820" s="24" t="s">
        <v>4010</v>
      </c>
      <c r="D3820" s="24" t="s">
        <v>244</v>
      </c>
      <c r="E3820" s="24">
        <v>7.13</v>
      </c>
      <c r="F3820" s="24">
        <v>0.65</v>
      </c>
    </row>
    <row r="3821" s="24" customFormat="1" spans="1:6">
      <c r="A3821" s="24" t="s">
        <v>140</v>
      </c>
      <c r="B3821" s="24" t="str">
        <f>"600123"</f>
        <v>600123</v>
      </c>
      <c r="C3821" s="24" t="s">
        <v>4011</v>
      </c>
      <c r="D3821" s="24" t="s">
        <v>401</v>
      </c>
      <c r="E3821" s="24">
        <v>7.1</v>
      </c>
      <c r="F3821" s="24">
        <v>0.6</v>
      </c>
    </row>
    <row r="3822" s="24" customFormat="1" spans="1:6">
      <c r="A3822" s="24" t="s">
        <v>140</v>
      </c>
      <c r="B3822" s="24" t="str">
        <f>"600173"</f>
        <v>600173</v>
      </c>
      <c r="C3822" s="24" t="s">
        <v>4012</v>
      </c>
      <c r="D3822" s="24" t="s">
        <v>244</v>
      </c>
      <c r="E3822" s="24">
        <v>7.06</v>
      </c>
      <c r="F3822" s="24">
        <v>1.27</v>
      </c>
    </row>
    <row r="3823" s="24" customFormat="1" spans="1:6">
      <c r="A3823" s="24" t="s">
        <v>140</v>
      </c>
      <c r="B3823" s="24" t="str">
        <f>"601390"</f>
        <v>601390</v>
      </c>
      <c r="C3823" s="24" t="s">
        <v>4013</v>
      </c>
      <c r="D3823" s="24" t="s">
        <v>315</v>
      </c>
      <c r="E3823" s="24">
        <v>7.04</v>
      </c>
      <c r="F3823" s="24">
        <v>0.72</v>
      </c>
    </row>
    <row r="3824" s="24" customFormat="1" spans="1:6">
      <c r="A3824" s="24" t="s">
        <v>140</v>
      </c>
      <c r="B3824" s="24" t="str">
        <f>"600502"</f>
        <v>600502</v>
      </c>
      <c r="C3824" s="24" t="s">
        <v>4014</v>
      </c>
      <c r="D3824" s="24" t="s">
        <v>315</v>
      </c>
      <c r="E3824" s="24">
        <v>7.03</v>
      </c>
      <c r="F3824" s="24">
        <v>0.86</v>
      </c>
    </row>
    <row r="3825" s="24" customFormat="1" spans="1:6">
      <c r="A3825" s="24" t="s">
        <v>142</v>
      </c>
      <c r="B3825" s="24" t="str">
        <f>"000720"</f>
        <v>000720</v>
      </c>
      <c r="C3825" s="24" t="s">
        <v>4015</v>
      </c>
      <c r="D3825" s="24" t="s">
        <v>188</v>
      </c>
      <c r="E3825" s="24">
        <v>7.03</v>
      </c>
      <c r="F3825" s="24">
        <v>2.62</v>
      </c>
    </row>
    <row r="3826" s="24" customFormat="1" spans="1:6">
      <c r="A3826" s="24" t="s">
        <v>140</v>
      </c>
      <c r="B3826" s="24" t="str">
        <f>"601916"</f>
        <v>601916</v>
      </c>
      <c r="C3826" s="24" t="s">
        <v>4016</v>
      </c>
      <c r="D3826" s="24" t="s">
        <v>3755</v>
      </c>
      <c r="E3826" s="24">
        <v>7</v>
      </c>
      <c r="F3826" s="24">
        <v>0.82</v>
      </c>
    </row>
    <row r="3827" s="24" customFormat="1" spans="1:6">
      <c r="A3827" s="24" t="s">
        <v>140</v>
      </c>
      <c r="B3827" s="24" t="str">
        <f>"600926"</f>
        <v>600926</v>
      </c>
      <c r="C3827" s="24" t="s">
        <v>4017</v>
      </c>
      <c r="D3827" s="24" t="s">
        <v>3755</v>
      </c>
      <c r="E3827" s="24">
        <v>6.97</v>
      </c>
      <c r="F3827" s="24">
        <v>0.85</v>
      </c>
    </row>
    <row r="3828" s="24" customFormat="1" spans="1:6">
      <c r="A3828" s="24" t="s">
        <v>140</v>
      </c>
      <c r="B3828" s="24" t="str">
        <f>"900932"</f>
        <v>900932</v>
      </c>
      <c r="C3828" s="24" t="s">
        <v>4018</v>
      </c>
      <c r="D3828" s="24"/>
      <c r="E3828" s="24">
        <v>6.95</v>
      </c>
      <c r="F3828" s="24">
        <v>1.57</v>
      </c>
    </row>
    <row r="3829" s="24" customFormat="1" spans="1:6">
      <c r="A3829" s="24" t="s">
        <v>142</v>
      </c>
      <c r="B3829" s="24" t="str">
        <f>"000789"</f>
        <v>000789</v>
      </c>
      <c r="C3829" s="24" t="s">
        <v>4019</v>
      </c>
      <c r="D3829" s="24" t="s">
        <v>667</v>
      </c>
      <c r="E3829" s="24">
        <v>6.92</v>
      </c>
      <c r="F3829" s="24">
        <v>2.04</v>
      </c>
    </row>
    <row r="3830" s="24" customFormat="1" spans="1:6">
      <c r="A3830" s="24" t="s">
        <v>140</v>
      </c>
      <c r="B3830" s="24" t="str">
        <f>"601077"</f>
        <v>601077</v>
      </c>
      <c r="C3830" s="24" t="s">
        <v>4020</v>
      </c>
      <c r="D3830" s="24" t="s">
        <v>3755</v>
      </c>
      <c r="E3830" s="24">
        <v>6.87</v>
      </c>
      <c r="F3830" s="24">
        <v>0.75</v>
      </c>
    </row>
    <row r="3831" s="24" customFormat="1" spans="1:6">
      <c r="A3831" s="24" t="s">
        <v>142</v>
      </c>
      <c r="B3831" s="24" t="str">
        <f>"000900"</f>
        <v>000900</v>
      </c>
      <c r="C3831" s="24" t="s">
        <v>4021</v>
      </c>
      <c r="D3831" s="24" t="s">
        <v>1016</v>
      </c>
      <c r="E3831" s="24">
        <v>6.84</v>
      </c>
      <c r="F3831" s="24">
        <v>0.66</v>
      </c>
    </row>
    <row r="3832" s="24" customFormat="1" spans="1:6">
      <c r="A3832" s="24" t="s">
        <v>140</v>
      </c>
      <c r="B3832" s="24" t="str">
        <f>"601186"</f>
        <v>601186</v>
      </c>
      <c r="C3832" s="24" t="s">
        <v>4022</v>
      </c>
      <c r="D3832" s="24" t="s">
        <v>315</v>
      </c>
      <c r="E3832" s="24">
        <v>6.76</v>
      </c>
      <c r="F3832" s="24">
        <v>0.77</v>
      </c>
    </row>
    <row r="3833" s="24" customFormat="1" spans="1:6">
      <c r="A3833" s="24" t="s">
        <v>142</v>
      </c>
      <c r="B3833" s="24" t="str">
        <f>"200581"</f>
        <v>200581</v>
      </c>
      <c r="C3833" s="24" t="s">
        <v>4023</v>
      </c>
      <c r="D3833" s="24"/>
      <c r="E3833" s="24">
        <v>6.66</v>
      </c>
      <c r="F3833" s="24">
        <v>0.7</v>
      </c>
    </row>
    <row r="3834" s="24" customFormat="1" spans="1:6">
      <c r="A3834" s="24" t="s">
        <v>142</v>
      </c>
      <c r="B3834" s="24" t="str">
        <f>"000877"</f>
        <v>000877</v>
      </c>
      <c r="C3834" s="24" t="s">
        <v>4024</v>
      </c>
      <c r="D3834" s="24" t="s">
        <v>667</v>
      </c>
      <c r="E3834" s="24">
        <v>6.64</v>
      </c>
      <c r="F3834" s="24">
        <v>1.17</v>
      </c>
    </row>
    <row r="3835" s="24" customFormat="1" spans="1:6">
      <c r="A3835" s="24" t="s">
        <v>140</v>
      </c>
      <c r="B3835" s="24" t="str">
        <f>"900940"</f>
        <v>900940</v>
      </c>
      <c r="C3835" s="24" t="s">
        <v>4025</v>
      </c>
      <c r="D3835" s="24"/>
      <c r="E3835" s="24">
        <v>6.58</v>
      </c>
      <c r="F3835" s="24">
        <v>0.51</v>
      </c>
    </row>
    <row r="3836" s="24" customFormat="1" spans="1:6">
      <c r="A3836" s="24" t="s">
        <v>140</v>
      </c>
      <c r="B3836" s="24" t="str">
        <f>"900936"</f>
        <v>900936</v>
      </c>
      <c r="C3836" s="24" t="s">
        <v>4026</v>
      </c>
      <c r="D3836" s="24"/>
      <c r="E3836" s="24">
        <v>6.44</v>
      </c>
      <c r="F3836" s="24">
        <v>0.72</v>
      </c>
    </row>
    <row r="3837" s="24" customFormat="1" spans="1:6">
      <c r="A3837" s="24" t="s">
        <v>142</v>
      </c>
      <c r="B3837" s="24" t="str">
        <f>"000656"</f>
        <v>000656</v>
      </c>
      <c r="C3837" s="24" t="s">
        <v>4027</v>
      </c>
      <c r="D3837" s="24" t="s">
        <v>244</v>
      </c>
      <c r="E3837" s="24">
        <v>6.44</v>
      </c>
      <c r="F3837" s="24">
        <v>1.59</v>
      </c>
    </row>
    <row r="3838" s="24" customFormat="1" spans="1:6">
      <c r="A3838" s="24" t="s">
        <v>142</v>
      </c>
      <c r="B3838" s="24" t="str">
        <f>"200030"</f>
        <v>200030</v>
      </c>
      <c r="C3838" s="24" t="s">
        <v>4028</v>
      </c>
      <c r="D3838" s="24"/>
      <c r="E3838" s="24">
        <v>6.4</v>
      </c>
      <c r="F3838" s="24">
        <v>0.78</v>
      </c>
    </row>
    <row r="3839" s="24" customFormat="1" spans="1:6">
      <c r="A3839" s="24" t="s">
        <v>142</v>
      </c>
      <c r="B3839" s="24" t="str">
        <f>"002016"</f>
        <v>002016</v>
      </c>
      <c r="C3839" s="24" t="s">
        <v>4029</v>
      </c>
      <c r="D3839" s="24" t="s">
        <v>244</v>
      </c>
      <c r="E3839" s="24">
        <v>6.39</v>
      </c>
      <c r="F3839" s="24">
        <v>2.02</v>
      </c>
    </row>
    <row r="3840" s="24" customFormat="1" spans="1:6">
      <c r="A3840" s="24" t="s">
        <v>142</v>
      </c>
      <c r="B3840" s="24" t="str">
        <f>"002128"</f>
        <v>002128</v>
      </c>
      <c r="C3840" s="24" t="s">
        <v>4030</v>
      </c>
      <c r="D3840" s="24" t="s">
        <v>401</v>
      </c>
      <c r="E3840" s="24">
        <v>6.36</v>
      </c>
      <c r="F3840" s="24">
        <v>1</v>
      </c>
    </row>
    <row r="3841" s="24" customFormat="1" spans="1:6">
      <c r="A3841" s="24" t="s">
        <v>140</v>
      </c>
      <c r="B3841" s="24" t="str">
        <f>"600068"</f>
        <v>600068</v>
      </c>
      <c r="C3841" s="24" t="s">
        <v>4031</v>
      </c>
      <c r="D3841" s="24" t="s">
        <v>315</v>
      </c>
      <c r="E3841" s="24">
        <v>6.29</v>
      </c>
      <c r="F3841" s="24">
        <v>1.02</v>
      </c>
    </row>
    <row r="3842" s="24" customFormat="1" spans="1:6">
      <c r="A3842" s="24" t="s">
        <v>142</v>
      </c>
      <c r="B3842" s="24" t="str">
        <f>"000926"</f>
        <v>000926</v>
      </c>
      <c r="C3842" s="24" t="s">
        <v>4032</v>
      </c>
      <c r="D3842" s="24" t="s">
        <v>244</v>
      </c>
      <c r="E3842" s="24">
        <v>6.26</v>
      </c>
      <c r="F3842" s="24">
        <v>0.47</v>
      </c>
    </row>
    <row r="3843" s="24" customFormat="1" spans="1:6">
      <c r="A3843" s="24" t="s">
        <v>140</v>
      </c>
      <c r="B3843" s="24" t="str">
        <f>"601398"</f>
        <v>601398</v>
      </c>
      <c r="C3843" s="24" t="s">
        <v>4033</v>
      </c>
      <c r="D3843" s="24" t="s">
        <v>3755</v>
      </c>
      <c r="E3843" s="24">
        <v>6.26</v>
      </c>
      <c r="F3843" s="24">
        <v>0.8</v>
      </c>
    </row>
    <row r="3844" s="24" customFormat="1" spans="1:6">
      <c r="A3844" s="24" t="s">
        <v>140</v>
      </c>
      <c r="B3844" s="24" t="str">
        <f>"601939"</f>
        <v>601939</v>
      </c>
      <c r="C3844" s="24" t="s">
        <v>4034</v>
      </c>
      <c r="D3844" s="24" t="s">
        <v>3755</v>
      </c>
      <c r="E3844" s="24">
        <v>6.21</v>
      </c>
      <c r="F3844" s="24">
        <v>0.81</v>
      </c>
    </row>
    <row r="3845" s="24" customFormat="1" spans="1:6">
      <c r="A3845" s="24" t="s">
        <v>140</v>
      </c>
      <c r="B3845" s="24" t="str">
        <f>"601229"</f>
        <v>601229</v>
      </c>
      <c r="C3845" s="24" t="s">
        <v>4035</v>
      </c>
      <c r="D3845" s="24" t="s">
        <v>3755</v>
      </c>
      <c r="E3845" s="24">
        <v>6.19</v>
      </c>
      <c r="F3845" s="24">
        <v>0.81</v>
      </c>
    </row>
    <row r="3846" s="24" customFormat="1" spans="1:6">
      <c r="A3846" s="24" t="s">
        <v>140</v>
      </c>
      <c r="B3846" s="24" t="str">
        <f>"600408"</f>
        <v>600408</v>
      </c>
      <c r="C3846" s="24" t="s">
        <v>4036</v>
      </c>
      <c r="D3846" s="24" t="s">
        <v>258</v>
      </c>
      <c r="E3846" s="24">
        <v>6.15</v>
      </c>
      <c r="F3846" s="24">
        <v>1.33</v>
      </c>
    </row>
    <row r="3847" s="24" customFormat="1" spans="1:6">
      <c r="A3847" s="24" t="s">
        <v>140</v>
      </c>
      <c r="B3847" s="24" t="str">
        <f>"600657"</f>
        <v>600657</v>
      </c>
      <c r="C3847" s="24" t="s">
        <v>4037</v>
      </c>
      <c r="D3847" s="24" t="s">
        <v>244</v>
      </c>
      <c r="E3847" s="24">
        <v>6.14</v>
      </c>
      <c r="F3847" s="24">
        <v>0.49</v>
      </c>
    </row>
    <row r="3848" s="24" customFormat="1" spans="1:6">
      <c r="A3848" s="24" t="s">
        <v>140</v>
      </c>
      <c r="B3848" s="24" t="str">
        <f>"600325"</f>
        <v>600325</v>
      </c>
      <c r="C3848" s="24" t="s">
        <v>4038</v>
      </c>
      <c r="D3848" s="24" t="s">
        <v>244</v>
      </c>
      <c r="E3848" s="24">
        <v>6.09</v>
      </c>
      <c r="F3848" s="24">
        <v>1.19</v>
      </c>
    </row>
    <row r="3849" s="24" customFormat="1" spans="1:6">
      <c r="A3849" s="24" t="s">
        <v>140</v>
      </c>
      <c r="B3849" s="24" t="str">
        <f>"900948"</f>
        <v>900948</v>
      </c>
      <c r="C3849" s="24" t="s">
        <v>4039</v>
      </c>
      <c r="D3849" s="24"/>
      <c r="E3849" s="24">
        <v>5.96</v>
      </c>
      <c r="F3849" s="24">
        <v>0.51</v>
      </c>
    </row>
    <row r="3850" s="24" customFormat="1" spans="1:6">
      <c r="A3850" s="24" t="s">
        <v>140</v>
      </c>
      <c r="B3850" s="24" t="str">
        <f>"600510"</f>
        <v>600510</v>
      </c>
      <c r="C3850" s="24" t="s">
        <v>4040</v>
      </c>
      <c r="D3850" s="24" t="s">
        <v>244</v>
      </c>
      <c r="E3850" s="24">
        <v>5.94</v>
      </c>
      <c r="F3850" s="24">
        <v>0.82</v>
      </c>
    </row>
    <row r="3851" s="24" customFormat="1" spans="1:6">
      <c r="A3851" s="24" t="s">
        <v>142</v>
      </c>
      <c r="B3851" s="24" t="str">
        <f>"000732"</f>
        <v>000732</v>
      </c>
      <c r="C3851" s="24" t="s">
        <v>4041</v>
      </c>
      <c r="D3851" s="24" t="s">
        <v>244</v>
      </c>
      <c r="E3851" s="24">
        <v>5.91</v>
      </c>
      <c r="F3851" s="24">
        <v>0.59</v>
      </c>
    </row>
    <row r="3852" s="24" customFormat="1" spans="1:6">
      <c r="A3852" s="24" t="s">
        <v>140</v>
      </c>
      <c r="B3852" s="24" t="str">
        <f>"600606"</f>
        <v>600606</v>
      </c>
      <c r="C3852" s="24" t="s">
        <v>4042</v>
      </c>
      <c r="D3852" s="24" t="s">
        <v>244</v>
      </c>
      <c r="E3852" s="24">
        <v>5.9</v>
      </c>
      <c r="F3852" s="24">
        <v>0.98</v>
      </c>
    </row>
    <row r="3853" s="24" customFormat="1" spans="1:6">
      <c r="A3853" s="24" t="s">
        <v>142</v>
      </c>
      <c r="B3853" s="24" t="str">
        <f>"000402"</f>
        <v>000402</v>
      </c>
      <c r="C3853" s="24" t="s">
        <v>4043</v>
      </c>
      <c r="D3853" s="24" t="s">
        <v>244</v>
      </c>
      <c r="E3853" s="24">
        <v>5.88</v>
      </c>
      <c r="F3853" s="24">
        <v>0.64</v>
      </c>
    </row>
    <row r="3854" s="24" customFormat="1" spans="1:6">
      <c r="A3854" s="24" t="s">
        <v>140</v>
      </c>
      <c r="B3854" s="24" t="str">
        <f>"601668"</f>
        <v>601668</v>
      </c>
      <c r="C3854" s="24" t="s">
        <v>4044</v>
      </c>
      <c r="D3854" s="24" t="s">
        <v>315</v>
      </c>
      <c r="E3854" s="24">
        <v>5.87</v>
      </c>
      <c r="F3854" s="24">
        <v>0.94</v>
      </c>
    </row>
    <row r="3855" s="24" customFormat="1" spans="1:6">
      <c r="A3855" s="24" t="s">
        <v>140</v>
      </c>
      <c r="B3855" s="24" t="str">
        <f>"601166"</f>
        <v>601166</v>
      </c>
      <c r="C3855" s="24" t="s">
        <v>4045</v>
      </c>
      <c r="D3855" s="24" t="s">
        <v>3755</v>
      </c>
      <c r="E3855" s="24">
        <v>5.78</v>
      </c>
      <c r="F3855" s="24">
        <v>0.77</v>
      </c>
    </row>
    <row r="3856" s="24" customFormat="1" spans="1:6">
      <c r="A3856" s="24" t="s">
        <v>140</v>
      </c>
      <c r="B3856" s="24" t="str">
        <f>"600971"</f>
        <v>600971</v>
      </c>
      <c r="C3856" s="24" t="s">
        <v>4046</v>
      </c>
      <c r="D3856" s="24" t="s">
        <v>401</v>
      </c>
      <c r="E3856" s="24">
        <v>5.76</v>
      </c>
      <c r="F3856" s="24">
        <v>0.74</v>
      </c>
    </row>
    <row r="3857" s="24" customFormat="1" spans="1:6">
      <c r="A3857" s="24" t="s">
        <v>140</v>
      </c>
      <c r="B3857" s="24" t="str">
        <f>"601577"</f>
        <v>601577</v>
      </c>
      <c r="C3857" s="24" t="s">
        <v>4047</v>
      </c>
      <c r="D3857" s="24" t="s">
        <v>3755</v>
      </c>
      <c r="E3857" s="24">
        <v>5.72</v>
      </c>
      <c r="F3857" s="24">
        <v>0.83</v>
      </c>
    </row>
    <row r="3858" s="24" customFormat="1" spans="1:6">
      <c r="A3858" s="24" t="s">
        <v>140</v>
      </c>
      <c r="B3858" s="24" t="str">
        <f>"600340"</f>
        <v>600340</v>
      </c>
      <c r="C3858" s="24" t="s">
        <v>44</v>
      </c>
      <c r="D3858" s="24" t="s">
        <v>244</v>
      </c>
      <c r="E3858" s="24">
        <v>5.69</v>
      </c>
      <c r="F3858" s="24">
        <v>1.9</v>
      </c>
    </row>
    <row r="3859" s="24" customFormat="1" spans="1:6">
      <c r="A3859" s="24" t="s">
        <v>140</v>
      </c>
      <c r="B3859" s="24" t="str">
        <f>"600997"</f>
        <v>600997</v>
      </c>
      <c r="C3859" s="24" t="s">
        <v>4048</v>
      </c>
      <c r="D3859" s="24" t="s">
        <v>401</v>
      </c>
      <c r="E3859" s="24">
        <v>5.67</v>
      </c>
      <c r="F3859" s="24">
        <v>0.71</v>
      </c>
    </row>
    <row r="3860" s="24" customFormat="1" spans="1:6">
      <c r="A3860" s="24" t="s">
        <v>140</v>
      </c>
      <c r="B3860" s="24" t="str">
        <f>"601288"</f>
        <v>601288</v>
      </c>
      <c r="C3860" s="24" t="s">
        <v>4049</v>
      </c>
      <c r="D3860" s="24" t="s">
        <v>3755</v>
      </c>
      <c r="E3860" s="24">
        <v>5.65</v>
      </c>
      <c r="F3860" s="24">
        <v>0.7</v>
      </c>
    </row>
    <row r="3861" s="24" customFormat="1" spans="1:6">
      <c r="A3861" s="24" t="s">
        <v>140</v>
      </c>
      <c r="B3861" s="24" t="str">
        <f>"601838"</f>
        <v>601838</v>
      </c>
      <c r="C3861" s="24" t="s">
        <v>4050</v>
      </c>
      <c r="D3861" s="24" t="s">
        <v>3755</v>
      </c>
      <c r="E3861" s="24">
        <v>5.65</v>
      </c>
      <c r="F3861" s="24">
        <v>0.88</v>
      </c>
    </row>
    <row r="3862" s="24" customFormat="1" spans="1:6">
      <c r="A3862" s="24" t="s">
        <v>140</v>
      </c>
      <c r="B3862" s="24" t="str">
        <f>"601988"</f>
        <v>601988</v>
      </c>
      <c r="C3862" s="24" t="s">
        <v>4051</v>
      </c>
      <c r="D3862" s="24" t="s">
        <v>3755</v>
      </c>
      <c r="E3862" s="24">
        <v>5.61</v>
      </c>
      <c r="F3862" s="24">
        <v>0.64</v>
      </c>
    </row>
    <row r="3863" s="24" customFormat="1" spans="1:6">
      <c r="A3863" s="24" t="s">
        <v>140</v>
      </c>
      <c r="B3863" s="24" t="str">
        <f>"601998"</f>
        <v>601998</v>
      </c>
      <c r="C3863" s="24" t="s">
        <v>4052</v>
      </c>
      <c r="D3863" s="24" t="s">
        <v>3755</v>
      </c>
      <c r="E3863" s="24">
        <v>5.58</v>
      </c>
      <c r="F3863" s="24">
        <v>0.63</v>
      </c>
    </row>
    <row r="3864" s="24" customFormat="1" spans="1:6">
      <c r="A3864" s="24" t="s">
        <v>142</v>
      </c>
      <c r="B3864" s="24" t="str">
        <f>"000069"</f>
        <v>000069</v>
      </c>
      <c r="C3864" s="24" t="s">
        <v>4053</v>
      </c>
      <c r="D3864" s="24" t="s">
        <v>453</v>
      </c>
      <c r="E3864" s="24">
        <v>5.56</v>
      </c>
      <c r="F3864" s="24">
        <v>0.86</v>
      </c>
    </row>
    <row r="3865" s="24" customFormat="1" spans="1:6">
      <c r="A3865" s="24" t="s">
        <v>140</v>
      </c>
      <c r="B3865" s="24" t="str">
        <f>"600466"</f>
        <v>600466</v>
      </c>
      <c r="C3865" s="24" t="s">
        <v>4054</v>
      </c>
      <c r="D3865" s="24" t="s">
        <v>244</v>
      </c>
      <c r="E3865" s="24">
        <v>5.55</v>
      </c>
      <c r="F3865" s="24">
        <v>1.56</v>
      </c>
    </row>
    <row r="3866" s="24" customFormat="1" spans="1:6">
      <c r="A3866" s="24" t="s">
        <v>140</v>
      </c>
      <c r="B3866" s="24" t="str">
        <f>"600348"</f>
        <v>600348</v>
      </c>
      <c r="C3866" s="24" t="s">
        <v>4055</v>
      </c>
      <c r="D3866" s="24" t="s">
        <v>401</v>
      </c>
      <c r="E3866" s="24">
        <v>5.55</v>
      </c>
      <c r="F3866" s="24">
        <v>0.66</v>
      </c>
    </row>
    <row r="3867" s="24" customFormat="1" spans="1:6">
      <c r="A3867" s="24" t="s">
        <v>140</v>
      </c>
      <c r="B3867" s="24" t="str">
        <f>"600828"</f>
        <v>600828</v>
      </c>
      <c r="C3867" s="24" t="s">
        <v>4056</v>
      </c>
      <c r="D3867" s="24" t="s">
        <v>148</v>
      </c>
      <c r="E3867" s="24">
        <v>5.55</v>
      </c>
      <c r="F3867" s="24">
        <v>1.3</v>
      </c>
    </row>
    <row r="3868" s="24" customFormat="1" spans="1:6">
      <c r="A3868" s="24" t="s">
        <v>142</v>
      </c>
      <c r="B3868" s="24" t="str">
        <f>"000717"</f>
        <v>000717</v>
      </c>
      <c r="C3868" s="24" t="s">
        <v>4057</v>
      </c>
      <c r="D3868" s="24" t="s">
        <v>258</v>
      </c>
      <c r="E3868" s="24">
        <v>5.45</v>
      </c>
      <c r="F3868" s="24">
        <v>1.32</v>
      </c>
    </row>
    <row r="3869" s="24" customFormat="1" spans="1:6">
      <c r="A3869" s="24" t="s">
        <v>140</v>
      </c>
      <c r="B3869" s="24" t="str">
        <f>"601818"</f>
        <v>601818</v>
      </c>
      <c r="C3869" s="24" t="s">
        <v>4058</v>
      </c>
      <c r="D3869" s="24" t="s">
        <v>3755</v>
      </c>
      <c r="E3869" s="24">
        <v>5.43</v>
      </c>
      <c r="F3869" s="24">
        <v>0.66</v>
      </c>
    </row>
    <row r="3870" s="24" customFormat="1" spans="1:6">
      <c r="A3870" s="24" t="s">
        <v>140</v>
      </c>
      <c r="B3870" s="24" t="str">
        <f>"600153"</f>
        <v>600153</v>
      </c>
      <c r="C3870" s="24" t="s">
        <v>4059</v>
      </c>
      <c r="D3870" s="24" t="s">
        <v>267</v>
      </c>
      <c r="E3870" s="24">
        <v>5.38</v>
      </c>
      <c r="F3870" s="24">
        <v>0.83</v>
      </c>
    </row>
    <row r="3871" s="24" customFormat="1" spans="1:6">
      <c r="A3871" s="24" t="s">
        <v>142</v>
      </c>
      <c r="B3871" s="24" t="str">
        <f>"002234"</f>
        <v>002234</v>
      </c>
      <c r="C3871" s="24" t="s">
        <v>4060</v>
      </c>
      <c r="D3871" s="24" t="s">
        <v>145</v>
      </c>
      <c r="E3871" s="24">
        <v>5.37</v>
      </c>
      <c r="F3871" s="24">
        <v>3.36</v>
      </c>
    </row>
    <row r="3872" s="24" customFormat="1" spans="1:6">
      <c r="A3872" s="24" t="s">
        <v>142</v>
      </c>
      <c r="B3872" s="24" t="str">
        <f>"000932"</f>
        <v>000932</v>
      </c>
      <c r="C3872" s="24" t="s">
        <v>4061</v>
      </c>
      <c r="D3872" s="24" t="s">
        <v>258</v>
      </c>
      <c r="E3872" s="24">
        <v>5.35</v>
      </c>
      <c r="F3872" s="24">
        <v>0.86</v>
      </c>
    </row>
    <row r="3873" s="24" customFormat="1" spans="1:6">
      <c r="A3873" s="24" t="s">
        <v>140</v>
      </c>
      <c r="B3873" s="24" t="str">
        <f>"601009"</f>
        <v>601009</v>
      </c>
      <c r="C3873" s="24" t="s">
        <v>4062</v>
      </c>
      <c r="D3873" s="24" t="s">
        <v>3755</v>
      </c>
      <c r="E3873" s="24">
        <v>5.34</v>
      </c>
      <c r="F3873" s="24">
        <v>0.88</v>
      </c>
    </row>
    <row r="3874" s="24" customFormat="1" spans="1:6">
      <c r="A3874" s="24" t="s">
        <v>142</v>
      </c>
      <c r="B3874" s="24" t="str">
        <f>"000755"</f>
        <v>000755</v>
      </c>
      <c r="C3874" s="24" t="s">
        <v>4063</v>
      </c>
      <c r="D3874" s="24" t="s">
        <v>256</v>
      </c>
      <c r="E3874" s="24">
        <v>5.33</v>
      </c>
      <c r="F3874" s="24">
        <v>1.43</v>
      </c>
    </row>
    <row r="3875" s="24" customFormat="1" spans="1:6">
      <c r="A3875" s="24" t="s">
        <v>142</v>
      </c>
      <c r="B3875" s="24" t="str">
        <f>"200413"</f>
        <v>200413</v>
      </c>
      <c r="C3875" s="24" t="s">
        <v>4064</v>
      </c>
      <c r="D3875" s="24"/>
      <c r="E3875" s="24">
        <v>5.33</v>
      </c>
      <c r="F3875" s="24">
        <v>0.31</v>
      </c>
    </row>
    <row r="3876" s="24" customFormat="1" spans="1:6">
      <c r="A3876" s="24" t="s">
        <v>140</v>
      </c>
      <c r="B3876" s="24" t="str">
        <f>"600000"</f>
        <v>600000</v>
      </c>
      <c r="C3876" s="24" t="s">
        <v>4065</v>
      </c>
      <c r="D3876" s="24" t="s">
        <v>3755</v>
      </c>
      <c r="E3876" s="24">
        <v>5.29</v>
      </c>
      <c r="F3876" s="24">
        <v>0.67</v>
      </c>
    </row>
    <row r="3877" s="24" customFormat="1" spans="1:6">
      <c r="A3877" s="24" t="s">
        <v>140</v>
      </c>
      <c r="B3877" s="24" t="str">
        <f>"600781"</f>
        <v>600781</v>
      </c>
      <c r="C3877" s="24" t="s">
        <v>4066</v>
      </c>
      <c r="D3877" s="24" t="s">
        <v>388</v>
      </c>
      <c r="E3877" s="24">
        <v>5.27</v>
      </c>
      <c r="F3877" s="24">
        <v>0.57</v>
      </c>
    </row>
    <row r="3878" s="24" customFormat="1" spans="1:6">
      <c r="A3878" s="24" t="s">
        <v>140</v>
      </c>
      <c r="B3878" s="24" t="str">
        <f>"600985"</f>
        <v>600985</v>
      </c>
      <c r="C3878" s="24" t="s">
        <v>4067</v>
      </c>
      <c r="D3878" s="24" t="s">
        <v>228</v>
      </c>
      <c r="E3878" s="24">
        <v>5.21</v>
      </c>
      <c r="F3878" s="24">
        <v>1.04</v>
      </c>
    </row>
    <row r="3879" s="24" customFormat="1" spans="1:6">
      <c r="A3879" s="24" t="s">
        <v>140</v>
      </c>
      <c r="B3879" s="24" t="str">
        <f>"600919"</f>
        <v>600919</v>
      </c>
      <c r="C3879" s="24" t="s">
        <v>4068</v>
      </c>
      <c r="D3879" s="24" t="s">
        <v>3755</v>
      </c>
      <c r="E3879" s="24">
        <v>5.18</v>
      </c>
      <c r="F3879" s="24">
        <v>0.7</v>
      </c>
    </row>
    <row r="3880" s="24" customFormat="1" spans="1:6">
      <c r="A3880" s="24" t="s">
        <v>140</v>
      </c>
      <c r="B3880" s="24" t="str">
        <f>"601328"</f>
        <v>601328</v>
      </c>
      <c r="C3880" s="24" t="s">
        <v>4069</v>
      </c>
      <c r="D3880" s="24" t="s">
        <v>3755</v>
      </c>
      <c r="E3880" s="24">
        <v>5.11</v>
      </c>
      <c r="F3880" s="24">
        <v>0.58</v>
      </c>
    </row>
    <row r="3881" s="24" customFormat="1" spans="1:6">
      <c r="A3881" s="24" t="s">
        <v>140</v>
      </c>
      <c r="B3881" s="24" t="str">
        <f>"600282"</f>
        <v>600282</v>
      </c>
      <c r="C3881" s="24" t="s">
        <v>4070</v>
      </c>
      <c r="D3881" s="24" t="s">
        <v>258</v>
      </c>
      <c r="E3881" s="24">
        <v>5.1</v>
      </c>
      <c r="F3881" s="24">
        <v>0.84</v>
      </c>
    </row>
    <row r="3882" s="24" customFormat="1" spans="1:6">
      <c r="A3882" s="24" t="s">
        <v>140</v>
      </c>
      <c r="B3882" s="24" t="str">
        <f>"601169"</f>
        <v>601169</v>
      </c>
      <c r="C3882" s="24" t="s">
        <v>4071</v>
      </c>
      <c r="D3882" s="24" t="s">
        <v>3755</v>
      </c>
      <c r="E3882" s="24">
        <v>5.09</v>
      </c>
      <c r="F3882" s="24">
        <v>0.59</v>
      </c>
    </row>
    <row r="3883" s="24" customFormat="1" spans="1:6">
      <c r="A3883" s="24" t="s">
        <v>140</v>
      </c>
      <c r="B3883" s="24" t="str">
        <f>"600015"</f>
        <v>600015</v>
      </c>
      <c r="C3883" s="24" t="s">
        <v>4072</v>
      </c>
      <c r="D3883" s="24" t="s">
        <v>3755</v>
      </c>
      <c r="E3883" s="24">
        <v>5.04</v>
      </c>
      <c r="F3883" s="24">
        <v>0.54</v>
      </c>
    </row>
    <row r="3884" s="24" customFormat="1" spans="1:6">
      <c r="A3884" s="24" t="s">
        <v>140</v>
      </c>
      <c r="B3884" s="24" t="str">
        <f>"600188"</f>
        <v>600188</v>
      </c>
      <c r="C3884" s="24" t="s">
        <v>4073</v>
      </c>
      <c r="D3884" s="24" t="s">
        <v>401</v>
      </c>
      <c r="E3884" s="24">
        <v>4.87</v>
      </c>
      <c r="F3884" s="24">
        <v>0.88</v>
      </c>
    </row>
    <row r="3885" s="24" customFormat="1" spans="1:6">
      <c r="A3885" s="24" t="s">
        <v>140</v>
      </c>
      <c r="B3885" s="24" t="str">
        <f>"601997"</f>
        <v>601997</v>
      </c>
      <c r="C3885" s="24" t="s">
        <v>4074</v>
      </c>
      <c r="D3885" s="24" t="s">
        <v>3755</v>
      </c>
      <c r="E3885" s="24">
        <v>4.85</v>
      </c>
      <c r="F3885" s="24">
        <v>0.84</v>
      </c>
    </row>
    <row r="3886" s="24" customFormat="1" spans="1:6">
      <c r="A3886" s="24" t="s">
        <v>140</v>
      </c>
      <c r="B3886" s="24" t="str">
        <f>"600016"</f>
        <v>600016</v>
      </c>
      <c r="C3886" s="24" t="s">
        <v>4075</v>
      </c>
      <c r="D3886" s="24" t="s">
        <v>3755</v>
      </c>
      <c r="E3886" s="24">
        <v>4.83</v>
      </c>
      <c r="F3886" s="24">
        <v>0.58</v>
      </c>
    </row>
    <row r="3887" s="24" customFormat="1" spans="1:6">
      <c r="A3887" s="24" t="s">
        <v>140</v>
      </c>
      <c r="B3887" s="24" t="str">
        <f>"600376"</f>
        <v>600376</v>
      </c>
      <c r="C3887" s="24" t="s">
        <v>4076</v>
      </c>
      <c r="D3887" s="24" t="s">
        <v>244</v>
      </c>
      <c r="E3887" s="24">
        <v>4.81</v>
      </c>
      <c r="F3887" s="24">
        <v>0.74</v>
      </c>
    </row>
    <row r="3888" s="24" customFormat="1" spans="1:6">
      <c r="A3888" s="24" t="s">
        <v>142</v>
      </c>
      <c r="B3888" s="24" t="str">
        <f>"002110"</f>
        <v>002110</v>
      </c>
      <c r="C3888" s="24" t="s">
        <v>4077</v>
      </c>
      <c r="D3888" s="24" t="s">
        <v>258</v>
      </c>
      <c r="E3888" s="24">
        <v>4.77</v>
      </c>
      <c r="F3888" s="24">
        <v>1.11</v>
      </c>
    </row>
    <row r="3889" s="24" customFormat="1" spans="1:6">
      <c r="A3889" s="24" t="s">
        <v>142</v>
      </c>
      <c r="B3889" s="24" t="str">
        <f>"000537"</f>
        <v>000537</v>
      </c>
      <c r="C3889" s="24" t="s">
        <v>4078</v>
      </c>
      <c r="D3889" s="24" t="s">
        <v>244</v>
      </c>
      <c r="E3889" s="24">
        <v>4.72</v>
      </c>
      <c r="F3889" s="24">
        <v>0.96</v>
      </c>
    </row>
    <row r="3890" s="24" customFormat="1" spans="1:6">
      <c r="A3890" s="24" t="s">
        <v>140</v>
      </c>
      <c r="B3890" s="24" t="str">
        <f>"601003"</f>
        <v>601003</v>
      </c>
      <c r="C3890" s="24" t="s">
        <v>4079</v>
      </c>
      <c r="D3890" s="24" t="s">
        <v>258</v>
      </c>
      <c r="E3890" s="24">
        <v>4.64</v>
      </c>
      <c r="F3890" s="24">
        <v>1.24</v>
      </c>
    </row>
    <row r="3891" s="24" customFormat="1" spans="1:6">
      <c r="A3891" s="24" t="s">
        <v>140</v>
      </c>
      <c r="B3891" s="24" t="str">
        <f>"900908"</f>
        <v>900908</v>
      </c>
      <c r="C3891" s="24" t="s">
        <v>4080</v>
      </c>
      <c r="D3891" s="24"/>
      <c r="E3891" s="24">
        <v>4.57</v>
      </c>
      <c r="F3891" s="24">
        <v>1.03</v>
      </c>
    </row>
    <row r="3892" s="24" customFormat="1" spans="1:6">
      <c r="A3892" s="24" t="s">
        <v>142</v>
      </c>
      <c r="B3892" s="24" t="str">
        <f>"002146"</f>
        <v>002146</v>
      </c>
      <c r="C3892" s="24" t="s">
        <v>4081</v>
      </c>
      <c r="D3892" s="24" t="s">
        <v>244</v>
      </c>
      <c r="E3892" s="24">
        <v>4.25</v>
      </c>
      <c r="F3892" s="24">
        <v>1</v>
      </c>
    </row>
    <row r="3893" s="24" customFormat="1" spans="1:6">
      <c r="A3893" s="24" t="s">
        <v>142</v>
      </c>
      <c r="B3893" s="24" t="str">
        <f>"200011"</f>
        <v>200011</v>
      </c>
      <c r="C3893" s="24" t="s">
        <v>4082</v>
      </c>
      <c r="D3893" s="24"/>
      <c r="E3893" s="24">
        <v>4.18</v>
      </c>
      <c r="F3893" s="24">
        <v>0.73</v>
      </c>
    </row>
    <row r="3894" s="24" customFormat="1" spans="1:6">
      <c r="A3894" s="24" t="s">
        <v>140</v>
      </c>
      <c r="B3894" s="24" t="str">
        <f>"900933"</f>
        <v>900933</v>
      </c>
      <c r="C3894" s="24" t="s">
        <v>4083</v>
      </c>
      <c r="D3894" s="24"/>
      <c r="E3894" s="24">
        <v>3.96</v>
      </c>
      <c r="F3894" s="24">
        <v>1.35</v>
      </c>
    </row>
    <row r="3895" s="24" customFormat="1" spans="1:6">
      <c r="A3895" s="24" t="s">
        <v>140</v>
      </c>
      <c r="B3895" s="24" t="str">
        <f>"600782"</f>
        <v>600782</v>
      </c>
      <c r="C3895" s="24" t="s">
        <v>4084</v>
      </c>
      <c r="D3895" s="24" t="s">
        <v>258</v>
      </c>
      <c r="E3895" s="24">
        <v>3.13</v>
      </c>
      <c r="F3895" s="24">
        <v>0.67</v>
      </c>
    </row>
    <row r="3896" s="24" customFormat="1" spans="1:6">
      <c r="A3896" s="24" t="s">
        <v>142</v>
      </c>
      <c r="B3896" s="24" t="str">
        <f>"002680"</f>
        <v>002680</v>
      </c>
      <c r="C3896" s="24" t="s">
        <v>4085</v>
      </c>
      <c r="D3896" s="24"/>
      <c r="E3896" s="24">
        <v>1.58</v>
      </c>
      <c r="F3896" s="24">
        <v>0.2</v>
      </c>
    </row>
    <row r="3897" s="24" customFormat="1" spans="1:6">
      <c r="A3897" s="24" t="s">
        <v>142</v>
      </c>
      <c r="B3897" s="24" t="str">
        <f>"002164"</f>
        <v>002164</v>
      </c>
      <c r="C3897" s="24" t="s">
        <v>4086</v>
      </c>
      <c r="D3897" s="24" t="s">
        <v>251</v>
      </c>
      <c r="E3897" s="24">
        <v>1.55</v>
      </c>
      <c r="F3897" s="24">
        <v>3.69</v>
      </c>
    </row>
    <row r="3898" s="24" customFormat="1" spans="1:6">
      <c r="A3898" s="24" t="s">
        <v>140</v>
      </c>
      <c r="B3898" s="24" t="str">
        <f>"600749"</f>
        <v>600749</v>
      </c>
      <c r="C3898" s="24" t="s">
        <v>4087</v>
      </c>
      <c r="D3898" s="24" t="s">
        <v>453</v>
      </c>
      <c r="E3898" s="24"/>
      <c r="F3898" s="24">
        <v>1.94</v>
      </c>
    </row>
    <row r="3900" s="24" customFormat="1" spans="1:1">
      <c r="A3900" s="24" t="s">
        <v>4088</v>
      </c>
    </row>
  </sheetData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workbookViewId="0">
      <pane ySplit="1" topLeftCell="A8" activePane="bottomLeft" state="frozen"/>
      <selection/>
      <selection pane="bottomLeft" activeCell="E33" sqref="E33"/>
    </sheetView>
  </sheetViews>
  <sheetFormatPr defaultColWidth="9" defaultRowHeight="16.5" outlineLevelCol="1"/>
  <cols>
    <col min="1" max="1" width="31.2" style="21" customWidth="1"/>
    <col min="2" max="2" width="15.5" style="21" customWidth="1"/>
    <col min="3" max="16384" width="9" style="21"/>
  </cols>
  <sheetData>
    <row r="1" s="21" customFormat="1" spans="1:2">
      <c r="A1" s="21" t="s">
        <v>4089</v>
      </c>
      <c r="B1" s="21" t="s">
        <v>4090</v>
      </c>
    </row>
    <row r="2" s="21" customFormat="1" spans="1:2">
      <c r="A2" s="22" t="s">
        <v>4091</v>
      </c>
      <c r="B2" s="23" t="s">
        <v>4092</v>
      </c>
    </row>
    <row r="3" s="21" customFormat="1" spans="1:2">
      <c r="A3" s="22" t="s">
        <v>4093</v>
      </c>
      <c r="B3" s="23" t="s">
        <v>4092</v>
      </c>
    </row>
    <row r="4" s="21" customFormat="1" spans="1:2">
      <c r="A4" s="22" t="s">
        <v>4094</v>
      </c>
      <c r="B4" s="23" t="s">
        <v>4092</v>
      </c>
    </row>
    <row r="5" s="21" customFormat="1" spans="1:2">
      <c r="A5" s="22" t="s">
        <v>4095</v>
      </c>
      <c r="B5" s="23" t="s">
        <v>4092</v>
      </c>
    </row>
    <row r="6" s="21" customFormat="1" spans="1:2">
      <c r="A6" s="22" t="s">
        <v>4096</v>
      </c>
      <c r="B6" s="23" t="s">
        <v>4092</v>
      </c>
    </row>
    <row r="7" s="21" customFormat="1" spans="1:2">
      <c r="A7" s="22" t="s">
        <v>4097</v>
      </c>
      <c r="B7" s="23" t="s">
        <v>4092</v>
      </c>
    </row>
    <row r="8" s="21" customFormat="1" spans="1:2">
      <c r="A8" s="22" t="s">
        <v>4098</v>
      </c>
      <c r="B8" s="23" t="s">
        <v>4092</v>
      </c>
    </row>
    <row r="9" s="21" customFormat="1" spans="1:2">
      <c r="A9" s="22" t="s">
        <v>4099</v>
      </c>
      <c r="B9" s="23" t="s">
        <v>4092</v>
      </c>
    </row>
    <row r="10" s="21" customFormat="1" spans="1:2">
      <c r="A10" s="22" t="s">
        <v>4100</v>
      </c>
      <c r="B10" s="23" t="s">
        <v>4092</v>
      </c>
    </row>
    <row r="11" s="21" customFormat="1" spans="1:2">
      <c r="A11" s="22" t="s">
        <v>4101</v>
      </c>
      <c r="B11" s="23" t="s">
        <v>4092</v>
      </c>
    </row>
    <row r="12" s="21" customFormat="1" spans="1:2">
      <c r="A12" s="22" t="s">
        <v>4102</v>
      </c>
      <c r="B12" s="23" t="s">
        <v>4092</v>
      </c>
    </row>
    <row r="13" s="21" customFormat="1" spans="1:2">
      <c r="A13" s="22" t="s">
        <v>4103</v>
      </c>
      <c r="B13" s="23" t="s">
        <v>4092</v>
      </c>
    </row>
    <row r="14" s="21" customFormat="1" spans="1:2">
      <c r="A14" s="22" t="s">
        <v>4104</v>
      </c>
      <c r="B14" s="23" t="s">
        <v>4092</v>
      </c>
    </row>
    <row r="15" s="21" customFormat="1" spans="1:2">
      <c r="A15" s="22" t="s">
        <v>4105</v>
      </c>
      <c r="B15" s="23" t="s">
        <v>4092</v>
      </c>
    </row>
    <row r="16" s="21" customFormat="1" spans="1:2">
      <c r="A16" s="22" t="s">
        <v>4106</v>
      </c>
      <c r="B16" s="23" t="s">
        <v>4092</v>
      </c>
    </row>
    <row r="17" s="21" customFormat="1" spans="1:2">
      <c r="A17" s="22" t="s">
        <v>4107</v>
      </c>
      <c r="B17" s="23" t="s">
        <v>4092</v>
      </c>
    </row>
    <row r="18" s="21" customFormat="1" spans="1:2">
      <c r="A18" s="22" t="s">
        <v>4108</v>
      </c>
      <c r="B18" s="23" t="s">
        <v>4092</v>
      </c>
    </row>
    <row r="19" s="21" customFormat="1" spans="1:2">
      <c r="A19" s="22" t="s">
        <v>4109</v>
      </c>
      <c r="B19" s="23" t="s">
        <v>4092</v>
      </c>
    </row>
    <row r="20" s="21" customFormat="1" spans="1:2">
      <c r="A20" s="22" t="s">
        <v>4110</v>
      </c>
      <c r="B20" s="23" t="s">
        <v>4092</v>
      </c>
    </row>
    <row r="21" s="21" customFormat="1" spans="1:2">
      <c r="A21" s="22" t="s">
        <v>4111</v>
      </c>
      <c r="B21" s="23" t="s">
        <v>4092</v>
      </c>
    </row>
    <row r="22" s="21" customFormat="1" spans="1:2">
      <c r="A22" s="22" t="s">
        <v>4112</v>
      </c>
      <c r="B22" s="23" t="s">
        <v>4092</v>
      </c>
    </row>
    <row r="23" s="21" customFormat="1" spans="1:2">
      <c r="A23" s="22" t="s">
        <v>30</v>
      </c>
      <c r="B23" s="23" t="s">
        <v>4092</v>
      </c>
    </row>
    <row r="24" s="21" customFormat="1" spans="1:2">
      <c r="A24" s="22" t="s">
        <v>4113</v>
      </c>
      <c r="B24" s="23" t="s">
        <v>4092</v>
      </c>
    </row>
    <row r="25" s="21" customFormat="1" spans="1:2">
      <c r="A25" s="22" t="s">
        <v>4114</v>
      </c>
      <c r="B25" s="23" t="s">
        <v>4092</v>
      </c>
    </row>
    <row r="26" s="21" customFormat="1" spans="1:2">
      <c r="A26" s="22" t="s">
        <v>4115</v>
      </c>
      <c r="B26" s="23" t="s">
        <v>4092</v>
      </c>
    </row>
    <row r="27" s="21" customFormat="1" spans="1:2">
      <c r="A27" s="22" t="s">
        <v>4116</v>
      </c>
      <c r="B27" s="23" t="s">
        <v>4092</v>
      </c>
    </row>
    <row r="28" s="21" customFormat="1" spans="1:2">
      <c r="A28" s="22" t="s">
        <v>4117</v>
      </c>
      <c r="B28" s="23" t="s">
        <v>4092</v>
      </c>
    </row>
    <row r="29" s="21" customFormat="1" spans="1:2">
      <c r="A29" s="22" t="s">
        <v>4118</v>
      </c>
      <c r="B29" s="23" t="s">
        <v>4092</v>
      </c>
    </row>
    <row r="30" s="21" customFormat="1" spans="1:2">
      <c r="A30" s="22" t="s">
        <v>4119</v>
      </c>
      <c r="B30" s="23" t="s">
        <v>4092</v>
      </c>
    </row>
    <row r="31" s="21" customFormat="1" spans="1:2">
      <c r="A31" s="22" t="s">
        <v>4120</v>
      </c>
      <c r="B31" s="23" t="s">
        <v>4092</v>
      </c>
    </row>
    <row r="32" s="21" customFormat="1" spans="1:2">
      <c r="A32" s="22" t="s">
        <v>4121</v>
      </c>
      <c r="B32" s="23" t="s">
        <v>4092</v>
      </c>
    </row>
    <row r="33" s="21" customFormat="1" spans="1:2">
      <c r="A33" s="22" t="s">
        <v>4122</v>
      </c>
      <c r="B33" s="23" t="s">
        <v>4092</v>
      </c>
    </row>
    <row r="34" s="21" customFormat="1" spans="1:2">
      <c r="A34" s="22" t="s">
        <v>4123</v>
      </c>
      <c r="B34" s="23" t="s">
        <v>4092</v>
      </c>
    </row>
    <row r="35" s="21" customFormat="1" spans="1:2">
      <c r="A35" s="22" t="s">
        <v>4124</v>
      </c>
      <c r="B35" s="23" t="s">
        <v>4092</v>
      </c>
    </row>
    <row r="36" s="21" customFormat="1" spans="1:2">
      <c r="A36" s="22" t="s">
        <v>4125</v>
      </c>
      <c r="B36" s="23" t="s">
        <v>4092</v>
      </c>
    </row>
    <row r="37" s="21" customFormat="1" spans="1:2">
      <c r="A37" s="22" t="s">
        <v>4126</v>
      </c>
      <c r="B37" s="23" t="s">
        <v>4092</v>
      </c>
    </row>
    <row r="38" s="21" customFormat="1" spans="1:2">
      <c r="A38" s="22" t="s">
        <v>4127</v>
      </c>
      <c r="B38" s="23" t="s">
        <v>4092</v>
      </c>
    </row>
    <row r="39" s="21" customFormat="1" spans="1:2">
      <c r="A39" s="22" t="s">
        <v>4128</v>
      </c>
      <c r="B39" s="23" t="s">
        <v>4092</v>
      </c>
    </row>
    <row r="40" s="21" customFormat="1" spans="1:2">
      <c r="A40" s="22" t="s">
        <v>4129</v>
      </c>
      <c r="B40" s="23" t="s">
        <v>4092</v>
      </c>
    </row>
    <row r="41" s="21" customFormat="1" spans="1:2">
      <c r="A41" s="22" t="s">
        <v>4130</v>
      </c>
      <c r="B41" s="23" t="s">
        <v>4092</v>
      </c>
    </row>
    <row r="42" s="21" customFormat="1" spans="1:2">
      <c r="A42" s="22" t="s">
        <v>4131</v>
      </c>
      <c r="B42" s="23" t="s">
        <v>4092</v>
      </c>
    </row>
    <row r="43" s="21" customFormat="1" spans="1:2">
      <c r="A43" s="22" t="s">
        <v>4132</v>
      </c>
      <c r="B43" s="23" t="s">
        <v>4092</v>
      </c>
    </row>
    <row r="44" s="21" customFormat="1" spans="1:2">
      <c r="A44" s="22" t="s">
        <v>4133</v>
      </c>
      <c r="B44" s="23" t="s">
        <v>4092</v>
      </c>
    </row>
    <row r="45" s="21" customFormat="1" spans="1:2">
      <c r="A45" s="22" t="s">
        <v>4134</v>
      </c>
      <c r="B45" s="23" t="s">
        <v>4092</v>
      </c>
    </row>
    <row r="46" s="21" customFormat="1" spans="1:2">
      <c r="A46" s="22" t="s">
        <v>4135</v>
      </c>
      <c r="B46" s="23" t="s">
        <v>4092</v>
      </c>
    </row>
    <row r="47" s="21" customFormat="1" spans="1:2">
      <c r="A47" s="22" t="s">
        <v>4136</v>
      </c>
      <c r="B47" s="23" t="s">
        <v>4092</v>
      </c>
    </row>
    <row r="48" s="21" customFormat="1" spans="1:2">
      <c r="A48" s="22" t="s">
        <v>4137</v>
      </c>
      <c r="B48" s="23" t="s">
        <v>4092</v>
      </c>
    </row>
    <row r="49" s="21" customFormat="1" spans="1:2">
      <c r="A49" s="22" t="s">
        <v>4138</v>
      </c>
      <c r="B49" s="23" t="s">
        <v>4092</v>
      </c>
    </row>
    <row r="50" s="21" customFormat="1" spans="1:2">
      <c r="A50" s="22" t="s">
        <v>4139</v>
      </c>
      <c r="B50" s="23" t="s">
        <v>4092</v>
      </c>
    </row>
    <row r="51" s="21" customFormat="1" spans="1:2">
      <c r="A51" s="22" t="s">
        <v>4140</v>
      </c>
      <c r="B51" s="23" t="s">
        <v>4092</v>
      </c>
    </row>
    <row r="52" s="21" customFormat="1" spans="1:2">
      <c r="A52" s="22" t="s">
        <v>111</v>
      </c>
      <c r="B52" s="23" t="s">
        <v>4092</v>
      </c>
    </row>
    <row r="53" s="21" customFormat="1" spans="1:2">
      <c r="A53" s="22" t="s">
        <v>4141</v>
      </c>
      <c r="B53" s="23" t="s">
        <v>4092</v>
      </c>
    </row>
    <row r="54" s="21" customFormat="1" spans="1:2">
      <c r="A54" s="22" t="s">
        <v>83</v>
      </c>
      <c r="B54" s="23" t="s">
        <v>4092</v>
      </c>
    </row>
    <row r="55" s="21" customFormat="1" spans="1:2">
      <c r="A55" s="22" t="s">
        <v>4142</v>
      </c>
      <c r="B55" s="23" t="s">
        <v>4092</v>
      </c>
    </row>
    <row r="56" s="21" customFormat="1" spans="1:2">
      <c r="A56" s="22" t="s">
        <v>4143</v>
      </c>
      <c r="B56" s="23" t="s">
        <v>4092</v>
      </c>
    </row>
    <row r="57" s="21" customFormat="1" spans="1:2">
      <c r="A57" s="22" t="s">
        <v>4144</v>
      </c>
      <c r="B57" s="23" t="s">
        <v>4092</v>
      </c>
    </row>
    <row r="58" s="21" customFormat="1" spans="1:2">
      <c r="A58" s="22" t="s">
        <v>4145</v>
      </c>
      <c r="B58" s="23" t="s">
        <v>4092</v>
      </c>
    </row>
    <row r="59" s="21" customFormat="1" spans="1:2">
      <c r="A59" s="22" t="s">
        <v>4146</v>
      </c>
      <c r="B59" s="23" t="s">
        <v>4092</v>
      </c>
    </row>
    <row r="60" s="21" customFormat="1" spans="1:2">
      <c r="A60" s="22" t="s">
        <v>45</v>
      </c>
      <c r="B60" s="23" t="s">
        <v>4092</v>
      </c>
    </row>
    <row r="61" s="21" customFormat="1" spans="1:2">
      <c r="A61" s="22" t="s">
        <v>4147</v>
      </c>
      <c r="B61" s="23" t="s">
        <v>4092</v>
      </c>
    </row>
    <row r="62" s="21" customFormat="1" spans="1:2">
      <c r="A62" s="22" t="s">
        <v>4148</v>
      </c>
      <c r="B62" s="23" t="s">
        <v>4092</v>
      </c>
    </row>
    <row r="63" s="21" customFormat="1" spans="1:2">
      <c r="A63" s="22" t="s">
        <v>117</v>
      </c>
      <c r="B63" s="23" t="s">
        <v>4092</v>
      </c>
    </row>
    <row r="64" s="21" customFormat="1" spans="1:2">
      <c r="A64" s="22" t="s">
        <v>4149</v>
      </c>
      <c r="B64" s="23" t="s">
        <v>4092</v>
      </c>
    </row>
  </sheetData>
  <sheetProtection password="8944" sheet="1" objects="1"/>
  <conditionalFormatting sqref="A2:A64">
    <cfRule type="duplicateValues" dxfId="3" priority="1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5"/>
  <sheetViews>
    <sheetView tabSelected="1" workbookViewId="0">
      <pane ySplit="2" topLeftCell="A3" activePane="bottomLeft" state="frozen"/>
      <selection/>
      <selection pane="bottomLeft" activeCell="C3" sqref="C3"/>
    </sheetView>
  </sheetViews>
  <sheetFormatPr defaultColWidth="9" defaultRowHeight="14.25"/>
  <cols>
    <col min="1" max="1" width="10" customWidth="1"/>
    <col min="2" max="2" width="13.1666666666667" customWidth="1"/>
    <col min="3" max="3" width="27.3333333333333" customWidth="1"/>
    <col min="4" max="4" width="9.83333333333333" customWidth="1"/>
    <col min="5" max="5" width="9.66666666666667" customWidth="1"/>
    <col min="6" max="6" width="12.1666666666667" customWidth="1"/>
    <col min="7" max="7" width="12.3333333333333" customWidth="1"/>
    <col min="8" max="8" width="9.16666666666667" customWidth="1"/>
    <col min="9" max="9" width="11.6666666666667" style="1" customWidth="1"/>
    <col min="10" max="10" width="16.1666666666667" customWidth="1"/>
  </cols>
  <sheetData>
    <row r="2" ht="31" customHeight="1" spans="1:11">
      <c r="A2" s="2" t="s">
        <v>18</v>
      </c>
      <c r="B2" s="2" t="s">
        <v>120</v>
      </c>
      <c r="C2" s="2" t="s">
        <v>20</v>
      </c>
      <c r="D2" s="2" t="s">
        <v>6</v>
      </c>
      <c r="E2" s="2" t="s">
        <v>4150</v>
      </c>
      <c r="F2" s="2" t="s">
        <v>4151</v>
      </c>
      <c r="G2" s="2" t="s">
        <v>4152</v>
      </c>
      <c r="H2" s="2" t="s">
        <v>4153</v>
      </c>
      <c r="I2" s="2" t="s">
        <v>4154</v>
      </c>
      <c r="J2" s="2" t="s">
        <v>4155</v>
      </c>
      <c r="K2" s="2" t="s">
        <v>4156</v>
      </c>
    </row>
    <row r="3" ht="24" customHeight="1" spans="1:11">
      <c r="A3" s="3" t="s">
        <v>34</v>
      </c>
      <c r="B3" s="4" t="str">
        <f ca="1">IF(ISBLANK(A3),"",IFERROR(VLOOKUP(A3,'（地利）白马组合'!A:N,2,0),"查找报错！"))</f>
        <v>宁波银行</v>
      </c>
      <c r="C3" s="5" t="str">
        <f ca="1">IF(ISBLANK(A3),"",IFERROR(VLOOKUP(A3,'（地利）白马组合'!A:N,3,0),"查找报错！"))</f>
        <v>金融服务-银行-银行Ⅲ</v>
      </c>
      <c r="D3" s="6">
        <f ca="1">IF(ISBLANK(A3),"",IFERROR(VLOOKUP(A3,'（地利）白马组合'!A:N,13,0),"查找报错！"))</f>
        <v>0.1125</v>
      </c>
      <c r="E3" s="7">
        <v>25.97</v>
      </c>
      <c r="F3" s="8">
        <v>3000</v>
      </c>
      <c r="G3" s="9">
        <f>IFERROR(E3*100,0)</f>
        <v>2597</v>
      </c>
      <c r="H3" s="10">
        <f>IFERROR(F3/G3,0)</f>
        <v>1.15517905275318</v>
      </c>
      <c r="I3" s="8">
        <v>1</v>
      </c>
      <c r="J3" s="10">
        <f>IFERROR(I3*G3,0)</f>
        <v>2597</v>
      </c>
      <c r="K3" s="19">
        <f>IFERROR(J3/$F$11,0%)</f>
        <v>0.0685224274406332</v>
      </c>
    </row>
    <row r="4" ht="24" customHeight="1" spans="1:11">
      <c r="A4" s="3" t="s">
        <v>37</v>
      </c>
      <c r="B4" s="4" t="str">
        <f ca="1">IF(ISBLANK(A4),"",IFERROR(VLOOKUP(A4,'（地利）白马组合'!A:N,2,0),"查找报错！"))</f>
        <v>华东医药</v>
      </c>
      <c r="C4" s="5" t="str">
        <f ca="1">IF(ISBLANK(A4),"",IFERROR(VLOOKUP(A4,'（地利）白马组合'!A:N,3,0),"查找报错！"))</f>
        <v>医药生物-化学制药-化学制剂</v>
      </c>
      <c r="D4" s="6">
        <f ca="1">IF(ISBLANK(A4),"",IFERROR(VLOOKUP(A4,'（地利）白马组合'!A:N,13,0),"查找报错！"))</f>
        <v>0.1417</v>
      </c>
      <c r="E4" s="7">
        <v>20.5</v>
      </c>
      <c r="F4" s="8">
        <v>2100</v>
      </c>
      <c r="G4" s="9">
        <f t="shared" ref="G3:G10" si="0">IFERROR(E4*100,0)</f>
        <v>2050</v>
      </c>
      <c r="H4" s="10">
        <f t="shared" ref="H3:H10" si="1">IFERROR(F4/G4,0)</f>
        <v>1.02439024390244</v>
      </c>
      <c r="I4" s="8">
        <v>1</v>
      </c>
      <c r="J4" s="10">
        <f t="shared" ref="J3:J10" si="2">IFERROR(I4*G4,0)</f>
        <v>2050</v>
      </c>
      <c r="K4" s="19">
        <f t="shared" ref="K3:K10" si="3">IFERROR(J4/$F$11,0%)</f>
        <v>0.054089709762533</v>
      </c>
    </row>
    <row r="5" ht="24" customHeight="1" spans="1:11">
      <c r="A5" s="3" t="s">
        <v>49</v>
      </c>
      <c r="B5" s="4" t="str">
        <f ca="1">IF(ISBLANK(A5),"",IFERROR(VLOOKUP(A5,'（地利）白马组合'!A:N,2,0),"查找报错！"))</f>
        <v>格力电器</v>
      </c>
      <c r="C5" s="5" t="str">
        <f ca="1">IF(ISBLANK(A5),"",IFERROR(VLOOKUP(A5,'（地利）白马组合'!A:N,3,0),"查找报错！"))</f>
        <v>家用电器-白色家电-空调</v>
      </c>
      <c r="D5" s="6">
        <f ca="1">IF(ISBLANK(A5),"",IFERROR(VLOOKUP(A5,'（地利）白马组合'!A:N,13,0),"查找报错！"))</f>
        <v>0.1467</v>
      </c>
      <c r="E5" s="7">
        <v>62.9</v>
      </c>
      <c r="F5" s="8">
        <v>6300</v>
      </c>
      <c r="G5" s="9">
        <f t="shared" si="0"/>
        <v>6290</v>
      </c>
      <c r="H5" s="10">
        <f t="shared" si="1"/>
        <v>1.00158982511924</v>
      </c>
      <c r="I5" s="8">
        <v>1</v>
      </c>
      <c r="J5" s="10">
        <f t="shared" si="2"/>
        <v>6290</v>
      </c>
      <c r="K5" s="19">
        <f t="shared" si="3"/>
        <v>0.165963060686016</v>
      </c>
    </row>
    <row r="6" ht="24" customHeight="1" spans="1:11">
      <c r="A6" s="3" t="s">
        <v>55</v>
      </c>
      <c r="B6" s="4" t="str">
        <f ca="1">IF(ISBLANK(A6),"",IFERROR(VLOOKUP(A6,'（地利）白马组合'!A:N,2,0),"查找报错！"))</f>
        <v>美的集团</v>
      </c>
      <c r="C6" s="5" t="str">
        <f ca="1">IF(ISBLANK(A6),"",IFERROR(VLOOKUP(A6,'（地利）白马组合'!A:N,3,0),"查找报错！"))</f>
        <v>家用电器-白色家电-空调</v>
      </c>
      <c r="D6" s="6">
        <f ca="1">IF(ISBLANK(A6),"",IFERROR(VLOOKUP(A6,'（地利）白马组合'!A:N,13,0),"查找报错！"))</f>
        <v>0.1604</v>
      </c>
      <c r="E6" s="7">
        <v>53.8</v>
      </c>
      <c r="F6" s="8">
        <v>5400</v>
      </c>
      <c r="G6" s="9">
        <f t="shared" si="0"/>
        <v>5380</v>
      </c>
      <c r="H6" s="10">
        <f t="shared" si="1"/>
        <v>1.00371747211896</v>
      </c>
      <c r="I6" s="8">
        <v>1</v>
      </c>
      <c r="J6" s="10">
        <f t="shared" si="2"/>
        <v>5380</v>
      </c>
      <c r="K6" s="19">
        <f t="shared" si="3"/>
        <v>0.141952506596306</v>
      </c>
    </row>
    <row r="7" ht="24" customHeight="1" spans="1:11">
      <c r="A7" s="3" t="s">
        <v>59</v>
      </c>
      <c r="B7" s="4" t="str">
        <f ca="1">IF(ISBLANK(A7),"",IFERROR(VLOOKUP(A7,'（地利）白马组合'!A:N,2,0),"查找报错！"))</f>
        <v>恩华药业</v>
      </c>
      <c r="C7" s="5" t="str">
        <f ca="1">IF(ISBLANK(A7),"",IFERROR(VLOOKUP(A7,'（地利）白马组合'!A:N,3,0),"查找报错！"))</f>
        <v>医药生物-化学制药-化学制剂</v>
      </c>
      <c r="D7" s="6">
        <f ca="1">IF(ISBLANK(A7),"",IFERROR(VLOOKUP(A7,'（地利）白马组合'!A:N,13,0),"查找报错！"))</f>
        <v>0.191</v>
      </c>
      <c r="E7" s="7">
        <v>11.26</v>
      </c>
      <c r="F7" s="8">
        <v>1200</v>
      </c>
      <c r="G7" s="9">
        <f t="shared" si="0"/>
        <v>1126</v>
      </c>
      <c r="H7" s="10">
        <f t="shared" si="1"/>
        <v>1.06571936056838</v>
      </c>
      <c r="I7" s="8">
        <v>1</v>
      </c>
      <c r="J7" s="10">
        <f t="shared" si="2"/>
        <v>1126</v>
      </c>
      <c r="K7" s="19">
        <f t="shared" si="3"/>
        <v>0.0297097625329815</v>
      </c>
    </row>
    <row r="8" ht="24" customHeight="1" spans="1:11">
      <c r="A8" s="3" t="s">
        <v>61</v>
      </c>
      <c r="B8" s="4" t="str">
        <f ca="1">IF(ISBLANK(A8),"",IFERROR(VLOOKUP(A8,'（地利）白马组合'!A:N,2,0),"查找报错！"))</f>
        <v>老凤祥</v>
      </c>
      <c r="C8" s="5" t="str">
        <f ca="1">IF(ISBLANK(A8),"",IFERROR(VLOOKUP(A8,'（地利）白马组合'!A:N,3,0),"查找报错！"))</f>
        <v>轻工制造-家用轻工-珠宝首饰</v>
      </c>
      <c r="D8" s="6">
        <f ca="1">IF(ISBLANK(A8),"",IFERROR(VLOOKUP(A8,'（地利）白马组合'!A:N,13,0),"查找报错！"))</f>
        <v>0.1925</v>
      </c>
      <c r="E8" s="11">
        <v>46.19</v>
      </c>
      <c r="F8" s="8">
        <v>4700</v>
      </c>
      <c r="G8" s="9">
        <f t="shared" si="0"/>
        <v>4619</v>
      </c>
      <c r="H8" s="10">
        <f t="shared" si="1"/>
        <v>1.01753626326045</v>
      </c>
      <c r="I8" s="8">
        <v>1</v>
      </c>
      <c r="J8" s="10">
        <f t="shared" si="2"/>
        <v>4619</v>
      </c>
      <c r="K8" s="19">
        <f t="shared" si="3"/>
        <v>0.121873350923483</v>
      </c>
    </row>
    <row r="9" ht="24" customHeight="1" spans="1:11">
      <c r="A9" s="3" t="s">
        <v>67</v>
      </c>
      <c r="B9" s="4" t="str">
        <f ca="1">IF(ISBLANK(A9),"",IFERROR(VLOOKUP(A9,'（地利）白马组合'!A:N,2,0),"查找报错！"))</f>
        <v>洋河股份</v>
      </c>
      <c r="C9" s="5" t="str">
        <f ca="1">IF(ISBLANK(A9),"",IFERROR(VLOOKUP(A9,'（地利）白马组合'!A:N,3,0),"查找报错！"))</f>
        <v>食品饮料-饮料制造-白酒</v>
      </c>
      <c r="D9" s="6">
        <f ca="1">IF(ISBLANK(A9),"",IFERROR(VLOOKUP(A9,'（地利）白马组合'!A:N,13,0),"查找报错！"))</f>
        <v>0.2099</v>
      </c>
      <c r="E9" s="7">
        <v>102.73</v>
      </c>
      <c r="F9" s="8">
        <v>10500</v>
      </c>
      <c r="G9" s="9">
        <f t="shared" si="0"/>
        <v>10273</v>
      </c>
      <c r="H9" s="10">
        <f t="shared" si="1"/>
        <v>1.02209675849314</v>
      </c>
      <c r="I9" s="8">
        <v>1</v>
      </c>
      <c r="J9" s="10">
        <f t="shared" si="2"/>
        <v>10273</v>
      </c>
      <c r="K9" s="19">
        <f t="shared" si="3"/>
        <v>0.271055408970976</v>
      </c>
    </row>
    <row r="10" ht="24" customHeight="1" spans="1:11">
      <c r="A10" s="3" t="s">
        <v>70</v>
      </c>
      <c r="B10" s="4" t="str">
        <f ca="1">IF(ISBLANK(A10),"",IFERROR(VLOOKUP(A10,'（地利）白马组合'!A:N,2,0),"查找报错！"))</f>
        <v>德赛电池</v>
      </c>
      <c r="C10" s="5" t="str">
        <f ca="1">IF(ISBLANK(A10),"",IFERROR(VLOOKUP(A10,'（地利）白马组合'!A:N,3,0),"查找报错！"))</f>
        <v>电子-电子制造-电子系统组装</v>
      </c>
      <c r="D10" s="6">
        <f ca="1">IF(ISBLANK(A10),"",IFERROR(VLOOKUP(A10,'（地利）白马组合'!A:N,13,0),"查找报错！"))</f>
        <v>0.2138</v>
      </c>
      <c r="E10" s="7">
        <v>45.61</v>
      </c>
      <c r="F10" s="8">
        <v>4700</v>
      </c>
      <c r="G10" s="9">
        <f t="shared" si="0"/>
        <v>4561</v>
      </c>
      <c r="H10" s="10">
        <f t="shared" si="1"/>
        <v>1.03047577285683</v>
      </c>
      <c r="I10" s="8">
        <v>1</v>
      </c>
      <c r="J10" s="10">
        <f t="shared" si="2"/>
        <v>4561</v>
      </c>
      <c r="K10" s="19">
        <f t="shared" si="3"/>
        <v>0.120343007915567</v>
      </c>
    </row>
    <row r="11" ht="24" customHeight="1" spans="1:11">
      <c r="A11" s="12" t="s">
        <v>4157</v>
      </c>
      <c r="B11" s="13"/>
      <c r="C11" s="14"/>
      <c r="D11" s="14"/>
      <c r="E11" s="14"/>
      <c r="F11" s="15">
        <f>SUM(F3:F10)</f>
        <v>37900</v>
      </c>
      <c r="G11" s="14"/>
      <c r="H11" s="15"/>
      <c r="I11" s="14"/>
      <c r="J11" s="15">
        <f>SUM(J3:J10)</f>
        <v>36896</v>
      </c>
      <c r="K11" s="19">
        <f>SUM(K3:K10)</f>
        <v>0.973509234828496</v>
      </c>
    </row>
    <row r="12" ht="16.5" spans="2:11">
      <c r="B12" s="16"/>
      <c r="C12" s="16"/>
      <c r="D12" s="16"/>
      <c r="E12" s="16"/>
      <c r="F12" s="16" t="s">
        <v>4158</v>
      </c>
      <c r="G12" s="16"/>
      <c r="H12" s="16"/>
      <c r="J12" s="16" t="s">
        <v>4159</v>
      </c>
      <c r="K12" s="17"/>
    </row>
    <row r="13" ht="16.5" spans="2:11">
      <c r="B13" s="16"/>
      <c r="C13" s="16"/>
      <c r="D13" s="16"/>
      <c r="E13" s="16"/>
      <c r="F13" s="16"/>
      <c r="G13" s="16"/>
      <c r="H13" s="16"/>
      <c r="I13" s="16"/>
      <c r="J13" s="16"/>
      <c r="K13" s="17"/>
    </row>
    <row r="14" ht="16.5" spans="2:11">
      <c r="B14" s="17"/>
      <c r="C14" s="17"/>
      <c r="D14" s="17"/>
      <c r="E14" s="17"/>
      <c r="F14" s="17"/>
      <c r="H14" s="16"/>
      <c r="I14" s="16" t="s">
        <v>4160</v>
      </c>
      <c r="J14" s="20">
        <f>F11-J11</f>
        <v>1004</v>
      </c>
      <c r="K14" s="17"/>
    </row>
    <row r="15" ht="21" spans="2:11">
      <c r="B15" s="18" t="s">
        <v>4161</v>
      </c>
      <c r="C15" s="18"/>
      <c r="D15" s="17"/>
      <c r="E15" s="17"/>
      <c r="F15" s="17"/>
      <c r="G15" s="17"/>
      <c r="H15" s="17"/>
      <c r="I15" s="17"/>
      <c r="J15" s="17"/>
      <c r="K15" s="17"/>
    </row>
  </sheetData>
  <mergeCells count="1">
    <mergeCell ref="A11:B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（天时）入场时机判断</vt:lpstr>
      <vt:lpstr>（地利）白马组合</vt:lpstr>
      <vt:lpstr>小熊定理判定</vt:lpstr>
      <vt:lpstr>指定日期分位点</vt:lpstr>
      <vt:lpstr>周期表（不要动）</vt:lpstr>
      <vt:lpstr>计算投资资金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39884</dc:creator>
  <cp:lastModifiedBy>鸡肠。</cp:lastModifiedBy>
  <dcterms:created xsi:type="dcterms:W3CDTF">2018-07-13T06:15:00Z</dcterms:created>
  <dcterms:modified xsi:type="dcterms:W3CDTF">2020-02-13T16:46:25Z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false</vt:bool>
  </property>
</Properties>
</file>