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4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Pricing!$A$1:$Y$104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Drawings!$C$2:$O$106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T14" i="158" l="1"/>
  <c r="W14" i="158" s="1"/>
  <c r="X14" i="158" s="1"/>
  <c r="U14" i="158"/>
  <c r="V14" i="158"/>
  <c r="Y14" i="158"/>
  <c r="T15" i="158"/>
  <c r="W15" i="158" s="1"/>
  <c r="X15" i="158" s="1"/>
  <c r="U15" i="158"/>
  <c r="V15" i="158"/>
  <c r="Y15" i="158"/>
  <c r="T16" i="158"/>
  <c r="W16" i="158" s="1"/>
  <c r="X16" i="158" s="1"/>
  <c r="U16" i="158"/>
  <c r="V16" i="158"/>
  <c r="Y16" i="158"/>
  <c r="T17" i="158"/>
  <c r="W17" i="158" s="1"/>
  <c r="X17" i="158" s="1"/>
  <c r="U17" i="158"/>
  <c r="V17" i="158"/>
  <c r="Y17" i="158"/>
  <c r="T18" i="158"/>
  <c r="W18" i="158" s="1"/>
  <c r="X18" i="158" s="1"/>
  <c r="U18" i="158"/>
  <c r="V18" i="158"/>
  <c r="Y18" i="158"/>
  <c r="T19" i="158"/>
  <c r="W19" i="158" s="1"/>
  <c r="X19" i="158" s="1"/>
  <c r="U19" i="158"/>
  <c r="V19" i="158"/>
  <c r="Y19" i="158"/>
  <c r="T20" i="158"/>
  <c r="W20" i="158" s="1"/>
  <c r="X20" i="158" s="1"/>
  <c r="U20" i="158"/>
  <c r="V20" i="158"/>
  <c r="Y20" i="158"/>
  <c r="T21" i="158"/>
  <c r="W21" i="158" s="1"/>
  <c r="X21" i="158" s="1"/>
  <c r="U21" i="158"/>
  <c r="V21" i="158"/>
  <c r="Y21" i="158"/>
  <c r="T22" i="158"/>
  <c r="W22" i="158" s="1"/>
  <c r="X22" i="158" s="1"/>
  <c r="U22" i="158"/>
  <c r="V22" i="158"/>
  <c r="Y22" i="158"/>
  <c r="T23" i="158"/>
  <c r="W23" i="158" s="1"/>
  <c r="X23" i="158" s="1"/>
  <c r="U23" i="158"/>
  <c r="V23" i="158"/>
  <c r="Y23" i="158"/>
  <c r="T24" i="158"/>
  <c r="W24" i="158" s="1"/>
  <c r="X24" i="158" s="1"/>
  <c r="U24" i="158"/>
  <c r="V24" i="158"/>
  <c r="Y24" i="158"/>
  <c r="T25" i="158"/>
  <c r="W25" i="158" s="1"/>
  <c r="X25" i="158" s="1"/>
  <c r="U25" i="158"/>
  <c r="V25" i="158"/>
  <c r="Y25" i="158"/>
  <c r="T26" i="158"/>
  <c r="W26" i="158" s="1"/>
  <c r="X26" i="158" s="1"/>
  <c r="U26" i="158"/>
  <c r="V26" i="158"/>
  <c r="Y26" i="158"/>
  <c r="T27" i="158"/>
  <c r="W27" i="158" s="1"/>
  <c r="X27" i="158" s="1"/>
  <c r="U27" i="158"/>
  <c r="V27" i="158"/>
  <c r="Y27" i="158"/>
  <c r="T28" i="158"/>
  <c r="W28" i="158" s="1"/>
  <c r="X28" i="158" s="1"/>
  <c r="U28" i="158"/>
  <c r="V28" i="158"/>
  <c r="Y28" i="158"/>
  <c r="T29" i="158"/>
  <c r="W29" i="158" s="1"/>
  <c r="X29" i="158" s="1"/>
  <c r="U29" i="158"/>
  <c r="V29" i="158"/>
  <c r="Y29" i="158"/>
  <c r="T30" i="158"/>
  <c r="W30" i="158" s="1"/>
  <c r="X30" i="158" s="1"/>
  <c r="U30" i="158"/>
  <c r="V30" i="158"/>
  <c r="Y30" i="158"/>
  <c r="T31" i="158"/>
  <c r="W31" i="158" s="1"/>
  <c r="X31" i="158" s="1"/>
  <c r="U31" i="158"/>
  <c r="V31" i="158"/>
  <c r="Y31" i="158"/>
  <c r="T32" i="158"/>
  <c r="W32" i="158" s="1"/>
  <c r="X32" i="158" s="1"/>
  <c r="U32" i="158"/>
  <c r="V32" i="158"/>
  <c r="Y32" i="158"/>
  <c r="T33" i="158"/>
  <c r="W33" i="158" s="1"/>
  <c r="X33" i="158" s="1"/>
  <c r="U33" i="158"/>
  <c r="V33" i="158"/>
  <c r="Y33" i="158"/>
  <c r="T34" i="158"/>
  <c r="W34" i="158" s="1"/>
  <c r="X34" i="158" s="1"/>
  <c r="U34" i="158"/>
  <c r="V34" i="158"/>
  <c r="Y34" i="158"/>
  <c r="T35" i="158"/>
  <c r="W35" i="158" s="1"/>
  <c r="X35" i="158" s="1"/>
  <c r="U35" i="158"/>
  <c r="V35" i="158"/>
  <c r="Y35" i="158"/>
  <c r="T36" i="158"/>
  <c r="W36" i="158" s="1"/>
  <c r="X36" i="158" s="1"/>
  <c r="U36" i="158"/>
  <c r="V36" i="158"/>
  <c r="Y36" i="158"/>
  <c r="T37" i="158"/>
  <c r="W37" i="158" s="1"/>
  <c r="X37" i="158" s="1"/>
  <c r="U37" i="158"/>
  <c r="V37" i="158"/>
  <c r="Y37" i="158"/>
  <c r="T38" i="158"/>
  <c r="W38" i="158" s="1"/>
  <c r="X38" i="158" s="1"/>
  <c r="U38" i="158"/>
  <c r="V38" i="158"/>
  <c r="Y38" i="158"/>
  <c r="T39" i="158"/>
  <c r="W39" i="158" s="1"/>
  <c r="X39" i="158" s="1"/>
  <c r="U39" i="158"/>
  <c r="V39" i="158"/>
  <c r="Y39" i="158"/>
  <c r="T40" i="158"/>
  <c r="W40" i="158" s="1"/>
  <c r="X40" i="158" s="1"/>
  <c r="U40" i="158"/>
  <c r="V40" i="158"/>
  <c r="Y40" i="158"/>
  <c r="T41" i="158"/>
  <c r="W41" i="158" s="1"/>
  <c r="X41" i="158" s="1"/>
  <c r="U41" i="158"/>
  <c r="V41" i="158"/>
  <c r="Y41" i="158"/>
  <c r="T42" i="158"/>
  <c r="W42" i="158" s="1"/>
  <c r="X42" i="158" s="1"/>
  <c r="U42" i="158"/>
  <c r="V42" i="158"/>
  <c r="Y42" i="158"/>
  <c r="T43" i="158"/>
  <c r="W43" i="158" s="1"/>
  <c r="X43" i="158" s="1"/>
  <c r="U43" i="158"/>
  <c r="V43" i="158"/>
  <c r="Y43" i="158"/>
  <c r="T44" i="158"/>
  <c r="W44" i="158" s="1"/>
  <c r="X44" i="158" s="1"/>
  <c r="U44" i="158"/>
  <c r="V44" i="158"/>
  <c r="Y44" i="158"/>
  <c r="T45" i="158"/>
  <c r="W45" i="158" s="1"/>
  <c r="X45" i="158" s="1"/>
  <c r="U45" i="158"/>
  <c r="V45" i="158"/>
  <c r="Y45" i="158"/>
  <c r="T46" i="158"/>
  <c r="U46" i="158"/>
  <c r="V46" i="158"/>
  <c r="W46" i="158"/>
  <c r="X46" i="158" s="1"/>
  <c r="Y46" i="158"/>
  <c r="T47" i="158"/>
  <c r="W47" i="158" s="1"/>
  <c r="X47" i="158" s="1"/>
  <c r="U47" i="158"/>
  <c r="V47" i="158"/>
  <c r="Y47" i="158"/>
  <c r="T48" i="158"/>
  <c r="W48" i="158" s="1"/>
  <c r="X48" i="158" s="1"/>
  <c r="U48" i="158"/>
  <c r="V48" i="158"/>
  <c r="Y48" i="158"/>
  <c r="T49" i="158"/>
  <c r="W49" i="158" s="1"/>
  <c r="X49" i="158" s="1"/>
  <c r="U49" i="158"/>
  <c r="V49" i="158"/>
  <c r="Y49" i="158"/>
  <c r="T50" i="158"/>
  <c r="W50" i="158" s="1"/>
  <c r="X50" i="158" s="1"/>
  <c r="U50" i="158"/>
  <c r="V50" i="158"/>
  <c r="Y50" i="158"/>
  <c r="T51" i="158"/>
  <c r="W51" i="158" s="1"/>
  <c r="X51" i="158" s="1"/>
  <c r="U51" i="158"/>
  <c r="V51" i="158"/>
  <c r="Y51" i="158"/>
  <c r="T52" i="158"/>
  <c r="W52" i="158" s="1"/>
  <c r="X52" i="158" s="1"/>
  <c r="U52" i="158"/>
  <c r="V52" i="158"/>
  <c r="Y52" i="158"/>
  <c r="T53" i="158"/>
  <c r="W53" i="158" s="1"/>
  <c r="X53" i="158" s="1"/>
  <c r="U53" i="158"/>
  <c r="V53" i="158"/>
  <c r="Y53" i="158"/>
  <c r="T54" i="158"/>
  <c r="W54" i="158" s="1"/>
  <c r="X54" i="158" s="1"/>
  <c r="U54" i="158"/>
  <c r="V54" i="158"/>
  <c r="Y54" i="158"/>
  <c r="T55" i="158"/>
  <c r="W55" i="158" s="1"/>
  <c r="X55" i="158" s="1"/>
  <c r="U55" i="158"/>
  <c r="V55" i="158"/>
  <c r="Y55" i="158"/>
  <c r="T56" i="158"/>
  <c r="W56" i="158" s="1"/>
  <c r="X56" i="158" s="1"/>
  <c r="U56" i="158"/>
  <c r="V56" i="158"/>
  <c r="Y56" i="158"/>
  <c r="T57" i="158"/>
  <c r="W57" i="158" s="1"/>
  <c r="X57" i="158" s="1"/>
  <c r="U57" i="158"/>
  <c r="V57" i="158"/>
  <c r="Y57" i="158"/>
  <c r="T58" i="158"/>
  <c r="W58" i="158" s="1"/>
  <c r="X58" i="158" s="1"/>
  <c r="U58" i="158"/>
  <c r="V58" i="158"/>
  <c r="Y58" i="158"/>
  <c r="T59" i="158"/>
  <c r="W59" i="158" s="1"/>
  <c r="X59" i="158" s="1"/>
  <c r="U59" i="158"/>
  <c r="V59" i="158"/>
  <c r="Y59" i="158"/>
  <c r="T60" i="158"/>
  <c r="W60" i="158" s="1"/>
  <c r="X60" i="158" s="1"/>
  <c r="U60" i="158"/>
  <c r="V60" i="158"/>
  <c r="Y60" i="158"/>
  <c r="T61" i="158"/>
  <c r="W61" i="158" s="1"/>
  <c r="X61" i="158" s="1"/>
  <c r="U61" i="158"/>
  <c r="V61" i="158"/>
  <c r="Y61" i="158"/>
  <c r="T62" i="158"/>
  <c r="W62" i="158" s="1"/>
  <c r="X62" i="158" s="1"/>
  <c r="U62" i="158"/>
  <c r="V62" i="158"/>
  <c r="Y62" i="158"/>
  <c r="T63" i="158"/>
  <c r="W63" i="158" s="1"/>
  <c r="X63" i="158" s="1"/>
  <c r="U63" i="158"/>
  <c r="V63" i="158"/>
  <c r="Y63" i="158"/>
  <c r="T64" i="158"/>
  <c r="W64" i="158" s="1"/>
  <c r="X64" i="158" s="1"/>
  <c r="U64" i="158"/>
  <c r="V64" i="158"/>
  <c r="Y64" i="158"/>
  <c r="T65" i="158"/>
  <c r="W65" i="158" s="1"/>
  <c r="X65" i="158" s="1"/>
  <c r="U65" i="158"/>
  <c r="V65" i="158"/>
  <c r="Y65" i="158"/>
  <c r="T66" i="158"/>
  <c r="W66" i="158" s="1"/>
  <c r="X66" i="158" s="1"/>
  <c r="U66" i="158"/>
  <c r="V66" i="158"/>
  <c r="Y66" i="158"/>
  <c r="T67" i="158"/>
  <c r="W67" i="158" s="1"/>
  <c r="X67" i="158" s="1"/>
  <c r="U67" i="158"/>
  <c r="V67" i="158"/>
  <c r="Y67" i="158"/>
  <c r="T68" i="158"/>
  <c r="W68" i="158" s="1"/>
  <c r="X68" i="158" s="1"/>
  <c r="U68" i="158"/>
  <c r="V68" i="158"/>
  <c r="Y68" i="158"/>
  <c r="T69" i="158"/>
  <c r="W69" i="158" s="1"/>
  <c r="X69" i="158" s="1"/>
  <c r="U69" i="158"/>
  <c r="V69" i="158"/>
  <c r="Y69" i="158"/>
  <c r="T70" i="158"/>
  <c r="W70" i="158" s="1"/>
  <c r="X70" i="158" s="1"/>
  <c r="U70" i="158"/>
  <c r="V70" i="158"/>
  <c r="Y70" i="158"/>
  <c r="T71" i="158"/>
  <c r="W71" i="158" s="1"/>
  <c r="X71" i="158" s="1"/>
  <c r="U71" i="158"/>
  <c r="V71" i="158"/>
  <c r="Y71" i="158"/>
  <c r="T72" i="158"/>
  <c r="W72" i="158" s="1"/>
  <c r="X72" i="158" s="1"/>
  <c r="U72" i="158"/>
  <c r="V72" i="158"/>
  <c r="Y72" i="158"/>
  <c r="T73" i="158"/>
  <c r="W73" i="158" s="1"/>
  <c r="X73" i="158" s="1"/>
  <c r="U73" i="158"/>
  <c r="V73" i="158"/>
  <c r="Y73" i="158"/>
  <c r="T74" i="158"/>
  <c r="W74" i="158" s="1"/>
  <c r="X74" i="158" s="1"/>
  <c r="U74" i="158"/>
  <c r="V74" i="158"/>
  <c r="Y74" i="158"/>
  <c r="T75" i="158"/>
  <c r="W75" i="158" s="1"/>
  <c r="X75" i="158" s="1"/>
  <c r="U75" i="158"/>
  <c r="V75" i="158"/>
  <c r="Y75" i="158"/>
  <c r="T76" i="158"/>
  <c r="U76" i="158"/>
  <c r="V76" i="158"/>
  <c r="W76" i="158"/>
  <c r="X76" i="158" s="1"/>
  <c r="Y76" i="158"/>
  <c r="T77" i="158"/>
  <c r="W77" i="158" s="1"/>
  <c r="X77" i="158" s="1"/>
  <c r="U77" i="158"/>
  <c r="V77" i="158"/>
  <c r="Y77" i="158"/>
  <c r="T78" i="158"/>
  <c r="W78" i="158" s="1"/>
  <c r="X78" i="158" s="1"/>
  <c r="U78" i="158"/>
  <c r="V78" i="158"/>
  <c r="Y78" i="158"/>
  <c r="T79" i="158"/>
  <c r="W79" i="158" s="1"/>
  <c r="X79" i="158" s="1"/>
  <c r="U79" i="158"/>
  <c r="V79" i="158"/>
  <c r="Y79" i="158"/>
  <c r="T80" i="158"/>
  <c r="W80" i="158" s="1"/>
  <c r="X80" i="158" s="1"/>
  <c r="U80" i="158"/>
  <c r="V80" i="158"/>
  <c r="Y80" i="158"/>
  <c r="T81" i="158"/>
  <c r="W81" i="158" s="1"/>
  <c r="X81" i="158" s="1"/>
  <c r="U81" i="158"/>
  <c r="V81" i="158"/>
  <c r="Y81" i="158"/>
  <c r="T82" i="158"/>
  <c r="W82" i="158" s="1"/>
  <c r="X82" i="158" s="1"/>
  <c r="U82" i="158"/>
  <c r="V82" i="158"/>
  <c r="Y82" i="158"/>
  <c r="T83" i="158"/>
  <c r="W83" i="158" s="1"/>
  <c r="X83" i="158" s="1"/>
  <c r="U83" i="158"/>
  <c r="V83" i="158"/>
  <c r="Y83" i="158"/>
  <c r="T84" i="158"/>
  <c r="W84" i="158" s="1"/>
  <c r="X84" i="158" s="1"/>
  <c r="U84" i="158"/>
  <c r="V84" i="158"/>
  <c r="Y84" i="158"/>
  <c r="T85" i="158"/>
  <c r="W85" i="158" s="1"/>
  <c r="X85" i="158" s="1"/>
  <c r="U85" i="158"/>
  <c r="V85" i="158"/>
  <c r="Y85" i="158"/>
  <c r="T86" i="158"/>
  <c r="W86" i="158" s="1"/>
  <c r="X86" i="158" s="1"/>
  <c r="U86" i="158"/>
  <c r="V86" i="158"/>
  <c r="Y86" i="158"/>
  <c r="T87" i="158"/>
  <c r="W87" i="158" s="1"/>
  <c r="X87" i="158" s="1"/>
  <c r="U87" i="158"/>
  <c r="V87" i="158"/>
  <c r="Y87" i="158"/>
  <c r="T88" i="158"/>
  <c r="W88" i="158" s="1"/>
  <c r="X88" i="158" s="1"/>
  <c r="U88" i="158"/>
  <c r="V88" i="158"/>
  <c r="Y88" i="158"/>
  <c r="T89" i="158"/>
  <c r="W89" i="158" s="1"/>
  <c r="X89" i="158" s="1"/>
  <c r="U89" i="158"/>
  <c r="V89" i="158"/>
  <c r="Y89" i="158"/>
  <c r="T90" i="158"/>
  <c r="W90" i="158" s="1"/>
  <c r="X90" i="158" s="1"/>
  <c r="U90" i="158"/>
  <c r="V90" i="158"/>
  <c r="Y90" i="158"/>
  <c r="T91" i="158"/>
  <c r="W91" i="158" s="1"/>
  <c r="X91" i="158" s="1"/>
  <c r="U91" i="158"/>
  <c r="V91" i="158"/>
  <c r="Y91" i="158"/>
  <c r="T92" i="158"/>
  <c r="W92" i="158" s="1"/>
  <c r="X92" i="158" s="1"/>
  <c r="U92" i="158"/>
  <c r="V92" i="158"/>
  <c r="Y92" i="158"/>
  <c r="T93" i="158"/>
  <c r="W93" i="158" s="1"/>
  <c r="X93" i="158" s="1"/>
  <c r="U93" i="158"/>
  <c r="V93" i="158"/>
  <c r="Y93" i="158"/>
  <c r="T94" i="158"/>
  <c r="W94" i="158" s="1"/>
  <c r="X94" i="158" s="1"/>
  <c r="U94" i="158"/>
  <c r="V94" i="158"/>
  <c r="Y94" i="158"/>
  <c r="T95" i="158"/>
  <c r="W95" i="158" s="1"/>
  <c r="X95" i="158" s="1"/>
  <c r="U95" i="158"/>
  <c r="V95" i="158"/>
  <c r="Y95" i="158"/>
  <c r="T96" i="158"/>
  <c r="W96" i="158" s="1"/>
  <c r="X96" i="158" s="1"/>
  <c r="U96" i="158"/>
  <c r="V96" i="158"/>
  <c r="Y96" i="158"/>
  <c r="T97" i="158"/>
  <c r="W97" i="158" s="1"/>
  <c r="X97" i="158" s="1"/>
  <c r="U97" i="158"/>
  <c r="V97" i="158"/>
  <c r="Y97" i="158"/>
  <c r="T98" i="158"/>
  <c r="W98" i="158" s="1"/>
  <c r="X98" i="158" s="1"/>
  <c r="U98" i="158"/>
  <c r="V98" i="158"/>
  <c r="Y98" i="158"/>
  <c r="T99" i="158"/>
  <c r="W99" i="158" s="1"/>
  <c r="X99" i="158" s="1"/>
  <c r="U99" i="158"/>
  <c r="V99" i="158"/>
  <c r="Y99" i="158"/>
  <c r="T100" i="158"/>
  <c r="W100" i="158" s="1"/>
  <c r="X100" i="158" s="1"/>
  <c r="U100" i="158"/>
  <c r="V100" i="158"/>
  <c r="Y100" i="158"/>
  <c r="T101" i="158"/>
  <c r="W101" i="158" s="1"/>
  <c r="X101" i="158" s="1"/>
  <c r="U101" i="158"/>
  <c r="V101" i="158"/>
  <c r="Y101" i="158"/>
  <c r="T102" i="158"/>
  <c r="W102" i="158" s="1"/>
  <c r="X102" i="158" s="1"/>
  <c r="U102" i="158"/>
  <c r="V102" i="158"/>
  <c r="Y102" i="158"/>
  <c r="T103" i="158"/>
  <c r="W103" i="158" s="1"/>
  <c r="X103" i="158" s="1"/>
  <c r="U103" i="158"/>
  <c r="V103" i="158"/>
  <c r="Y103" i="158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F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D4" i="167" l="1"/>
  <c r="E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H4" i="167" l="1"/>
  <c r="I4" i="167" s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T7" i="158" l="1"/>
  <c r="W7" i="158" s="1"/>
  <c r="X7" i="158" s="1"/>
  <c r="U7" i="158"/>
  <c r="Y7" i="158"/>
  <c r="V7" i="158"/>
  <c r="Y10" i="158"/>
  <c r="V10" i="158"/>
  <c r="T10" i="158"/>
  <c r="W10" i="158" s="1"/>
  <c r="X10" i="158" s="1"/>
  <c r="U10" i="158"/>
  <c r="U5" i="158"/>
  <c r="V5" i="158"/>
  <c r="Y5" i="158"/>
  <c r="T5" i="158"/>
  <c r="W5" i="158" s="1"/>
  <c r="X5" i="158" s="1"/>
  <c r="J25" i="160"/>
  <c r="U13" i="158"/>
  <c r="V13" i="158"/>
  <c r="T13" i="158"/>
  <c r="W13" i="158" s="1"/>
  <c r="X13" i="158" s="1"/>
  <c r="Y13" i="158"/>
  <c r="U8" i="158"/>
  <c r="T8" i="158"/>
  <c r="W8" i="158" s="1"/>
  <c r="X8" i="158" s="1"/>
  <c r="V8" i="158"/>
  <c r="Y8" i="158"/>
  <c r="U11" i="158"/>
  <c r="Y11" i="158"/>
  <c r="T11" i="158"/>
  <c r="W11" i="158" s="1"/>
  <c r="X11" i="158" s="1"/>
  <c r="V11" i="158"/>
  <c r="Y6" i="158"/>
  <c r="T6" i="158"/>
  <c r="W6" i="158" s="1"/>
  <c r="X6" i="158" s="1"/>
  <c r="U6" i="158"/>
  <c r="V6" i="158"/>
  <c r="J16" i="160"/>
  <c r="Y4" i="158"/>
  <c r="V4" i="158"/>
  <c r="U4" i="158"/>
  <c r="T4" i="158"/>
  <c r="U9" i="158"/>
  <c r="Y9" i="158"/>
  <c r="T9" i="158"/>
  <c r="W9" i="158" s="1"/>
  <c r="X9" i="158" s="1"/>
  <c r="V9" i="158"/>
  <c r="Y12" i="158"/>
  <c r="T12" i="158"/>
  <c r="W12" i="158" s="1"/>
  <c r="X12" i="158" s="1"/>
  <c r="U12" i="158"/>
  <c r="V12" i="158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V104" i="158" l="1"/>
  <c r="E6" i="168" s="1"/>
  <c r="Y104" i="158"/>
  <c r="E9" i="168" s="1"/>
  <c r="W4" i="158"/>
  <c r="T104" i="158"/>
  <c r="E4" i="168" s="1"/>
  <c r="U104" i="158"/>
  <c r="E5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AQ81" i="159"/>
  <c r="W104" i="158"/>
  <c r="E7" i="168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<sst xmlns="http://schemas.openxmlformats.org/spreadsheetml/2006/main" count="1944" uniqueCount="433">
  <si>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</si>
  <si>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</si>
  <si>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</si>
  <si>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</si>
  <si>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</si>
  <si>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</si>
  <si>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</si>
  <si>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</si>
  <si>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</si>
  <si>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</si>
  <si>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</si>
  <si>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</si>
  <si>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</si>
  <si>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</si>
  <si>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</si>
  <si>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</si>
  <si>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</si>
  <si>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</si>
  <si>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</si>
  <si>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</si>
  <si>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</si>
  <si>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</si>
  <si>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</si>
  <si>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</si>
  <si>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</si>
  <si>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</si>
  <si>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</si>
  <si>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</si>
  <si>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</si>
  <si>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</si>
  <si>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</si>
  <si>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</si>
  <si>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</si>
  <si>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</si>
  <si>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</si>
  <si>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</si>
  <si>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</si>
  <si>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</si>
  <si>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</si>
  <si>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</si>
  <si>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</si>
  <si>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</si>
  <si>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</si>
  <si>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</si>
  <si>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</si>
  <si>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</si>
  <si>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</si>
  <si>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</si>
  <si>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</si>
  <si>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</si>
  <si>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</si>
  <si>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</si>
  <si>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</si>
  <si>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</si>
  <si>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</si>
  <si>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</si>
  <si>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</si>
  <si>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</si>
  <si>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</si>
  <si>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</si>
  <si>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</si>
  <si>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</si>
  <si>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</si>
  <si>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</si>
  <si>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</si>
  <si>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</si>
  <si>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</si>
  <si>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</si>
  <si>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</si>
  <si>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</si>
  <si>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</si>
  <si>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</si>
  <si>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</si>
  <si>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</si>
  <si>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</si>
  <si>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</si>
  <si>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</si>
  <si>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</si>
  <si>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</si>
  <si>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</si>
  <si>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</si>
  <si>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</si>
  <si>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</si>
  <si>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</si>
  <si>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</si>
  <si>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</si>
  <si>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</si>
  <si>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</si>
  <si>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</si>
  <si>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</si>
  <si>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</si>
  <si>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</si>
  <si>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</si>
  <si>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</si>
  <si>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</si>
  <si>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</si>
  <si>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</si>
  <si>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</si>
  <si>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</si>
  <si>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</si>
  <si>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</si>
  <si>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</si>
  <si>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</si>
  <si>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</si>
  <si>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</si>
  <si>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</si>
  <si>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</si>
  <si>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</si>
  <si>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</si>
  <si>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</si>
  <si>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</si>
  <si>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</si>
  <si>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</si>
  <si>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</si>
  <si>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</si>
  <si>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</si>
  <si>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</si>
  <si>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</si>
  <si>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</si>
  <si>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</si>
  <si>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</si>
  <si>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</si>
  <si>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</si>
  <si>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</si>
  <si>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</si>
  <si>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</si>
  <si>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</si>
  <si>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</si>
  <si>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</si>
  <si>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</si>
  <si>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</si>
  <si>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</si>
  <si>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</si>
  <si>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</si>
  <si>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</si>
  <si>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</si>
  <si>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</si>
  <si>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</si>
  <si>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</si>
  <si>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</si>
  <si>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</si>
  <si>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</si>
  <si>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</si>
  <si>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</si>
  <si>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</si>
  <si>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</si>
  <si>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</si>
  <si>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</si>
  <si>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</si>
  <si>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</si>
  <si>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</si>
  <si>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</si>
  <si>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</si>
  <si>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</si>
  <si>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</si>
  <si>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</si>
  <si>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</si>
  <si>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</si>
  <si>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</si>
  <si>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</si>
  <si>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</si>
  <si>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</si>
  <si>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</si>
  <si>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</si>
  <si>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</si>
  <si>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</si>
  <si>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</si>
  <si>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</si>
  <si>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</si>
  <si>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</si>
  <si>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</si>
  <si>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</si>
  <si>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</si>
  <si>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</si>
  <si>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</si>
  <si>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</si>
  <si>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</si>
  <si>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</si>
  <si>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</si>
  <si>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</si>
  <si>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</si>
  <si>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</si>
  <si>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</si>
  <si>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</si>
  <si>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</si>
  <si>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</si>
  <si>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</si>
  <si>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</si>
  <si>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</si>
  <si>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</si>
  <si>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</si>
  <si>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</si>
  <si>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</si>
  <si>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</si>
  <si>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</si>
  <si>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</si>
  <si>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</si>
  <si>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</si>
  <si>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</si>
  <si>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</si>
  <si>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</si>
  <si>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</si>
  <si>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</si>
  <si>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</si>
  <si>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</si>
  <si>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</si>
  <si>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</si>
  <si>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</si>
  <si>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</si>
  <si>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</si>
  <si>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</si>
  <si>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</si>
  <si>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</si>
  <si>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</si>
  <si>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</si>
  <si>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</si>
  <si>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</si>
  <si>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</si>
  <si>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</si>
  <si>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</si>
  <si>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</si>
  <si>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</si>
  <si>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</si>
  <si>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</si>
  <si>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</si>
  <si>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</si>
  <si>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</si>
  <si>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</si>
  <si>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</si>
  <si>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</si>
  <si>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</si>
  <si>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</si>
  <si>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</si>
  <si>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</si>
  <si>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</si>
  <si>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</si>
  <si>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</si>
  <si>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</si>
  <si>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</si>
  <si>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</si>
  <si>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</si>
  <si>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</si>
  <si>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</si>
  <si>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</si>
  <si>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</si>
  <si>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</si>
  <si>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</si>
  <si>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</si>
  <si>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</si>
  <si>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</si>
  <si>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</si>
  <si>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</si>
  <si>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</si>
  <si>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</si>
  <si>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</si>
  <si>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</si>
  <si>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</si>
  <si>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</si>
  <si>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</si>
  <si>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</si>
  <si>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</si>
  <si>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</si>
  <si>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</si>
  <si>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</si>
  <si>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</si>
  <si>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</si>
  <si>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</si>
  <si>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</si>
  <si>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</si>
  <si>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</si>
  <si>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</si>
  <si>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</si>
  <si>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</si>
  <si>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</si>
  <si>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</si>
  <si>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</si>
  <si>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</si>
  <si>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</si>
  <si>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</si>
  <si>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</si>
  <si>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</si>
  <si>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</si>
  <si>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</si>
  <si>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</si>
  <si>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</si>
  <si>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</si>
  <si>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</si>
  <si>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</si>
  <si>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</si>
  <si>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</si>
  <si>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</si>
  <si>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</si>
  <si>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</si>
  <si>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</si>
  <si>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</si>
  <si>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</si>
  <si>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</si>
  <si>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</si>
  <si>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</si>
  <si>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</si>
  <si>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</si>
  <si>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</si>
  <si>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</si>
  <si>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</si>
  <si>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</si>
  <si>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</si>
  <si>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</si>
  <si>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</si>
  <si>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</si>
  <si>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</si>
  <si>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</si>
  <si>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</si>
  <si>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</si>
  <si>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</si>
  <si>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</si>
  <si>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</si>
  <si>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</si>
  <si>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</si>
  <si>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</si>
  <si>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</si>
  <si>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</si>
  <si>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</si>
  <si>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</si>
  <si>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</si>
  <si>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</si>
  <si>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</si>
  <si>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</si>
  <si>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</si>
  <si>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</si>
  <si>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</si>
  <si>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</si>
  <si>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</si>
  <si>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</si>
  <si>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</si>
  <si>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</si>
  <si>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</si>
  <si>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</si>
  <si>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</si>
  <si>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</si>
  <si>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</si>
  <si>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</si>
  <si>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</si>
  <si>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</si>
  <si>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</si>
  <si>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</si>
  <si>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</si>
  <si>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</si>
  <si>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</si>
  <si>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</si>
  <si>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</si>
  <si>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</si>
  <si>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</si>
  <si>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</si>
  <si>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</si>
  <si>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</si>
  <si>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</si>
  <si>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</si>
  <si>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</si>
  <si>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</si>
  <si>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</si>
  <si>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</si>
  <si>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</si>
  <si>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</si>
  <si>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</si>
  <si>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</si>
  <si>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</si>
  <si>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</si>
  <si>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</si>
  <si>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</si>
  <si>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</si>
  <si>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</si>
  <si>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</si>
  <si>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</si>
  <si>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</si>
  <si>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</si>
  <si>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</si>
  <si>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</si>
  <si>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</si>
  <si>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</si>
  <si>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</si>
  <si>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</si>
  <si>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</si>
  <si>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</si>
  <si>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</si>
  <si>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</si>
  <si>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</si>
  <si>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</si>
  <si>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</si>
  <si>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</si>
  <si>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</si>
  <si>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</si>
  <si>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</si>
  <si>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</si>
  <si>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</si>
  <si>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</si>
  <si>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</si>
  <si>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</si>
  <si>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</si>
  <si>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</si>
  <si>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</si>
  <si>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</si>
  <si>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</si>
  <si>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</si>
  <si>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</si>
  <si>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PRIMA MYSTIQUE</t>
  </si>
  <si>
    <t>Hyderabad</t>
  </si>
  <si>
    <t>ABPL-DE-19.20-2041</t>
  </si>
  <si>
    <t>104720 Honey Satin Anodizing</t>
  </si>
  <si>
    <t>W1</t>
  </si>
  <si>
    <t>M940 &amp; M900</t>
  </si>
  <si>
    <t>20MM</t>
  </si>
  <si>
    <t>NO</t>
  </si>
  <si>
    <t>W2</t>
  </si>
  <si>
    <t>-</t>
  </si>
  <si>
    <t>W3</t>
  </si>
  <si>
    <t>M940</t>
  </si>
  <si>
    <t>SIDE HUNG WINDOW</t>
  </si>
  <si>
    <t>KW</t>
  </si>
  <si>
    <t>CASEMENT WINDOW</t>
  </si>
  <si>
    <t>KW1</t>
  </si>
  <si>
    <t>V1</t>
  </si>
  <si>
    <t>20MM (F)</t>
  </si>
  <si>
    <t>FD1 - TOP</t>
  </si>
  <si>
    <t>FIXED GLASS 3 NO'S</t>
  </si>
  <si>
    <t>FD1 - BOTTOM</t>
  </si>
  <si>
    <t>M14600</t>
  </si>
  <si>
    <t>3 TRACK 3 SHUTTER SLIDING DOOR</t>
  </si>
  <si>
    <t>FD2</t>
  </si>
  <si>
    <t>2 TRACK 2 SHUTTER SLIDING DOOR</t>
  </si>
  <si>
    <t>20mm :- 5mm Clear Toughened Glass + 10mm Spacer + 5mm Clear Toughened Glass</t>
  </si>
  <si>
    <t>20mm (F) :- 5mm Frosted Toughened Glass + 10mm Spacer + 5mm Clear Toughened Glass</t>
  </si>
  <si>
    <t>R2</t>
  </si>
  <si>
    <t>2 TRACK 2 SHUTTER SLIDING WINDOW WITH BOTTOM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</si>
</sst>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50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27" fillId="0" borderId="127" xfId="132" applyFont="1" applyFill="1" applyBorder="1" applyAlignment="1">
      <alignment horizontal="right" vertical="center"/>
    </xf>
    <xf numFmtId="199" fontId="127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1596736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119150</xdr:rowOff>
    </xdr:from>
    <xdr:to>
      <xdr:col>13</xdr:col>
      <xdr:colOff>1593272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8122650"/>
          <a:ext cx="16660093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405846</xdr:colOff>
      <xdr:row>8</xdr:row>
      <xdr:rowOff>57978</xdr:rowOff>
    </xdr:from>
    <xdr:to>
      <xdr:col>8</xdr:col>
      <xdr:colOff>66259</xdr:colOff>
      <xdr:row>16</xdr:row>
      <xdr:rowOff>132079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6" y="1532282"/>
          <a:ext cx="2294283" cy="2592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323021</xdr:colOff>
      <xdr:row>19</xdr:row>
      <xdr:rowOff>82826</xdr:rowOff>
    </xdr:from>
    <xdr:to>
      <xdr:col>7</xdr:col>
      <xdr:colOff>16565</xdr:colOff>
      <xdr:row>27</xdr:row>
      <xdr:rowOff>267775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1" y="4870174"/>
          <a:ext cx="2062370" cy="270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546651</xdr:colOff>
      <xdr:row>30</xdr:row>
      <xdr:rowOff>140804</xdr:rowOff>
    </xdr:from>
    <xdr:to>
      <xdr:col>5</xdr:col>
      <xdr:colOff>1764195</xdr:colOff>
      <xdr:row>38</xdr:row>
      <xdr:rowOff>175435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651" y="8241195"/>
          <a:ext cx="1217544" cy="2552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604629</xdr:colOff>
      <xdr:row>42</xdr:row>
      <xdr:rowOff>165651</xdr:rowOff>
    </xdr:from>
    <xdr:to>
      <xdr:col>7</xdr:col>
      <xdr:colOff>165651</xdr:colOff>
      <xdr:row>48</xdr:row>
      <xdr:rowOff>93333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0" y="11893825"/>
          <a:ext cx="2625587" cy="1816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530087</xdr:colOff>
      <xdr:row>53</xdr:row>
      <xdr:rowOff>66260</xdr:rowOff>
    </xdr:from>
    <xdr:to>
      <xdr:col>5</xdr:col>
      <xdr:colOff>1863587</xdr:colOff>
      <xdr:row>58</xdr:row>
      <xdr:rowOff>77907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087" y="15107477"/>
          <a:ext cx="1333500" cy="158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64</xdr:row>
      <xdr:rowOff>281608</xdr:rowOff>
    </xdr:from>
    <xdr:to>
      <xdr:col>6</xdr:col>
      <xdr:colOff>74543</xdr:colOff>
      <xdr:row>69</xdr:row>
      <xdr:rowOff>67295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18635869"/>
          <a:ext cx="1673087" cy="135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571498</xdr:colOff>
      <xdr:row>75</xdr:row>
      <xdr:rowOff>231913</xdr:rowOff>
    </xdr:from>
    <xdr:to>
      <xdr:col>9</xdr:col>
      <xdr:colOff>228506</xdr:colOff>
      <xdr:row>80</xdr:row>
      <xdr:rowOff>165652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4" y="21899217"/>
          <a:ext cx="4162747" cy="150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339586</xdr:colOff>
      <xdr:row>85</xdr:row>
      <xdr:rowOff>66261</xdr:rowOff>
    </xdr:from>
    <xdr:to>
      <xdr:col>8</xdr:col>
      <xdr:colOff>281608</xdr:colOff>
      <xdr:row>93</xdr:row>
      <xdr:rowOff>209156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7" y="24731870"/>
          <a:ext cx="3271631" cy="26608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96</xdr:row>
      <xdr:rowOff>149085</xdr:rowOff>
    </xdr:from>
    <xdr:to>
      <xdr:col>7</xdr:col>
      <xdr:colOff>173935</xdr:colOff>
      <xdr:row>104</xdr:row>
      <xdr:rowOff>194034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28127737"/>
          <a:ext cx="2509631" cy="256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97" zoomScale="115" zoomScaleNormal="100" zoomScaleSheetLayoutView="115" workbookViewId="0">
      <selection activeCell="P101" sqref="P10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7" t="s">
        <v>103</v>
      </c>
      <c r="N2" s="535" t="str">
        <f>QUOTATION!M6</f>
        <v>ABPL-DE-19.20-2041</v>
      </c>
      <c r="O2" s="535"/>
      <c r="P2" s="219" t="s">
        <v>259</v>
      </c>
    </row>
    <row r="3" spans="2:16">
      <c r="B3" s="218"/>
      <c r="C3" s="534" t="s">
        <v>126</v>
      </c>
      <c r="D3" s="534"/>
      <c r="E3" s="534"/>
      <c r="F3" s="535" t="str">
        <f>QUOTATION!F7</f>
        <v>PRIMA MYSTIQUE</v>
      </c>
      <c r="G3" s="535"/>
      <c r="H3" s="535"/>
      <c r="I3" s="535"/>
      <c r="J3" s="535"/>
      <c r="K3" s="535"/>
      <c r="L3" s="535"/>
      <c r="M3" s="287" t="s">
        <v>104</v>
      </c>
      <c r="N3" s="541">
        <f>QUOTATION!M7</f>
        <v>43378</v>
      </c>
      <c r="O3" s="542"/>
      <c r="P3" s="219" t="s">
        <v>258</v>
      </c>
    </row>
    <row r="4" spans="2:16">
      <c r="B4" s="218"/>
      <c r="C4" s="534" t="s">
        <v>127</v>
      </c>
      <c r="D4" s="534"/>
      <c r="E4" s="534"/>
      <c r="F4" s="288" t="str">
        <f>QUOTATION!F8</f>
        <v>Hyderabad</v>
      </c>
      <c r="G4" s="534"/>
      <c r="H4" s="534"/>
      <c r="I4" s="536" t="s">
        <v>182</v>
      </c>
      <c r="J4" s="536"/>
      <c r="K4" s="535" t="str">
        <f>QUOTATION!I8</f>
        <v>1.5Kpa</v>
      </c>
      <c r="L4" s="535"/>
      <c r="M4" s="287" t="s">
        <v>105</v>
      </c>
      <c r="N4" s="289" t="str">
        <f>QUOTATION!M8</f>
        <v>R2</v>
      </c>
      <c r="O4" s="290">
        <f>QUOTATION!N8</f>
        <v>43601</v>
      </c>
    </row>
    <row r="5" spans="2:16">
      <c r="B5" s="218"/>
      <c r="C5" s="534" t="s">
        <v>171</v>
      </c>
      <c r="D5" s="534"/>
      <c r="E5" s="534"/>
      <c r="F5" s="535" t="str">
        <f>QUOTATION!F9</f>
        <v>Mr. Anamol Anand : 7702300826</v>
      </c>
      <c r="G5" s="535"/>
      <c r="H5" s="535"/>
      <c r="I5" s="535"/>
      <c r="J5" s="535"/>
      <c r="K5" s="535"/>
      <c r="L5" s="535"/>
      <c r="M5" s="287" t="s">
        <v>181</v>
      </c>
      <c r="N5" s="535" t="str">
        <f>QUOTATION!M9</f>
        <v>Pradeep</v>
      </c>
      <c r="O5" s="535"/>
    </row>
    <row r="6" spans="2:16">
      <c r="B6" s="218"/>
      <c r="C6" s="534" t="s">
        <v>179</v>
      </c>
      <c r="D6" s="534"/>
      <c r="E6" s="534"/>
      <c r="F6" s="288" t="str">
        <f>QUOTATION!F10</f>
        <v>104720 Honey Satin Anodizing</v>
      </c>
      <c r="G6" s="534"/>
      <c r="H6" s="534"/>
      <c r="I6" s="536" t="s">
        <v>180</v>
      </c>
      <c r="J6" s="536"/>
      <c r="K6" s="535" t="str">
        <f>QUOTATION!I10</f>
        <v>Silver</v>
      </c>
      <c r="L6" s="535"/>
      <c r="M6" s="287"/>
      <c r="N6" s="536"/>
      <c r="O6" s="536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256</v>
      </c>
      <c r="D8" s="534"/>
      <c r="E8" s="289" t="str">
        <f>'BD Team'!B9</f>
        <v>W1</v>
      </c>
      <c r="F8" s="291" t="s">
        <v>257</v>
      </c>
      <c r="G8" s="535" t="str">
        <f>'BD Team'!D9</f>
        <v>2 TRACK 2 SHUTTER SLIDING WINDOW WITH BOTTOM FIXED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-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249</v>
      </c>
      <c r="M10" s="534"/>
      <c r="N10" s="535" t="str">
        <f>$F$6</f>
        <v>104720 Honey Satin Anodizing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180</v>
      </c>
      <c r="M11" s="534"/>
      <c r="N11" s="535" t="str">
        <f>$K$6</f>
        <v>Silver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250</v>
      </c>
      <c r="M12" s="534"/>
      <c r="N12" s="540" t="s">
        <v>258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251</v>
      </c>
      <c r="M13" s="534"/>
      <c r="N13" s="535" t="str">
        <f>CONCATENATE('BD Team'!H9," X ",'BD Team'!I9)</f>
        <v>1524 X 2134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252</v>
      </c>
      <c r="M14" s="534"/>
      <c r="N14" s="538">
        <f>'BD Team'!J9</f>
        <v>3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253</v>
      </c>
      <c r="M15" s="534"/>
      <c r="N15" s="535" t="str">
        <f>'BD Team'!C9</f>
        <v>M940 &amp; M900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254</v>
      </c>
      <c r="M16" s="534"/>
      <c r="N16" s="535" t="str">
        <f>'BD Team'!E9</f>
        <v>20MM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255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256</v>
      </c>
      <c r="D19" s="534"/>
      <c r="E19" s="289" t="str">
        <f>'BD Team'!B10</f>
        <v>W2</v>
      </c>
      <c r="F19" s="291" t="s">
        <v>257</v>
      </c>
      <c r="G19" s="535" t="str">
        <f>'BD Team'!D10</f>
        <v>2 TRACK 2 SHUTTER SLIDING WINDOW WITH BOTTOM FIXED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-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249</v>
      </c>
      <c r="M21" s="534"/>
      <c r="N21" s="535" t="str">
        <f>$F$6</f>
        <v>104720 Honey Satin Anodizing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180</v>
      </c>
      <c r="M22" s="534"/>
      <c r="N22" s="535" t="str">
        <f>$K$6</f>
        <v>Silver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250</v>
      </c>
      <c r="M23" s="534"/>
      <c r="N23" s="537" t="s">
        <v>258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251</v>
      </c>
      <c r="M24" s="534"/>
      <c r="N24" s="535" t="str">
        <f>CONCATENATE('BD Team'!H10," X ",'BD Team'!I10)</f>
        <v>1220 X 2134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252</v>
      </c>
      <c r="M25" s="534"/>
      <c r="N25" s="538">
        <f>'BD Team'!J10</f>
        <v>12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253</v>
      </c>
      <c r="M26" s="534"/>
      <c r="N26" s="535" t="str">
        <f>'BD Team'!C10</f>
        <v>M940 &amp; M900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254</v>
      </c>
      <c r="M27" s="534"/>
      <c r="N27" s="535" t="str">
        <f>'BD Team'!E10</f>
        <v>20MM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255</v>
      </c>
      <c r="M28" s="534"/>
      <c r="N28" s="535" t="str">
        <f>'BD Team'!F10</f>
        <v>NO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256</v>
      </c>
      <c r="D30" s="534"/>
      <c r="E30" s="289" t="str">
        <f>'BD Team'!B11</f>
        <v>W3</v>
      </c>
      <c r="F30" s="291" t="s">
        <v>257</v>
      </c>
      <c r="G30" s="535" t="str">
        <f>'BD Team'!D11</f>
        <v>SIDE HUNG WINDOW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-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249</v>
      </c>
      <c r="M32" s="534"/>
      <c r="N32" s="535" t="str">
        <f>$F$6</f>
        <v>104720 Honey Satin Anodizing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180</v>
      </c>
      <c r="M33" s="534"/>
      <c r="N33" s="535" t="str">
        <f>$K$6</f>
        <v>Silver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250</v>
      </c>
      <c r="M34" s="534"/>
      <c r="N34" s="537" t="s">
        <v>258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251</v>
      </c>
      <c r="M35" s="534"/>
      <c r="N35" s="535" t="str">
        <f>CONCATENATE('BD Team'!H11," X ",'BD Team'!I11)</f>
        <v>610 X 1524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252</v>
      </c>
      <c r="M36" s="534"/>
      <c r="N36" s="538">
        <f>'BD Team'!J11</f>
        <v>12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253</v>
      </c>
      <c r="M37" s="534"/>
      <c r="N37" s="535" t="str">
        <f>'BD Team'!C11</f>
        <v>M940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254</v>
      </c>
      <c r="M38" s="534"/>
      <c r="N38" s="535" t="str">
        <f>'BD Team'!E11</f>
        <v>20MM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255</v>
      </c>
      <c r="M39" s="534"/>
      <c r="N39" s="535" t="str">
        <f>'BD Team'!F11</f>
        <v>NO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256</v>
      </c>
      <c r="D41" s="534"/>
      <c r="E41" s="289" t="str">
        <f>'BD Team'!B12</f>
        <v>KW</v>
      </c>
      <c r="F41" s="291" t="s">
        <v>257</v>
      </c>
      <c r="G41" s="535" t="str">
        <f>'BD Team'!D12</f>
        <v>CASEMENT WINDOW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-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249</v>
      </c>
      <c r="M43" s="534"/>
      <c r="N43" s="535" t="str">
        <f>$F$6</f>
        <v>104720 Honey Satin Anodizing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180</v>
      </c>
      <c r="M44" s="534"/>
      <c r="N44" s="535" t="str">
        <f>$K$6</f>
        <v>Silver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250</v>
      </c>
      <c r="M45" s="534"/>
      <c r="N45" s="537" t="s">
        <v>258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251</v>
      </c>
      <c r="M46" s="534"/>
      <c r="N46" s="535" t="str">
        <f>CONCATENATE('BD Team'!H12," X ",'BD Team'!I12)</f>
        <v>1220 X 762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252</v>
      </c>
      <c r="M47" s="534"/>
      <c r="N47" s="538">
        <f>'BD Team'!J12</f>
        <v>3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253</v>
      </c>
      <c r="M48" s="534"/>
      <c r="N48" s="535" t="str">
        <f>'BD Team'!C12</f>
        <v>M940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254</v>
      </c>
      <c r="M49" s="534"/>
      <c r="N49" s="535" t="str">
        <f>'BD Team'!E12</f>
        <v>20MM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255</v>
      </c>
      <c r="M50" s="534"/>
      <c r="N50" s="535" t="str">
        <f>'BD Team'!F12</f>
        <v>NO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256</v>
      </c>
      <c r="D52" s="534"/>
      <c r="E52" s="289" t="str">
        <f>'BD Team'!B13</f>
        <v>KW1</v>
      </c>
      <c r="F52" s="291" t="s">
        <v>257</v>
      </c>
      <c r="G52" s="535" t="str">
        <f>'BD Team'!D13</f>
        <v>SIDE HUNG WINDOW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-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249</v>
      </c>
      <c r="M54" s="534"/>
      <c r="N54" s="535" t="str">
        <f>$F$6</f>
        <v>104720 Honey Satin Anodizing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180</v>
      </c>
      <c r="M55" s="534"/>
      <c r="N55" s="535" t="str">
        <f>$K$6</f>
        <v>Silver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250</v>
      </c>
      <c r="M56" s="534"/>
      <c r="N56" s="537" t="s">
        <v>258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251</v>
      </c>
      <c r="M57" s="534"/>
      <c r="N57" s="535" t="str">
        <f>CONCATENATE('BD Team'!H13," X ",'BD Team'!I13)</f>
        <v>610 X 762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252</v>
      </c>
      <c r="M58" s="534"/>
      <c r="N58" s="538">
        <f>'BD Team'!J13</f>
        <v>3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253</v>
      </c>
      <c r="M59" s="534"/>
      <c r="N59" s="535" t="str">
        <f>'BD Team'!C13</f>
        <v>M940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254</v>
      </c>
      <c r="M60" s="534"/>
      <c r="N60" s="535" t="str">
        <f>'BD Team'!E13</f>
        <v>20MM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255</v>
      </c>
      <c r="M61" s="534"/>
      <c r="N61" s="535" t="str">
        <f>'BD Team'!F13</f>
        <v>NO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256</v>
      </c>
      <c r="D63" s="534"/>
      <c r="E63" s="289" t="str">
        <f>'BD Team'!B14</f>
        <v>V1</v>
      </c>
      <c r="F63" s="291" t="s">
        <v>257</v>
      </c>
      <c r="G63" s="535" t="str">
        <f>'BD Team'!D14</f>
        <v>SIDE HUNG WINDOW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-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249</v>
      </c>
      <c r="M65" s="534"/>
      <c r="N65" s="535" t="str">
        <f>$F$6</f>
        <v>104720 Honey Satin Anodizing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180</v>
      </c>
      <c r="M66" s="534"/>
      <c r="N66" s="535" t="str">
        <f>$K$6</f>
        <v>Silver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250</v>
      </c>
      <c r="M67" s="534"/>
      <c r="N67" s="537" t="s">
        <v>258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251</v>
      </c>
      <c r="M68" s="534"/>
      <c r="N68" s="535" t="str">
        <f>CONCATENATE('BD Team'!H14," X ",'BD Team'!I14)</f>
        <v>610 X 458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252</v>
      </c>
      <c r="M69" s="534"/>
      <c r="N69" s="538">
        <f>'BD Team'!J14</f>
        <v>15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253</v>
      </c>
      <c r="M70" s="534"/>
      <c r="N70" s="535" t="str">
        <f>'BD Team'!C14</f>
        <v>M940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254</v>
      </c>
      <c r="M71" s="534"/>
      <c r="N71" s="535" t="str">
        <f>'BD Team'!E14</f>
        <v>20MM (F)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255</v>
      </c>
      <c r="M72" s="534"/>
      <c r="N72" s="535" t="str">
        <f>'BD Team'!F14</f>
        <v>NO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256</v>
      </c>
      <c r="D74" s="534"/>
      <c r="E74" s="289" t="str">
        <f>'BD Team'!B15</f>
        <v>FD1 - TOP</v>
      </c>
      <c r="F74" s="291" t="s">
        <v>257</v>
      </c>
      <c r="G74" s="535" t="str">
        <f>'BD Team'!D15</f>
        <v>FIXED GLASS 3 NO'S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-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249</v>
      </c>
      <c r="M76" s="534"/>
      <c r="N76" s="535" t="str">
        <f>$F$6</f>
        <v>104720 Honey Satin Anodizing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180</v>
      </c>
      <c r="M77" s="534"/>
      <c r="N77" s="535" t="str">
        <f>$K$6</f>
        <v>Silver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250</v>
      </c>
      <c r="M78" s="534"/>
      <c r="N78" s="537" t="s">
        <v>258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251</v>
      </c>
      <c r="M79" s="534"/>
      <c r="N79" s="535" t="str">
        <f>CONCATENATE('BD Team'!H15," X ",'BD Team'!I15)</f>
        <v>3658 X 990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252</v>
      </c>
      <c r="M80" s="534"/>
      <c r="N80" s="538">
        <f>'BD Team'!J15</f>
        <v>3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253</v>
      </c>
      <c r="M81" s="534"/>
      <c r="N81" s="535" t="str">
        <f>'BD Team'!C15</f>
        <v>M940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254</v>
      </c>
      <c r="M82" s="534"/>
      <c r="N82" s="535" t="str">
        <f>'BD Team'!E15</f>
        <v>20MM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255</v>
      </c>
      <c r="M83" s="534"/>
      <c r="N83" s="535" t="str">
        <f>'BD Team'!F15</f>
        <v>NO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256</v>
      </c>
      <c r="D85" s="534"/>
      <c r="E85" s="289" t="str">
        <f>'BD Team'!B16</f>
        <v>FD1 - BOTTOM</v>
      </c>
      <c r="F85" s="291" t="s">
        <v>257</v>
      </c>
      <c r="G85" s="535" t="str">
        <f>'BD Team'!D16</f>
        <v>3 TRACK 3 SHUTTER SLIDING DOOR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-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249</v>
      </c>
      <c r="M87" s="534"/>
      <c r="N87" s="535" t="str">
        <f>$F$6</f>
        <v>104720 Honey Satin Anodizing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180</v>
      </c>
      <c r="M88" s="534"/>
      <c r="N88" s="535" t="str">
        <f>$K$6</f>
        <v>Silver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250</v>
      </c>
      <c r="M89" s="534"/>
      <c r="N89" s="537" t="s">
        <v>258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251</v>
      </c>
      <c r="M90" s="534"/>
      <c r="N90" s="535" t="str">
        <f>CONCATENATE('BD Team'!H16," X ",'BD Team'!I16)</f>
        <v>3658 X 2364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252</v>
      </c>
      <c r="M91" s="534"/>
      <c r="N91" s="538">
        <f>'BD Team'!J16</f>
        <v>3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253</v>
      </c>
      <c r="M92" s="534"/>
      <c r="N92" s="535" t="str">
        <f>'BD Team'!C16</f>
        <v>M14600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254</v>
      </c>
      <c r="M93" s="534"/>
      <c r="N93" s="535" t="str">
        <f>'BD Team'!E16</f>
        <v>24MM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255</v>
      </c>
      <c r="M94" s="534"/>
      <c r="N94" s="535" t="str">
        <f>'BD Team'!F16</f>
        <v>NO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256</v>
      </c>
      <c r="D96" s="534"/>
      <c r="E96" s="289" t="str">
        <f>'BD Team'!B17</f>
        <v>FD2</v>
      </c>
      <c r="F96" s="291" t="s">
        <v>257</v>
      </c>
      <c r="G96" s="535" t="str">
        <f>'BD Team'!D17</f>
        <v>2 TRACK 2 SHUTTER SLIDING DOOR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-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249</v>
      </c>
      <c r="M98" s="534"/>
      <c r="N98" s="535" t="str">
        <f>$F$6</f>
        <v>104720 Honey Satin Anodizing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180</v>
      </c>
      <c r="M99" s="534"/>
      <c r="N99" s="535" t="str">
        <f>$K$6</f>
        <v>Silver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250</v>
      </c>
      <c r="M100" s="534"/>
      <c r="N100" s="537" t="s">
        <v>258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251</v>
      </c>
      <c r="M101" s="534"/>
      <c r="N101" s="535" t="str">
        <f>CONCATENATE('BD Team'!H17," X ",'BD Team'!I17)</f>
        <v>2744 X 2364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252</v>
      </c>
      <c r="M102" s="534"/>
      <c r="N102" s="538">
        <f>'BD Team'!J17</f>
        <v>3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253</v>
      </c>
      <c r="M103" s="534"/>
      <c r="N103" s="535" t="str">
        <f>'BD Team'!C17</f>
        <v>M14600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254</v>
      </c>
      <c r="M104" s="534"/>
      <c r="N104" s="535" t="str">
        <f>'BD Team'!E17</f>
        <v>24MM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255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256</v>
      </c>
      <c r="D107" s="534"/>
      <c r="E107" s="289">
        <f>'BD Team'!B18</f>
        <v>0</v>
      </c>
      <c r="F107" s="291" t="s">
        <v>257</v>
      </c>
      <c r="G107" s="535">
        <f>'BD Team'!D18</f>
        <v>0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>
        <f>'BD Team'!G18</f>
        <v>0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249</v>
      </c>
      <c r="M109" s="534"/>
      <c r="N109" s="535" t="str">
        <f>$F$6</f>
        <v>104720 Honey Satin Anodizing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180</v>
      </c>
      <c r="M110" s="534"/>
      <c r="N110" s="535" t="str">
        <f>$K$6</f>
        <v>Silver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250</v>
      </c>
      <c r="M111" s="534"/>
      <c r="N111" s="537" t="s">
        <v>258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251</v>
      </c>
      <c r="M112" s="534"/>
      <c r="N112" s="535" t="str">
        <f>CONCATENATE('BD Team'!H18," X ",'BD Team'!I18)</f>
        <v xml:space="preserve"> X 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252</v>
      </c>
      <c r="M113" s="534"/>
      <c r="N113" s="538">
        <f>'BD Team'!J18</f>
        <v>0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253</v>
      </c>
      <c r="M114" s="534"/>
      <c r="N114" s="535">
        <f>'BD Team'!C18</f>
        <v>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254</v>
      </c>
      <c r="M115" s="534"/>
      <c r="N115" s="535">
        <f>'BD Team'!E18</f>
        <v>0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255</v>
      </c>
      <c r="M116" s="534"/>
      <c r="N116" s="535">
        <f>'BD Team'!F18</f>
        <v>0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256</v>
      </c>
      <c r="D118" s="534"/>
      <c r="E118" s="289">
        <f>'BD Team'!B19</f>
        <v>0</v>
      </c>
      <c r="F118" s="291" t="s">
        <v>257</v>
      </c>
      <c r="G118" s="535">
        <f>'BD Team'!D19</f>
        <v>0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>
        <f>'BD Team'!G19</f>
        <v>0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249</v>
      </c>
      <c r="M120" s="534"/>
      <c r="N120" s="535" t="str">
        <f>$F$6</f>
        <v>104720 Honey Satin Anodizing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180</v>
      </c>
      <c r="M121" s="534"/>
      <c r="N121" s="535" t="str">
        <f>$K$6</f>
        <v>Silver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250</v>
      </c>
      <c r="M122" s="534"/>
      <c r="N122" s="537" t="s">
        <v>258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251</v>
      </c>
      <c r="M123" s="534"/>
      <c r="N123" s="535" t="str">
        <f>CONCATENATE('BD Team'!H19," X ",'BD Team'!I19)</f>
        <v xml:space="preserve"> X 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252</v>
      </c>
      <c r="M124" s="534"/>
      <c r="N124" s="538">
        <f>'BD Team'!J19</f>
        <v>0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253</v>
      </c>
      <c r="M125" s="534"/>
      <c r="N125" s="535">
        <f>'BD Team'!C19</f>
        <v>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254</v>
      </c>
      <c r="M126" s="534"/>
      <c r="N126" s="535">
        <f>'BD Team'!E19</f>
        <v>0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255</v>
      </c>
      <c r="M127" s="534"/>
      <c r="N127" s="535">
        <f>'BD Team'!F19</f>
        <v>0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256</v>
      </c>
      <c r="D129" s="534"/>
      <c r="E129" s="289">
        <f>'BD Team'!B20</f>
        <v>0</v>
      </c>
      <c r="F129" s="291" t="s">
        <v>257</v>
      </c>
      <c r="G129" s="535">
        <f>'BD Team'!D20</f>
        <v>0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>
        <f>'BD Team'!G20</f>
        <v>0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249</v>
      </c>
      <c r="M131" s="534"/>
      <c r="N131" s="535" t="str">
        <f>$F$6</f>
        <v>104720 Honey Satin Anodizing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180</v>
      </c>
      <c r="M132" s="534"/>
      <c r="N132" s="535" t="str">
        <f>$K$6</f>
        <v>Silver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250</v>
      </c>
      <c r="M133" s="534"/>
      <c r="N133" s="537" t="s">
        <v>258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251</v>
      </c>
      <c r="M134" s="534"/>
      <c r="N134" s="535" t="str">
        <f>CONCATENATE('BD Team'!H20," X ",'BD Team'!I20)</f>
        <v xml:space="preserve"> X 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252</v>
      </c>
      <c r="M135" s="534"/>
      <c r="N135" s="538">
        <f>'BD Team'!J20</f>
        <v>0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253</v>
      </c>
      <c r="M136" s="534"/>
      <c r="N136" s="535">
        <f>'BD Team'!C20</f>
        <v>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254</v>
      </c>
      <c r="M137" s="534"/>
      <c r="N137" s="535">
        <f>'BD Team'!E20</f>
        <v>0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255</v>
      </c>
      <c r="M138" s="534"/>
      <c r="N138" s="535">
        <f>'BD Team'!F20</f>
        <v>0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256</v>
      </c>
      <c r="D140" s="534"/>
      <c r="E140" s="289">
        <f>'BD Team'!B21</f>
        <v>0</v>
      </c>
      <c r="F140" s="291" t="s">
        <v>257</v>
      </c>
      <c r="G140" s="535">
        <f>'BD Team'!D21</f>
        <v>0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>
        <f>'BD Team'!G21</f>
        <v>0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249</v>
      </c>
      <c r="M142" s="534"/>
      <c r="N142" s="535" t="str">
        <f>$F$6</f>
        <v>104720 Honey Satin Anodizing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180</v>
      </c>
      <c r="M143" s="534"/>
      <c r="N143" s="535" t="str">
        <f>$K$6</f>
        <v>Silver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250</v>
      </c>
      <c r="M144" s="534"/>
      <c r="N144" s="537" t="s">
        <v>258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251</v>
      </c>
      <c r="M145" s="534"/>
      <c r="N145" s="535" t="str">
        <f>CONCATENATE('BD Team'!H21," X ",'BD Team'!I21)</f>
        <v xml:space="preserve"> X 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252</v>
      </c>
      <c r="M146" s="534"/>
      <c r="N146" s="538">
        <f>'BD Team'!J21</f>
        <v>0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253</v>
      </c>
      <c r="M147" s="534"/>
      <c r="N147" s="535">
        <f>'BD Team'!C21</f>
        <v>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254</v>
      </c>
      <c r="M148" s="534"/>
      <c r="N148" s="535">
        <f>'BD Team'!E21</f>
        <v>0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255</v>
      </c>
      <c r="M149" s="534"/>
      <c r="N149" s="535">
        <f>'BD Team'!F21</f>
        <v>0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256</v>
      </c>
      <c r="D151" s="534"/>
      <c r="E151" s="289">
        <f>'BD Team'!B22</f>
        <v>0</v>
      </c>
      <c r="F151" s="291" t="s">
        <v>257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249</v>
      </c>
      <c r="M153" s="534"/>
      <c r="N153" s="535" t="str">
        <f>$F$6</f>
        <v>104720 Honey Satin Anodizing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180</v>
      </c>
      <c r="M154" s="534"/>
      <c r="N154" s="535" t="str">
        <f>$K$6</f>
        <v>Silver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250</v>
      </c>
      <c r="M155" s="534"/>
      <c r="N155" s="537" t="s">
        <v>258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251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252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253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254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255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256</v>
      </c>
      <c r="D162" s="534"/>
      <c r="E162" s="289">
        <f>'BD Team'!B23</f>
        <v>0</v>
      </c>
      <c r="F162" s="291" t="s">
        <v>257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249</v>
      </c>
      <c r="M164" s="534"/>
      <c r="N164" s="535" t="str">
        <f>$F$6</f>
        <v>104720 Honey Satin Anodizing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180</v>
      </c>
      <c r="M165" s="534"/>
      <c r="N165" s="535" t="str">
        <f>$K$6</f>
        <v>Silver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250</v>
      </c>
      <c r="M166" s="534"/>
      <c r="N166" s="537" t="s">
        <v>258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251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252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253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254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255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256</v>
      </c>
      <c r="D173" s="534"/>
      <c r="E173" s="289">
        <f>'BD Team'!B24</f>
        <v>0</v>
      </c>
      <c r="F173" s="291" t="s">
        <v>257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249</v>
      </c>
      <c r="M175" s="534"/>
      <c r="N175" s="535" t="str">
        <f>$F$6</f>
        <v>104720 Honey Satin Anodizing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180</v>
      </c>
      <c r="M176" s="534"/>
      <c r="N176" s="535" t="str">
        <f>$K$6</f>
        <v>Silver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250</v>
      </c>
      <c r="M177" s="534"/>
      <c r="N177" s="537" t="s">
        <v>258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251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252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253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254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255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256</v>
      </c>
      <c r="D184" s="534"/>
      <c r="E184" s="289">
        <f>'BD Team'!B25</f>
        <v>0</v>
      </c>
      <c r="F184" s="291" t="s">
        <v>257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249</v>
      </c>
      <c r="M186" s="534"/>
      <c r="N186" s="535" t="str">
        <f>$F$6</f>
        <v>104720 Honey Satin Anodizing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180</v>
      </c>
      <c r="M187" s="534"/>
      <c r="N187" s="535" t="str">
        <f>$K$6</f>
        <v>Silver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250</v>
      </c>
      <c r="M188" s="534"/>
      <c r="N188" s="537" t="s">
        <v>258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251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252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253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254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255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256</v>
      </c>
      <c r="D195" s="534"/>
      <c r="E195" s="289">
        <f>'BD Team'!B26</f>
        <v>0</v>
      </c>
      <c r="F195" s="291" t="s">
        <v>257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249</v>
      </c>
      <c r="M197" s="534"/>
      <c r="N197" s="535" t="str">
        <f>$F$6</f>
        <v>104720 Honey Satin Anodizing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180</v>
      </c>
      <c r="M198" s="534"/>
      <c r="N198" s="535" t="str">
        <f>$K$6</f>
        <v>Silver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250</v>
      </c>
      <c r="M199" s="534"/>
      <c r="N199" s="537" t="s">
        <v>258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251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252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253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254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255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256</v>
      </c>
      <c r="D206" s="534"/>
      <c r="E206" s="289">
        <f>'BD Team'!B27</f>
        <v>0</v>
      </c>
      <c r="F206" s="291" t="s">
        <v>257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249</v>
      </c>
      <c r="M208" s="534"/>
      <c r="N208" s="535" t="str">
        <f>$F$6</f>
        <v>104720 Honey Satin Anodizing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180</v>
      </c>
      <c r="M209" s="534"/>
      <c r="N209" s="535" t="str">
        <f>$K$6</f>
        <v>Silver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250</v>
      </c>
      <c r="M210" s="534"/>
      <c r="N210" s="537" t="s">
        <v>258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251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252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253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254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255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256</v>
      </c>
      <c r="D217" s="534"/>
      <c r="E217" s="289">
        <f>'BD Team'!B28</f>
        <v>0</v>
      </c>
      <c r="F217" s="291" t="s">
        <v>257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249</v>
      </c>
      <c r="M219" s="534"/>
      <c r="N219" s="535" t="str">
        <f>$F$6</f>
        <v>104720 Honey Satin Anodizing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180</v>
      </c>
      <c r="M220" s="534"/>
      <c r="N220" s="535" t="str">
        <f>$K$6</f>
        <v>Silver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250</v>
      </c>
      <c r="M221" s="534"/>
      <c r="N221" s="537" t="s">
        <v>258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251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252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253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254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255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256</v>
      </c>
      <c r="D228" s="534"/>
      <c r="E228" s="289">
        <f>'BD Team'!B29</f>
        <v>0</v>
      </c>
      <c r="F228" s="291" t="s">
        <v>257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249</v>
      </c>
      <c r="M230" s="534"/>
      <c r="N230" s="535" t="str">
        <f>$F$6</f>
        <v>104720 Honey Satin Anodizing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180</v>
      </c>
      <c r="M231" s="534"/>
      <c r="N231" s="535" t="str">
        <f>$K$6</f>
        <v>Silver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250</v>
      </c>
      <c r="M232" s="534"/>
      <c r="N232" s="537" t="s">
        <v>258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251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252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253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254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255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256</v>
      </c>
      <c r="D239" s="534"/>
      <c r="E239" s="289">
        <f>'BD Team'!B30</f>
        <v>0</v>
      </c>
      <c r="F239" s="291" t="s">
        <v>257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249</v>
      </c>
      <c r="M241" s="534"/>
      <c r="N241" s="535" t="str">
        <f>$F$6</f>
        <v>104720 Honey Satin Anodizing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180</v>
      </c>
      <c r="M242" s="534"/>
      <c r="N242" s="535" t="str">
        <f>$K$6</f>
        <v>Silver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250</v>
      </c>
      <c r="M243" s="534"/>
      <c r="N243" s="537" t="s">
        <v>258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251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252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253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254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255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256</v>
      </c>
      <c r="D250" s="534"/>
      <c r="E250" s="289">
        <f>'BD Team'!B31</f>
        <v>0</v>
      </c>
      <c r="F250" s="291" t="s">
        <v>257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249</v>
      </c>
      <c r="M252" s="534"/>
      <c r="N252" s="535" t="str">
        <f>$F$6</f>
        <v>104720 Honey Satin Anodizing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180</v>
      </c>
      <c r="M253" s="534"/>
      <c r="N253" s="535" t="str">
        <f>$K$6</f>
        <v>Silver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250</v>
      </c>
      <c r="M254" s="534"/>
      <c r="N254" s="537" t="s">
        <v>258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251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252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253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254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255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256</v>
      </c>
      <c r="D261" s="534"/>
      <c r="E261" s="289">
        <f>'BD Team'!B32</f>
        <v>0</v>
      </c>
      <c r="F261" s="291" t="s">
        <v>257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249</v>
      </c>
      <c r="M263" s="534"/>
      <c r="N263" s="535" t="str">
        <f>$F$6</f>
        <v>104720 Honey Satin Anodizing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180</v>
      </c>
      <c r="M264" s="534"/>
      <c r="N264" s="535" t="str">
        <f>$K$6</f>
        <v>Silver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250</v>
      </c>
      <c r="M265" s="534"/>
      <c r="N265" s="537" t="s">
        <v>258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251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252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253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254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255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256</v>
      </c>
      <c r="D272" s="534"/>
      <c r="E272" s="289">
        <f>'BD Team'!B33</f>
        <v>0</v>
      </c>
      <c r="F272" s="291" t="s">
        <v>257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249</v>
      </c>
      <c r="M274" s="534"/>
      <c r="N274" s="535" t="str">
        <f>$F$6</f>
        <v>104720 Honey Satin Anodizing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180</v>
      </c>
      <c r="M275" s="534"/>
      <c r="N275" s="535" t="str">
        <f>$K$6</f>
        <v>Silver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250</v>
      </c>
      <c r="M276" s="534"/>
      <c r="N276" s="537" t="s">
        <v>258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251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252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253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254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255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256</v>
      </c>
      <c r="D283" s="534"/>
      <c r="E283" s="289">
        <f>'BD Team'!B34</f>
        <v>0</v>
      </c>
      <c r="F283" s="291" t="s">
        <v>257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249</v>
      </c>
      <c r="M285" s="534"/>
      <c r="N285" s="535" t="str">
        <f>$F$6</f>
        <v>104720 Honey Satin Anodizing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180</v>
      </c>
      <c r="M286" s="534"/>
      <c r="N286" s="535" t="str">
        <f>$K$6</f>
        <v>Silver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250</v>
      </c>
      <c r="M287" s="534"/>
      <c r="N287" s="537" t="s">
        <v>258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251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252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253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254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255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256</v>
      </c>
      <c r="D294" s="534"/>
      <c r="E294" s="289">
        <f>'BD Team'!B35</f>
        <v>0</v>
      </c>
      <c r="F294" s="291" t="s">
        <v>257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249</v>
      </c>
      <c r="M296" s="534"/>
      <c r="N296" s="535" t="str">
        <f>$F$6</f>
        <v>104720 Honey Satin Anodizing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180</v>
      </c>
      <c r="M297" s="534"/>
      <c r="N297" s="535" t="str">
        <f>$K$6</f>
        <v>Silver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250</v>
      </c>
      <c r="M298" s="534"/>
      <c r="N298" s="537" t="s">
        <v>258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251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252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253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254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255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256</v>
      </c>
      <c r="D305" s="534"/>
      <c r="E305" s="289">
        <f>'BD Team'!B36</f>
        <v>0</v>
      </c>
      <c r="F305" s="291" t="s">
        <v>257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249</v>
      </c>
      <c r="M307" s="534"/>
      <c r="N307" s="535" t="str">
        <f>$F$6</f>
        <v>104720 Honey Satin Anodizing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180</v>
      </c>
      <c r="M308" s="534"/>
      <c r="N308" s="535" t="str">
        <f>$K$6</f>
        <v>Silver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250</v>
      </c>
      <c r="M309" s="534"/>
      <c r="N309" s="537" t="s">
        <v>258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251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252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253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254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255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256</v>
      </c>
      <c r="D316" s="534"/>
      <c r="E316" s="289">
        <f>'BD Team'!B37</f>
        <v>0</v>
      </c>
      <c r="F316" s="291" t="s">
        <v>257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249</v>
      </c>
      <c r="M318" s="534"/>
      <c r="N318" s="535" t="str">
        <f>$F$6</f>
        <v>104720 Honey Satin Anodizing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180</v>
      </c>
      <c r="M319" s="534"/>
      <c r="N319" s="535" t="str">
        <f>$K$6</f>
        <v>Silver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250</v>
      </c>
      <c r="M320" s="534"/>
      <c r="N320" s="537" t="s">
        <v>258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251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252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253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254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255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256</v>
      </c>
      <c r="D327" s="534"/>
      <c r="E327" s="289">
        <f>'BD Team'!B38</f>
        <v>0</v>
      </c>
      <c r="F327" s="291" t="s">
        <v>257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249</v>
      </c>
      <c r="M329" s="534"/>
      <c r="N329" s="535" t="str">
        <f>$F$6</f>
        <v>104720 Honey Satin Anodizing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180</v>
      </c>
      <c r="M330" s="534"/>
      <c r="N330" s="535" t="str">
        <f>$K$6</f>
        <v>Silver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250</v>
      </c>
      <c r="M331" s="534"/>
      <c r="N331" s="537" t="s">
        <v>258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251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252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253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254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255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256</v>
      </c>
      <c r="D338" s="534"/>
      <c r="E338" s="289">
        <f>'BD Team'!B39</f>
        <v>0</v>
      </c>
      <c r="F338" s="291" t="s">
        <v>257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249</v>
      </c>
      <c r="M340" s="534"/>
      <c r="N340" s="535" t="str">
        <f>$F$6</f>
        <v>104720 Honey Satin Anodizing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180</v>
      </c>
      <c r="M341" s="534"/>
      <c r="N341" s="535" t="str">
        <f>$K$6</f>
        <v>Silver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250</v>
      </c>
      <c r="M342" s="534"/>
      <c r="N342" s="537" t="s">
        <v>258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251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252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253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254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255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256</v>
      </c>
      <c r="D349" s="534"/>
      <c r="E349" s="289">
        <f>'BD Team'!B40</f>
        <v>0</v>
      </c>
      <c r="F349" s="291" t="s">
        <v>257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249</v>
      </c>
      <c r="M351" s="534"/>
      <c r="N351" s="535" t="str">
        <f>$F$6</f>
        <v>104720 Honey Satin Anodizing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180</v>
      </c>
      <c r="M352" s="534"/>
      <c r="N352" s="535" t="str">
        <f>$K$6</f>
        <v>Silver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250</v>
      </c>
      <c r="M353" s="534"/>
      <c r="N353" s="537" t="s">
        <v>258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251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252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253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254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255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256</v>
      </c>
      <c r="D360" s="534"/>
      <c r="E360" s="289">
        <f>'BD Team'!B41</f>
        <v>0</v>
      </c>
      <c r="F360" s="291" t="s">
        <v>257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249</v>
      </c>
      <c r="M362" s="534"/>
      <c r="N362" s="535" t="str">
        <f>$F$6</f>
        <v>104720 Honey Satin Anodizing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180</v>
      </c>
      <c r="M363" s="534"/>
      <c r="N363" s="535" t="str">
        <f>$K$6</f>
        <v>Silver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250</v>
      </c>
      <c r="M364" s="534"/>
      <c r="N364" s="537" t="s">
        <v>258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251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252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253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254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255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256</v>
      </c>
      <c r="D371" s="534"/>
      <c r="E371" s="289">
        <f>'BD Team'!B42</f>
        <v>0</v>
      </c>
      <c r="F371" s="291" t="s">
        <v>257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249</v>
      </c>
      <c r="M373" s="534"/>
      <c r="N373" s="535" t="str">
        <f>$F$6</f>
        <v>104720 Honey Satin Anodizing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180</v>
      </c>
      <c r="M374" s="534"/>
      <c r="N374" s="535" t="str">
        <f>$K$6</f>
        <v>Silver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250</v>
      </c>
      <c r="M375" s="534"/>
      <c r="N375" s="537" t="s">
        <v>258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251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252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253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254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255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256</v>
      </c>
      <c r="D382" s="534"/>
      <c r="E382" s="289">
        <f>'BD Team'!B43</f>
        <v>0</v>
      </c>
      <c r="F382" s="291" t="s">
        <v>257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249</v>
      </c>
      <c r="M384" s="534"/>
      <c r="N384" s="535" t="str">
        <f>$F$6</f>
        <v>104720 Honey Satin Anodizing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180</v>
      </c>
      <c r="M385" s="534"/>
      <c r="N385" s="535" t="str">
        <f>$K$6</f>
        <v>Silver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250</v>
      </c>
      <c r="M386" s="534"/>
      <c r="N386" s="537" t="s">
        <v>258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251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252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253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254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255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256</v>
      </c>
      <c r="D393" s="534"/>
      <c r="E393" s="289">
        <f>'BD Team'!B44</f>
        <v>0</v>
      </c>
      <c r="F393" s="291" t="s">
        <v>257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249</v>
      </c>
      <c r="M395" s="534"/>
      <c r="N395" s="535" t="str">
        <f>$F$6</f>
        <v>104720 Honey Satin Anodizing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180</v>
      </c>
      <c r="M396" s="534"/>
      <c r="N396" s="535" t="str">
        <f>$K$6</f>
        <v>Silver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250</v>
      </c>
      <c r="M397" s="534"/>
      <c r="N397" s="537" t="s">
        <v>258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251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252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253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254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255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256</v>
      </c>
      <c r="D404" s="534"/>
      <c r="E404" s="289">
        <f>'BD Team'!B45</f>
        <v>0</v>
      </c>
      <c r="F404" s="291" t="s">
        <v>257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249</v>
      </c>
      <c r="M406" s="534"/>
      <c r="N406" s="535" t="str">
        <f>$F$6</f>
        <v>104720 Honey Satin Anodizing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180</v>
      </c>
      <c r="M407" s="534"/>
      <c r="N407" s="535" t="str">
        <f>$K$6</f>
        <v>Silver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250</v>
      </c>
      <c r="M408" s="534"/>
      <c r="N408" s="537" t="s">
        <v>258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251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252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253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254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255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256</v>
      </c>
      <c r="D415" s="534"/>
      <c r="E415" s="289">
        <f>'BD Team'!B46</f>
        <v>0</v>
      </c>
      <c r="F415" s="291" t="s">
        <v>257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249</v>
      </c>
      <c r="M417" s="534"/>
      <c r="N417" s="535" t="str">
        <f>$F$6</f>
        <v>104720 Honey Satin Anodizing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180</v>
      </c>
      <c r="M418" s="534"/>
      <c r="N418" s="535" t="str">
        <f>$K$6</f>
        <v>Silver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250</v>
      </c>
      <c r="M419" s="534"/>
      <c r="N419" s="537" t="s">
        <v>258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251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252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253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254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255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256</v>
      </c>
      <c r="D426" s="534"/>
      <c r="E426" s="289">
        <f>'BD Team'!B47</f>
        <v>0</v>
      </c>
      <c r="F426" s="291" t="s">
        <v>257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249</v>
      </c>
      <c r="M428" s="534"/>
      <c r="N428" s="535" t="str">
        <f>$F$6</f>
        <v>104720 Honey Satin Anodizing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180</v>
      </c>
      <c r="M429" s="534"/>
      <c r="N429" s="535" t="str">
        <f>$K$6</f>
        <v>Silver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250</v>
      </c>
      <c r="M430" s="534"/>
      <c r="N430" s="537" t="s">
        <v>258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251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252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253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254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255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256</v>
      </c>
      <c r="D437" s="534"/>
      <c r="E437" s="289">
        <f>'BD Team'!B48</f>
        <v>0</v>
      </c>
      <c r="F437" s="291" t="s">
        <v>257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249</v>
      </c>
      <c r="M439" s="534"/>
      <c r="N439" s="535" t="str">
        <f>$F$6</f>
        <v>104720 Honey Satin Anodizing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180</v>
      </c>
      <c r="M440" s="534"/>
      <c r="N440" s="535" t="str">
        <f>$K$6</f>
        <v>Silver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250</v>
      </c>
      <c r="M441" s="534"/>
      <c r="N441" s="537" t="s">
        <v>258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251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252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253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254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255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256</v>
      </c>
      <c r="D448" s="534"/>
      <c r="E448" s="289">
        <f>'BD Team'!B49</f>
        <v>0</v>
      </c>
      <c r="F448" s="291" t="s">
        <v>257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249</v>
      </c>
      <c r="M450" s="534"/>
      <c r="N450" s="535" t="str">
        <f>$F$6</f>
        <v>104720 Honey Satin Anodizing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180</v>
      </c>
      <c r="M451" s="534"/>
      <c r="N451" s="535" t="str">
        <f>$K$6</f>
        <v>Silver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250</v>
      </c>
      <c r="M452" s="534"/>
      <c r="N452" s="537" t="s">
        <v>258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251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252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253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254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255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256</v>
      </c>
      <c r="D459" s="534"/>
      <c r="E459" s="289">
        <f>'BD Team'!B50</f>
        <v>0</v>
      </c>
      <c r="F459" s="291" t="s">
        <v>257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249</v>
      </c>
      <c r="M461" s="534"/>
      <c r="N461" s="535" t="str">
        <f>$F$6</f>
        <v>104720 Honey Satin Anodizing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180</v>
      </c>
      <c r="M462" s="534"/>
      <c r="N462" s="535" t="str">
        <f>$K$6</f>
        <v>Silver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250</v>
      </c>
      <c r="M463" s="534"/>
      <c r="N463" s="537" t="s">
        <v>258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251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252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253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254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255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256</v>
      </c>
      <c r="D470" s="534"/>
      <c r="E470" s="289">
        <f>'BD Team'!B51</f>
        <v>0</v>
      </c>
      <c r="F470" s="291" t="s">
        <v>257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249</v>
      </c>
      <c r="M472" s="534"/>
      <c r="N472" s="535" t="str">
        <f>$F$6</f>
        <v>104720 Honey Satin Anodizing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180</v>
      </c>
      <c r="M473" s="534"/>
      <c r="N473" s="535" t="str">
        <f>$K$6</f>
        <v>Silver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250</v>
      </c>
      <c r="M474" s="534"/>
      <c r="N474" s="537" t="s">
        <v>258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251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252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253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254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255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256</v>
      </c>
      <c r="D481" s="534"/>
      <c r="E481" s="289">
        <f>'BD Team'!B52</f>
        <v>0</v>
      </c>
      <c r="F481" s="291" t="s">
        <v>257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249</v>
      </c>
      <c r="M483" s="534"/>
      <c r="N483" s="535" t="str">
        <f>$F$6</f>
        <v>104720 Honey Satin Anodizing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180</v>
      </c>
      <c r="M484" s="534"/>
      <c r="N484" s="535" t="str">
        <f>$K$6</f>
        <v>Silver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250</v>
      </c>
      <c r="M485" s="534"/>
      <c r="N485" s="537" t="s">
        <v>258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251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252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253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254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255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256</v>
      </c>
      <c r="D492" s="534"/>
      <c r="E492" s="289">
        <f>'BD Team'!B53</f>
        <v>0</v>
      </c>
      <c r="F492" s="291" t="s">
        <v>257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249</v>
      </c>
      <c r="M494" s="534"/>
      <c r="N494" s="535" t="str">
        <f>$F$6</f>
        <v>104720 Honey Satin Anodizing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180</v>
      </c>
      <c r="M495" s="534"/>
      <c r="N495" s="535" t="str">
        <f>$K$6</f>
        <v>Silver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250</v>
      </c>
      <c r="M496" s="534"/>
      <c r="N496" s="537" t="s">
        <v>258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251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252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253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254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255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256</v>
      </c>
      <c r="D503" s="534"/>
      <c r="E503" s="289">
        <f>'BD Team'!B54</f>
        <v>0</v>
      </c>
      <c r="F503" s="291" t="s">
        <v>257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249</v>
      </c>
      <c r="M505" s="534"/>
      <c r="N505" s="535" t="str">
        <f>$F$6</f>
        <v>104720 Honey Satin Anodizing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180</v>
      </c>
      <c r="M506" s="534"/>
      <c r="N506" s="535" t="str">
        <f>$K$6</f>
        <v>Silver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250</v>
      </c>
      <c r="M507" s="534"/>
      <c r="N507" s="537" t="s">
        <v>258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251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252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253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254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255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256</v>
      </c>
      <c r="D514" s="534"/>
      <c r="E514" s="289">
        <f>'BD Team'!B55</f>
        <v>0</v>
      </c>
      <c r="F514" s="291" t="s">
        <v>257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249</v>
      </c>
      <c r="M516" s="534"/>
      <c r="N516" s="535" t="str">
        <f>$F$6</f>
        <v>104720 Honey Satin Anodizing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180</v>
      </c>
      <c r="M517" s="534"/>
      <c r="N517" s="535" t="str">
        <f>$K$6</f>
        <v>Silver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250</v>
      </c>
      <c r="M518" s="534"/>
      <c r="N518" s="537" t="s">
        <v>258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251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252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253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254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255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256</v>
      </c>
      <c r="D525" s="534"/>
      <c r="E525" s="289">
        <f>'BD Team'!B56</f>
        <v>0</v>
      </c>
      <c r="F525" s="291" t="s">
        <v>257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249</v>
      </c>
      <c r="M527" s="534"/>
      <c r="N527" s="535" t="str">
        <f>$F$6</f>
        <v>104720 Honey Satin Anodizing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180</v>
      </c>
      <c r="M528" s="534"/>
      <c r="N528" s="535" t="str">
        <f>$K$6</f>
        <v>Silver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250</v>
      </c>
      <c r="M529" s="534"/>
      <c r="N529" s="537" t="s">
        <v>258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251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252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253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254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255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256</v>
      </c>
      <c r="D536" s="534"/>
      <c r="E536" s="289">
        <f>'BD Team'!B57</f>
        <v>0</v>
      </c>
      <c r="F536" s="291" t="s">
        <v>257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249</v>
      </c>
      <c r="M538" s="534"/>
      <c r="N538" s="535" t="str">
        <f>$F$6</f>
        <v>104720 Honey Satin Anodizing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180</v>
      </c>
      <c r="M539" s="534"/>
      <c r="N539" s="535" t="str">
        <f>$K$6</f>
        <v>Silver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250</v>
      </c>
      <c r="M540" s="534"/>
      <c r="N540" s="537" t="s">
        <v>258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251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252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253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254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255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256</v>
      </c>
      <c r="D547" s="534"/>
      <c r="E547" s="289">
        <f>'BD Team'!B58</f>
        <v>0</v>
      </c>
      <c r="F547" s="291" t="s">
        <v>257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249</v>
      </c>
      <c r="M549" s="534"/>
      <c r="N549" s="535" t="str">
        <f>$F$6</f>
        <v>104720 Honey Satin Anodizing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180</v>
      </c>
      <c r="M550" s="534"/>
      <c r="N550" s="535" t="str">
        <f>$K$6</f>
        <v>Silver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250</v>
      </c>
      <c r="M551" s="534"/>
      <c r="N551" s="537" t="s">
        <v>258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251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252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253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254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255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256</v>
      </c>
      <c r="D558" s="534"/>
      <c r="E558" s="292">
        <f>'BD Team'!B59</f>
        <v>0</v>
      </c>
      <c r="F558" s="291" t="s">
        <v>257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3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249</v>
      </c>
      <c r="M560" s="534"/>
      <c r="N560" s="535" t="str">
        <f>$F$6</f>
        <v>104720 Honey Satin Anodizing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180</v>
      </c>
      <c r="M561" s="534"/>
      <c r="N561" s="535" t="str">
        <f>$K$6</f>
        <v>Silver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250</v>
      </c>
      <c r="M562" s="534"/>
      <c r="N562" s="537" t="s">
        <v>258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251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252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253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254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255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256</v>
      </c>
      <c r="D569" s="534"/>
      <c r="E569" s="292">
        <f>'BD Team'!B60</f>
        <v>0</v>
      </c>
      <c r="F569" s="291" t="s">
        <v>257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3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249</v>
      </c>
      <c r="M571" s="534"/>
      <c r="N571" s="535" t="str">
        <f>$F$6</f>
        <v>104720 Honey Satin Anodizing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180</v>
      </c>
      <c r="M572" s="534"/>
      <c r="N572" s="535" t="str">
        <f>$K$6</f>
        <v>Silver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250</v>
      </c>
      <c r="M573" s="534"/>
      <c r="N573" s="537" t="s">
        <v>258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251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252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253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254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255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256</v>
      </c>
      <c r="D580" s="534"/>
      <c r="E580" s="292">
        <f>'BD Team'!B61</f>
        <v>0</v>
      </c>
      <c r="F580" s="291" t="s">
        <v>257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3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249</v>
      </c>
      <c r="M582" s="534"/>
      <c r="N582" s="535" t="str">
        <f>$F$6</f>
        <v>104720 Honey Satin Anodizing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180</v>
      </c>
      <c r="M583" s="534"/>
      <c r="N583" s="535" t="str">
        <f>$K$6</f>
        <v>Silver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250</v>
      </c>
      <c r="M584" s="534"/>
      <c r="N584" s="537" t="s">
        <v>258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251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252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253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254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255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256</v>
      </c>
      <c r="D591" s="534"/>
      <c r="E591" s="292">
        <f>'BD Team'!B62</f>
        <v>0</v>
      </c>
      <c r="F591" s="291" t="s">
        <v>257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3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249</v>
      </c>
      <c r="M593" s="534"/>
      <c r="N593" s="535" t="str">
        <f>$F$6</f>
        <v>104720 Honey Satin Anodizing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180</v>
      </c>
      <c r="M594" s="534"/>
      <c r="N594" s="535" t="str">
        <f>$K$6</f>
        <v>Silver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250</v>
      </c>
      <c r="M595" s="534"/>
      <c r="N595" s="537" t="s">
        <v>258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251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252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253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254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255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256</v>
      </c>
      <c r="D602" s="534"/>
      <c r="E602" s="292">
        <f>'BD Team'!B63</f>
        <v>0</v>
      </c>
      <c r="F602" s="291" t="s">
        <v>257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3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249</v>
      </c>
      <c r="M604" s="534"/>
      <c r="N604" s="535" t="str">
        <f>$F$6</f>
        <v>104720 Honey Satin Anodizing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180</v>
      </c>
      <c r="M605" s="534"/>
      <c r="N605" s="535" t="str">
        <f>$K$6</f>
        <v>Silver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250</v>
      </c>
      <c r="M606" s="534"/>
      <c r="N606" s="537" t="s">
        <v>258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251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252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253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254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255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256</v>
      </c>
      <c r="D613" s="534"/>
      <c r="E613" s="292">
        <f>'BD Team'!B64</f>
        <v>0</v>
      </c>
      <c r="F613" s="291" t="s">
        <v>257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3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249</v>
      </c>
      <c r="M615" s="534"/>
      <c r="N615" s="535" t="str">
        <f>$F$6</f>
        <v>104720 Honey Satin Anodizing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180</v>
      </c>
      <c r="M616" s="534"/>
      <c r="N616" s="535" t="str">
        <f>$K$6</f>
        <v>Silver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250</v>
      </c>
      <c r="M617" s="534"/>
      <c r="N617" s="537" t="s">
        <v>258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251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252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253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254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255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256</v>
      </c>
      <c r="D624" s="534"/>
      <c r="E624" s="292">
        <f>'BD Team'!B65</f>
        <v>0</v>
      </c>
      <c r="F624" s="291" t="s">
        <v>257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3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249</v>
      </c>
      <c r="M626" s="534"/>
      <c r="N626" s="535" t="str">
        <f>$F$6</f>
        <v>104720 Honey Satin Anodizing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180</v>
      </c>
      <c r="M627" s="534"/>
      <c r="N627" s="535" t="str">
        <f>$K$6</f>
        <v>Silver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250</v>
      </c>
      <c r="M628" s="534"/>
      <c r="N628" s="537" t="s">
        <v>258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251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252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253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254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255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256</v>
      </c>
      <c r="D635" s="534"/>
      <c r="E635" s="292">
        <f>'BD Team'!B66</f>
        <v>0</v>
      </c>
      <c r="F635" s="291" t="s">
        <v>257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3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249</v>
      </c>
      <c r="M637" s="534"/>
      <c r="N637" s="535" t="str">
        <f>$F$6</f>
        <v>104720 Honey Satin Anodizing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180</v>
      </c>
      <c r="M638" s="534"/>
      <c r="N638" s="535" t="str">
        <f>$K$6</f>
        <v>Silver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250</v>
      </c>
      <c r="M639" s="534"/>
      <c r="N639" s="537" t="s">
        <v>258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251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252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253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254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255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256</v>
      </c>
      <c r="D646" s="534"/>
      <c r="E646" s="292">
        <f>'BD Team'!B67</f>
        <v>0</v>
      </c>
      <c r="F646" s="291" t="s">
        <v>257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3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249</v>
      </c>
      <c r="M648" s="534"/>
      <c r="N648" s="535" t="str">
        <f>$F$6</f>
        <v>104720 Honey Satin Anodizing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180</v>
      </c>
      <c r="M649" s="534"/>
      <c r="N649" s="535" t="str">
        <f>$K$6</f>
        <v>Silver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250</v>
      </c>
      <c r="M650" s="534"/>
      <c r="N650" s="537" t="s">
        <v>258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251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252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253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254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255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256</v>
      </c>
      <c r="D657" s="534"/>
      <c r="E657" s="292">
        <f>'BD Team'!B68</f>
        <v>0</v>
      </c>
      <c r="F657" s="291" t="s">
        <v>257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3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249</v>
      </c>
      <c r="M659" s="534"/>
      <c r="N659" s="535" t="str">
        <f>$F$6</f>
        <v>104720 Honey Satin Anodizing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180</v>
      </c>
      <c r="M660" s="534"/>
      <c r="N660" s="535" t="str">
        <f>$K$6</f>
        <v>Silver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250</v>
      </c>
      <c r="M661" s="534"/>
      <c r="N661" s="537" t="s">
        <v>258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251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252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253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254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255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256</v>
      </c>
      <c r="D668" s="534"/>
      <c r="E668" s="292">
        <f>'BD Team'!B69</f>
        <v>0</v>
      </c>
      <c r="F668" s="291" t="s">
        <v>257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3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249</v>
      </c>
      <c r="M670" s="534"/>
      <c r="N670" s="535" t="str">
        <f>$F$6</f>
        <v>104720 Honey Satin Anodizing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180</v>
      </c>
      <c r="M671" s="534"/>
      <c r="N671" s="535" t="str">
        <f>$K$6</f>
        <v>Silver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250</v>
      </c>
      <c r="M672" s="534"/>
      <c r="N672" s="537" t="s">
        <v>258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251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252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253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254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255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256</v>
      </c>
      <c r="D679" s="534"/>
      <c r="E679" s="292">
        <f>'BD Team'!B70</f>
        <v>0</v>
      </c>
      <c r="F679" s="291" t="s">
        <v>257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3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249</v>
      </c>
      <c r="M681" s="534"/>
      <c r="N681" s="535" t="str">
        <f>$F$6</f>
        <v>104720 Honey Satin Anodizing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180</v>
      </c>
      <c r="M682" s="534"/>
      <c r="N682" s="535" t="str">
        <f>$K$6</f>
        <v>Silver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250</v>
      </c>
      <c r="M683" s="534"/>
      <c r="N683" s="537" t="s">
        <v>258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251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252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253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254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255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256</v>
      </c>
      <c r="D690" s="534"/>
      <c r="E690" s="292">
        <f>'BD Team'!B71</f>
        <v>0</v>
      </c>
      <c r="F690" s="291" t="s">
        <v>257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3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249</v>
      </c>
      <c r="M692" s="534"/>
      <c r="N692" s="535" t="str">
        <f>$F$6</f>
        <v>104720 Honey Satin Anodizing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180</v>
      </c>
      <c r="M693" s="534"/>
      <c r="N693" s="535" t="str">
        <f>$K$6</f>
        <v>Silver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250</v>
      </c>
      <c r="M694" s="534"/>
      <c r="N694" s="537" t="s">
        <v>258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251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252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253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254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255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256</v>
      </c>
      <c r="D701" s="534"/>
      <c r="E701" s="292">
        <f>'BD Team'!B72</f>
        <v>0</v>
      </c>
      <c r="F701" s="291" t="s">
        <v>257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3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249</v>
      </c>
      <c r="M703" s="534"/>
      <c r="N703" s="535" t="str">
        <f>$F$6</f>
        <v>104720 Honey Satin Anodizing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180</v>
      </c>
      <c r="M704" s="534"/>
      <c r="N704" s="535" t="str">
        <f>$K$6</f>
        <v>Silver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250</v>
      </c>
      <c r="M705" s="534"/>
      <c r="N705" s="537" t="s">
        <v>258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251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252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253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254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255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256</v>
      </c>
      <c r="D712" s="534"/>
      <c r="E712" s="292">
        <f>'BD Team'!B73</f>
        <v>0</v>
      </c>
      <c r="F712" s="291" t="s">
        <v>257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3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249</v>
      </c>
      <c r="M714" s="534"/>
      <c r="N714" s="535" t="str">
        <f>$F$6</f>
        <v>104720 Honey Satin Anodizing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180</v>
      </c>
      <c r="M715" s="534"/>
      <c r="N715" s="535" t="str">
        <f>$K$6</f>
        <v>Silver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250</v>
      </c>
      <c r="M716" s="534"/>
      <c r="N716" s="537" t="s">
        <v>258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251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252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253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254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255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256</v>
      </c>
      <c r="D723" s="534"/>
      <c r="E723" s="292">
        <f>'BD Team'!B74</f>
        <v>0</v>
      </c>
      <c r="F723" s="291" t="s">
        <v>257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3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249</v>
      </c>
      <c r="M725" s="534"/>
      <c r="N725" s="535" t="str">
        <f>$F$6</f>
        <v>104720 Honey Satin Anodizing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180</v>
      </c>
      <c r="M726" s="534"/>
      <c r="N726" s="535" t="str">
        <f>$K$6</f>
        <v>Silver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250</v>
      </c>
      <c r="M727" s="534"/>
      <c r="N727" s="537" t="s">
        <v>258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251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252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253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254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255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256</v>
      </c>
      <c r="D734" s="534"/>
      <c r="E734" s="292">
        <f>'BD Team'!B75</f>
        <v>0</v>
      </c>
      <c r="F734" s="291" t="s">
        <v>257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3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249</v>
      </c>
      <c r="M736" s="534"/>
      <c r="N736" s="535" t="str">
        <f>$F$6</f>
        <v>104720 Honey Satin Anodizing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180</v>
      </c>
      <c r="M737" s="534"/>
      <c r="N737" s="535" t="str">
        <f>$K$6</f>
        <v>Silver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250</v>
      </c>
      <c r="M738" s="534"/>
      <c r="N738" s="537" t="s">
        <v>258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251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252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253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254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255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256</v>
      </c>
      <c r="D745" s="534"/>
      <c r="E745" s="292">
        <f>'BD Team'!B76</f>
        <v>0</v>
      </c>
      <c r="F745" s="291" t="s">
        <v>257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3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249</v>
      </c>
      <c r="M747" s="534"/>
      <c r="N747" s="535" t="str">
        <f>$F$6</f>
        <v>104720 Honey Satin Anodizing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180</v>
      </c>
      <c r="M748" s="534"/>
      <c r="N748" s="535" t="str">
        <f>$K$6</f>
        <v>Silver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250</v>
      </c>
      <c r="M749" s="534"/>
      <c r="N749" s="537" t="s">
        <v>258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251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252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253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254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255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256</v>
      </c>
      <c r="D756" s="534"/>
      <c r="E756" s="292">
        <f>'BD Team'!B77</f>
        <v>0</v>
      </c>
      <c r="F756" s="291" t="s">
        <v>257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3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249</v>
      </c>
      <c r="M758" s="534"/>
      <c r="N758" s="535" t="str">
        <f>$F$6</f>
        <v>104720 Honey Satin Anodizing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180</v>
      </c>
      <c r="M759" s="534"/>
      <c r="N759" s="535" t="str">
        <f>$K$6</f>
        <v>Silver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250</v>
      </c>
      <c r="M760" s="534"/>
      <c r="N760" s="537" t="s">
        <v>258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251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252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253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254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255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256</v>
      </c>
      <c r="D767" s="534"/>
      <c r="E767" s="292">
        <f>'BD Team'!B78</f>
        <v>0</v>
      </c>
      <c r="F767" s="291" t="s">
        <v>257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3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249</v>
      </c>
      <c r="M769" s="534"/>
      <c r="N769" s="535" t="str">
        <f>$F$6</f>
        <v>104720 Honey Satin Anodizing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180</v>
      </c>
      <c r="M770" s="534"/>
      <c r="N770" s="535" t="str">
        <f>$K$6</f>
        <v>Silver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250</v>
      </c>
      <c r="M771" s="534"/>
      <c r="N771" s="537" t="s">
        <v>258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251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252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253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254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255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256</v>
      </c>
      <c r="D778" s="534"/>
      <c r="E778" s="292">
        <f>'BD Team'!B79</f>
        <v>0</v>
      </c>
      <c r="F778" s="291" t="s">
        <v>257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3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249</v>
      </c>
      <c r="M780" s="534"/>
      <c r="N780" s="535" t="str">
        <f>$F$6</f>
        <v>104720 Honey Satin Anodizing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180</v>
      </c>
      <c r="M781" s="534"/>
      <c r="N781" s="535" t="str">
        <f>$K$6</f>
        <v>Silver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250</v>
      </c>
      <c r="M782" s="534"/>
      <c r="N782" s="537" t="s">
        <v>258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251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252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253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254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255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256</v>
      </c>
      <c r="D789" s="534"/>
      <c r="E789" s="292">
        <f>'BD Team'!B80</f>
        <v>0</v>
      </c>
      <c r="F789" s="291" t="s">
        <v>257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3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249</v>
      </c>
      <c r="M791" s="534"/>
      <c r="N791" s="535" t="str">
        <f>$F$6</f>
        <v>104720 Honey Satin Anodizing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180</v>
      </c>
      <c r="M792" s="534"/>
      <c r="N792" s="535" t="str">
        <f>$K$6</f>
        <v>Silver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250</v>
      </c>
      <c r="M793" s="534"/>
      <c r="N793" s="537" t="s">
        <v>258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251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252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253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254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255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256</v>
      </c>
      <c r="D800" s="534"/>
      <c r="E800" s="292">
        <f>'BD Team'!B81</f>
        <v>0</v>
      </c>
      <c r="F800" s="291" t="s">
        <v>257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3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249</v>
      </c>
      <c r="M802" s="534"/>
      <c r="N802" s="535" t="str">
        <f>$F$6</f>
        <v>104720 Honey Satin Anodizing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180</v>
      </c>
      <c r="M803" s="534"/>
      <c r="N803" s="535" t="str">
        <f>$K$6</f>
        <v>Silver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250</v>
      </c>
      <c r="M804" s="534"/>
      <c r="N804" s="537" t="s">
        <v>258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251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252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253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254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255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256</v>
      </c>
      <c r="D811" s="534"/>
      <c r="E811" s="292">
        <f>'BD Team'!B82</f>
        <v>0</v>
      </c>
      <c r="F811" s="291" t="s">
        <v>257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3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249</v>
      </c>
      <c r="M813" s="534"/>
      <c r="N813" s="535" t="str">
        <f>$F$6</f>
        <v>104720 Honey Satin Anodizing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180</v>
      </c>
      <c r="M814" s="534"/>
      <c r="N814" s="535" t="str">
        <f>$K$6</f>
        <v>Silver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250</v>
      </c>
      <c r="M815" s="534"/>
      <c r="N815" s="537" t="s">
        <v>258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251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252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253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254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255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256</v>
      </c>
      <c r="D822" s="534"/>
      <c r="E822" s="292">
        <f>'BD Team'!B83</f>
        <v>0</v>
      </c>
      <c r="F822" s="291" t="s">
        <v>257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3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249</v>
      </c>
      <c r="M824" s="534"/>
      <c r="N824" s="535" t="str">
        <f>$F$6</f>
        <v>104720 Honey Satin Anodizing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180</v>
      </c>
      <c r="M825" s="534"/>
      <c r="N825" s="535" t="str">
        <f>$K$6</f>
        <v>Silver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250</v>
      </c>
      <c r="M826" s="534"/>
      <c r="N826" s="537" t="s">
        <v>258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251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252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253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254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255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256</v>
      </c>
      <c r="D833" s="534"/>
      <c r="E833" s="292">
        <f>'BD Team'!B84</f>
        <v>0</v>
      </c>
      <c r="F833" s="291" t="s">
        <v>257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3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249</v>
      </c>
      <c r="M835" s="534"/>
      <c r="N835" s="535" t="str">
        <f>$F$6</f>
        <v>104720 Honey Satin Anodizing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180</v>
      </c>
      <c r="M836" s="534"/>
      <c r="N836" s="535" t="str">
        <f>$K$6</f>
        <v>Silver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250</v>
      </c>
      <c r="M837" s="534"/>
      <c r="N837" s="537" t="s">
        <v>258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251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252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253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254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255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256</v>
      </c>
      <c r="D844" s="534"/>
      <c r="E844" s="292">
        <f>'BD Team'!B85</f>
        <v>0</v>
      </c>
      <c r="F844" s="291" t="s">
        <v>257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3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249</v>
      </c>
      <c r="M846" s="534"/>
      <c r="N846" s="535" t="str">
        <f>$F$6</f>
        <v>104720 Honey Satin Anodizing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180</v>
      </c>
      <c r="M847" s="534"/>
      <c r="N847" s="535" t="str">
        <f>$K$6</f>
        <v>Silver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250</v>
      </c>
      <c r="M848" s="534"/>
      <c r="N848" s="537" t="s">
        <v>258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251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252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253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254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255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256</v>
      </c>
      <c r="D855" s="534"/>
      <c r="E855" s="292">
        <f>'BD Team'!B86</f>
        <v>0</v>
      </c>
      <c r="F855" s="291" t="s">
        <v>257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3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249</v>
      </c>
      <c r="M857" s="534"/>
      <c r="N857" s="535" t="str">
        <f>$F$6</f>
        <v>104720 Honey Satin Anodizing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180</v>
      </c>
      <c r="M858" s="534"/>
      <c r="N858" s="535" t="str">
        <f>$K$6</f>
        <v>Silver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250</v>
      </c>
      <c r="M859" s="534"/>
      <c r="N859" s="537" t="s">
        <v>258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251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252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253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254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255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256</v>
      </c>
      <c r="D866" s="534"/>
      <c r="E866" s="292">
        <f>'BD Team'!B87</f>
        <v>0</v>
      </c>
      <c r="F866" s="291" t="s">
        <v>257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3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249</v>
      </c>
      <c r="M868" s="534"/>
      <c r="N868" s="535" t="str">
        <f>$F$6</f>
        <v>104720 Honey Satin Anodizing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180</v>
      </c>
      <c r="M869" s="534"/>
      <c r="N869" s="535" t="str">
        <f>$K$6</f>
        <v>Silver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250</v>
      </c>
      <c r="M870" s="534"/>
      <c r="N870" s="537" t="s">
        <v>258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251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252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253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254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255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256</v>
      </c>
      <c r="D877" s="534"/>
      <c r="E877" s="292">
        <f>'BD Team'!B88</f>
        <v>0</v>
      </c>
      <c r="F877" s="291" t="s">
        <v>257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3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249</v>
      </c>
      <c r="M879" s="534"/>
      <c r="N879" s="535" t="str">
        <f>$F$6</f>
        <v>104720 Honey Satin Anodizing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180</v>
      </c>
      <c r="M880" s="534"/>
      <c r="N880" s="535" t="str">
        <f>$K$6</f>
        <v>Silver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250</v>
      </c>
      <c r="M881" s="534"/>
      <c r="N881" s="537" t="s">
        <v>258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251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252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253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254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255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256</v>
      </c>
      <c r="D888" s="534"/>
      <c r="E888" s="292">
        <f>'BD Team'!B89</f>
        <v>0</v>
      </c>
      <c r="F888" s="291" t="s">
        <v>257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3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249</v>
      </c>
      <c r="M890" s="534"/>
      <c r="N890" s="535" t="str">
        <f>$F$6</f>
        <v>104720 Honey Satin Anodizing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180</v>
      </c>
      <c r="M891" s="534"/>
      <c r="N891" s="535" t="str">
        <f>$K$6</f>
        <v>Silver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250</v>
      </c>
      <c r="M892" s="534"/>
      <c r="N892" s="537" t="s">
        <v>258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251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252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253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254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255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256</v>
      </c>
      <c r="D899" s="534"/>
      <c r="E899" s="292">
        <f>'BD Team'!B90</f>
        <v>0</v>
      </c>
      <c r="F899" s="291" t="s">
        <v>257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3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249</v>
      </c>
      <c r="M901" s="534"/>
      <c r="N901" s="535" t="str">
        <f>$F$6</f>
        <v>104720 Honey Satin Anodizing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180</v>
      </c>
      <c r="M902" s="534"/>
      <c r="N902" s="535" t="str">
        <f>$K$6</f>
        <v>Silver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250</v>
      </c>
      <c r="M903" s="534"/>
      <c r="N903" s="537" t="s">
        <v>258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251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252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253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254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255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256</v>
      </c>
      <c r="D910" s="534"/>
      <c r="E910" s="292">
        <f>'BD Team'!B91</f>
        <v>0</v>
      </c>
      <c r="F910" s="291" t="s">
        <v>257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3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249</v>
      </c>
      <c r="M912" s="534"/>
      <c r="N912" s="535" t="str">
        <f>$F$6</f>
        <v>104720 Honey Satin Anodizing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180</v>
      </c>
      <c r="M913" s="534"/>
      <c r="N913" s="535" t="str">
        <f>$K$6</f>
        <v>Silver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250</v>
      </c>
      <c r="M914" s="534"/>
      <c r="N914" s="537" t="s">
        <v>258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251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252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253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254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255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256</v>
      </c>
      <c r="D921" s="534"/>
      <c r="E921" s="292">
        <f>'BD Team'!B92</f>
        <v>0</v>
      </c>
      <c r="F921" s="291" t="s">
        <v>257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3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249</v>
      </c>
      <c r="M923" s="534"/>
      <c r="N923" s="535" t="str">
        <f>$F$6</f>
        <v>104720 Honey Satin Anodizing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180</v>
      </c>
      <c r="M924" s="534"/>
      <c r="N924" s="535" t="str">
        <f>$K$6</f>
        <v>Silver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250</v>
      </c>
      <c r="M925" s="534"/>
      <c r="N925" s="537" t="s">
        <v>258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251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252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253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254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255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256</v>
      </c>
      <c r="D932" s="534"/>
      <c r="E932" s="292">
        <f>'BD Team'!B93</f>
        <v>0</v>
      </c>
      <c r="F932" s="291" t="s">
        <v>257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3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249</v>
      </c>
      <c r="M934" s="534"/>
      <c r="N934" s="535" t="str">
        <f>$F$6</f>
        <v>104720 Honey Satin Anodizing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180</v>
      </c>
      <c r="M935" s="534"/>
      <c r="N935" s="535" t="str">
        <f>$K$6</f>
        <v>Silver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250</v>
      </c>
      <c r="M936" s="534"/>
      <c r="N936" s="537" t="s">
        <v>258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251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252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253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254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255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256</v>
      </c>
      <c r="D943" s="534"/>
      <c r="E943" s="292">
        <f>'BD Team'!B94</f>
        <v>0</v>
      </c>
      <c r="F943" s="291" t="s">
        <v>257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3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249</v>
      </c>
      <c r="M945" s="534"/>
      <c r="N945" s="535" t="str">
        <f>$F$6</f>
        <v>104720 Honey Satin Anodizing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180</v>
      </c>
      <c r="M946" s="534"/>
      <c r="N946" s="535" t="str">
        <f>$K$6</f>
        <v>Silver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250</v>
      </c>
      <c r="M947" s="534"/>
      <c r="N947" s="537" t="s">
        <v>258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251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252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253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254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255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256</v>
      </c>
      <c r="D954" s="534"/>
      <c r="E954" s="292">
        <f>'BD Team'!B95</f>
        <v>0</v>
      </c>
      <c r="F954" s="291" t="s">
        <v>257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3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249</v>
      </c>
      <c r="M956" s="534"/>
      <c r="N956" s="535" t="str">
        <f>$F$6</f>
        <v>104720 Honey Satin Anodizing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180</v>
      </c>
      <c r="M957" s="534"/>
      <c r="N957" s="535" t="str">
        <f>$K$6</f>
        <v>Silver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250</v>
      </c>
      <c r="M958" s="534"/>
      <c r="N958" s="537" t="s">
        <v>258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251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252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253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254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255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256</v>
      </c>
      <c r="D965" s="534"/>
      <c r="E965" s="292">
        <f>'BD Team'!B96</f>
        <v>0</v>
      </c>
      <c r="F965" s="291" t="s">
        <v>257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3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249</v>
      </c>
      <c r="M967" s="534"/>
      <c r="N967" s="535" t="str">
        <f>$F$6</f>
        <v>104720 Honey Satin Anodizing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180</v>
      </c>
      <c r="M968" s="534"/>
      <c r="N968" s="535" t="str">
        <f>$K$6</f>
        <v>Silver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250</v>
      </c>
      <c r="M969" s="534"/>
      <c r="N969" s="537" t="s">
        <v>258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251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252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253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254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255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256</v>
      </c>
      <c r="D976" s="534"/>
      <c r="E976" s="292">
        <f>'BD Team'!B97</f>
        <v>0</v>
      </c>
      <c r="F976" s="291" t="s">
        <v>257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3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249</v>
      </c>
      <c r="M978" s="534"/>
      <c r="N978" s="535" t="str">
        <f>$F$6</f>
        <v>104720 Honey Satin Anodizing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180</v>
      </c>
      <c r="M979" s="534"/>
      <c r="N979" s="535" t="str">
        <f>$K$6</f>
        <v>Silver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250</v>
      </c>
      <c r="M980" s="534"/>
      <c r="N980" s="537" t="s">
        <v>258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251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252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253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254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255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256</v>
      </c>
      <c r="D987" s="534"/>
      <c r="E987" s="292">
        <f>'BD Team'!B98</f>
        <v>0</v>
      </c>
      <c r="F987" s="291" t="s">
        <v>257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3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249</v>
      </c>
      <c r="M989" s="534"/>
      <c r="N989" s="535" t="str">
        <f>$F$6</f>
        <v>104720 Honey Satin Anodizing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180</v>
      </c>
      <c r="M990" s="534"/>
      <c r="N990" s="535" t="str">
        <f>$K$6</f>
        <v>Silver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250</v>
      </c>
      <c r="M991" s="534"/>
      <c r="N991" s="537" t="s">
        <v>258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251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252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253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254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255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256</v>
      </c>
      <c r="D998" s="534"/>
      <c r="E998" s="292">
        <f>'BD Team'!B99</f>
        <v>0</v>
      </c>
      <c r="F998" s="291" t="s">
        <v>257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3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249</v>
      </c>
      <c r="M1000" s="534"/>
      <c r="N1000" s="535" t="str">
        <f>$F$6</f>
        <v>104720 Honey Satin Anodizing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180</v>
      </c>
      <c r="M1001" s="534"/>
      <c r="N1001" s="535" t="str">
        <f>$K$6</f>
        <v>Silver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250</v>
      </c>
      <c r="M1002" s="534"/>
      <c r="N1002" s="537" t="s">
        <v>258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251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252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253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254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255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256</v>
      </c>
      <c r="D1009" s="534"/>
      <c r="E1009" s="292">
        <f>'BD Team'!B100</f>
        <v>0</v>
      </c>
      <c r="F1009" s="291" t="s">
        <v>257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3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249</v>
      </c>
      <c r="M1011" s="534"/>
      <c r="N1011" s="535" t="str">
        <f>$F$6</f>
        <v>104720 Honey Satin Anodizing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180</v>
      </c>
      <c r="M1012" s="534"/>
      <c r="N1012" s="535" t="str">
        <f>$K$6</f>
        <v>Silver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250</v>
      </c>
      <c r="M1013" s="534"/>
      <c r="N1013" s="537" t="s">
        <v>258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251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252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253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254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255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256</v>
      </c>
      <c r="D1020" s="534"/>
      <c r="E1020" s="292">
        <f>'BD Team'!B101</f>
        <v>0</v>
      </c>
      <c r="F1020" s="291" t="s">
        <v>257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3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249</v>
      </c>
      <c r="M1022" s="534"/>
      <c r="N1022" s="535" t="str">
        <f>$F$6</f>
        <v>104720 Honey Satin Anodizing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180</v>
      </c>
      <c r="M1023" s="534"/>
      <c r="N1023" s="535" t="str">
        <f>$K$6</f>
        <v>Silver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250</v>
      </c>
      <c r="M1024" s="534"/>
      <c r="N1024" s="537" t="s">
        <v>258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251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252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253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254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255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256</v>
      </c>
      <c r="D1031" s="534"/>
      <c r="E1031" s="292">
        <f>'BD Team'!B102</f>
        <v>0</v>
      </c>
      <c r="F1031" s="291" t="s">
        <v>257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3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249</v>
      </c>
      <c r="M1033" s="534"/>
      <c r="N1033" s="535" t="str">
        <f>$F$6</f>
        <v>104720 Honey Satin Anodizing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180</v>
      </c>
      <c r="M1034" s="534"/>
      <c r="N1034" s="535" t="str">
        <f>$K$6</f>
        <v>Silver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250</v>
      </c>
      <c r="M1035" s="534"/>
      <c r="N1035" s="537" t="s">
        <v>258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251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252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253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254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255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256</v>
      </c>
      <c r="D1042" s="534"/>
      <c r="E1042" s="292">
        <f>'BD Team'!B103</f>
        <v>0</v>
      </c>
      <c r="F1042" s="291" t="s">
        <v>257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3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249</v>
      </c>
      <c r="M1044" s="534"/>
      <c r="N1044" s="535" t="str">
        <f>$F$6</f>
        <v>104720 Honey Satin Anodizing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180</v>
      </c>
      <c r="M1045" s="534"/>
      <c r="N1045" s="535" t="str">
        <f>$K$6</f>
        <v>Silver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250</v>
      </c>
      <c r="M1046" s="534"/>
      <c r="N1046" s="537" t="s">
        <v>258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251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252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253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254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255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256</v>
      </c>
      <c r="D1053" s="534"/>
      <c r="E1053" s="292">
        <f>'BD Team'!B104</f>
        <v>0</v>
      </c>
      <c r="F1053" s="291" t="s">
        <v>257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3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249</v>
      </c>
      <c r="M1055" s="534"/>
      <c r="N1055" s="535" t="str">
        <f>$F$6</f>
        <v>104720 Honey Satin Anodizing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180</v>
      </c>
      <c r="M1056" s="534"/>
      <c r="N1056" s="535" t="str">
        <f>$K$6</f>
        <v>Silver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250</v>
      </c>
      <c r="M1057" s="534"/>
      <c r="N1057" s="537" t="s">
        <v>258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251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252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253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254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255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256</v>
      </c>
      <c r="D1064" s="534"/>
      <c r="E1064" s="292">
        <f>'BD Team'!B105</f>
        <v>0</v>
      </c>
      <c r="F1064" s="291" t="s">
        <v>257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3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249</v>
      </c>
      <c r="M1066" s="534"/>
      <c r="N1066" s="535" t="str">
        <f>$F$6</f>
        <v>104720 Honey Satin Anodizing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180</v>
      </c>
      <c r="M1067" s="534"/>
      <c r="N1067" s="535" t="str">
        <f>$K$6</f>
        <v>Silver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250</v>
      </c>
      <c r="M1068" s="534"/>
      <c r="N1068" s="537" t="s">
        <v>258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251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252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253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254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255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256</v>
      </c>
      <c r="D1075" s="534"/>
      <c r="E1075" s="292">
        <f>'BD Team'!B106</f>
        <v>0</v>
      </c>
      <c r="F1075" s="291" t="s">
        <v>257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3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249</v>
      </c>
      <c r="M1077" s="534"/>
      <c r="N1077" s="535" t="str">
        <f>$F$6</f>
        <v>104720 Honey Satin Anodizing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180</v>
      </c>
      <c r="M1078" s="534"/>
      <c r="N1078" s="535" t="str">
        <f>$K$6</f>
        <v>Silver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250</v>
      </c>
      <c r="M1079" s="534"/>
      <c r="N1079" s="537" t="s">
        <v>258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251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252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253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254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255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256</v>
      </c>
      <c r="D1086" s="534"/>
      <c r="E1086" s="292">
        <f>'BD Team'!B107</f>
        <v>0</v>
      </c>
      <c r="F1086" s="291" t="s">
        <v>257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3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249</v>
      </c>
      <c r="M1088" s="534"/>
      <c r="N1088" s="535" t="str">
        <f>$F$6</f>
        <v>104720 Honey Satin Anodizing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180</v>
      </c>
      <c r="M1089" s="534"/>
      <c r="N1089" s="535" t="str">
        <f>$K$6</f>
        <v>Silver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250</v>
      </c>
      <c r="M1090" s="534"/>
      <c r="N1090" s="537" t="s">
        <v>258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251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252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253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254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255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256</v>
      </c>
      <c r="D1097" s="534"/>
      <c r="E1097" s="292">
        <f>'BD Team'!B108</f>
        <v>0</v>
      </c>
      <c r="F1097" s="291" t="s">
        <v>257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3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249</v>
      </c>
      <c r="M1099" s="534"/>
      <c r="N1099" s="535" t="str">
        <f>$F$6</f>
        <v>104720 Honey Satin Anodizing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180</v>
      </c>
      <c r="M1100" s="534"/>
      <c r="N1100" s="535" t="str">
        <f>$K$6</f>
        <v>Silver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250</v>
      </c>
      <c r="M1101" s="534"/>
      <c r="N1101" s="537" t="s">
        <v>258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251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252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253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254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255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7" t="str">
        <f>CONCATENATE(C10,"+",C11,"+",C12,"+",C13,"+",C14)</f>
        <v>8mm CTG+28MM+10MM CTG++</v>
      </c>
      <c r="C9" s="548"/>
      <c r="D9" s="548"/>
      <c r="E9" s="548"/>
      <c r="F9" s="548"/>
      <c r="G9" t="s">
        <v>265</v>
      </c>
      <c r="H9">
        <f>E24</f>
        <v>4250.4134400000003</v>
      </c>
      <c r="J9" s="547" t="str">
        <f>CONCATENATE(K10,"+",K11,"+",K12,"+",K13,"+",K14)</f>
        <v>8mm CTG+28MM+10MM CTG++</v>
      </c>
      <c r="K9" s="548"/>
      <c r="L9" s="548"/>
      <c r="M9" s="548"/>
      <c r="N9" s="548"/>
      <c r="P9" s="547" t="str">
        <f>CONCATENATE(Q10,"+",Q11,"+",Q12,"+",Q13,"+",Q14)</f>
        <v>8mm CTG+12MM+8MM CTG++</v>
      </c>
      <c r="Q9" s="548"/>
      <c r="R9" s="548"/>
      <c r="S9" s="548"/>
      <c r="T9" s="548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9" t="s">
        <v>102</v>
      </c>
      <c r="C19" s="549"/>
      <c r="D19" s="549"/>
      <c r="E19" s="107">
        <f>SUM(E10:E18)</f>
        <v>3339</v>
      </c>
      <c r="F19" s="107"/>
      <c r="J19" s="549" t="s">
        <v>102</v>
      </c>
      <c r="K19" s="549"/>
      <c r="L19" s="549"/>
      <c r="M19" s="233">
        <f>SUM(M10:M18)</f>
        <v>3339</v>
      </c>
      <c r="N19" s="233"/>
      <c r="P19" s="549" t="s">
        <v>102</v>
      </c>
      <c r="Q19" s="549"/>
      <c r="R19" s="549"/>
      <c r="S19" s="233">
        <f>SUM(S10:S18)</f>
        <v>3129</v>
      </c>
      <c r="T19" s="233"/>
    </row>
    <row r="20" spans="2:20" ht="15">
      <c r="B20" s="545" t="s">
        <v>87</v>
      </c>
      <c r="C20" s="544"/>
      <c r="D20" s="106">
        <v>0.02</v>
      </c>
      <c r="E20" s="105">
        <f>E19*D20</f>
        <v>66.78</v>
      </c>
      <c r="F20" s="105"/>
      <c r="J20" s="545" t="s">
        <v>87</v>
      </c>
      <c r="K20" s="544"/>
      <c r="L20" s="106">
        <v>0.02</v>
      </c>
      <c r="M20" s="230">
        <f>M19*L20</f>
        <v>66.78</v>
      </c>
      <c r="N20" s="230"/>
      <c r="P20" s="545" t="s">
        <v>87</v>
      </c>
      <c r="Q20" s="544"/>
      <c r="R20" s="106">
        <v>0.02</v>
      </c>
      <c r="S20" s="230">
        <f>S19*R20</f>
        <v>62.58</v>
      </c>
      <c r="T20" s="230"/>
    </row>
    <row r="21" spans="2:20" ht="15">
      <c r="B21" s="544" t="s">
        <v>122</v>
      </c>
      <c r="C21" s="544"/>
      <c r="D21" s="106">
        <v>0.04</v>
      </c>
      <c r="E21" s="105">
        <f>SUM(E19:E20)*D21</f>
        <v>136.2312</v>
      </c>
      <c r="F21" s="105"/>
      <c r="J21" s="544" t="s">
        <v>122</v>
      </c>
      <c r="K21" s="544"/>
      <c r="L21" s="106">
        <v>0.04</v>
      </c>
      <c r="M21" s="230">
        <f>SUM(M19:M20)*L21</f>
        <v>136.2312</v>
      </c>
      <c r="N21" s="230"/>
      <c r="P21" s="544" t="s">
        <v>122</v>
      </c>
      <c r="Q21" s="544"/>
      <c r="R21" s="106">
        <v>0.04</v>
      </c>
      <c r="S21" s="230">
        <f>SUM(S19:S20)*R21</f>
        <v>127.6632</v>
      </c>
      <c r="T21" s="230"/>
    </row>
    <row r="22" spans="2:20" ht="15">
      <c r="B22" s="544" t="s">
        <v>4</v>
      </c>
      <c r="C22" s="544"/>
      <c r="D22" s="106">
        <v>0.2</v>
      </c>
      <c r="E22" s="124">
        <f>SUM(E19:E21)*D22</f>
        <v>708.40224000000012</v>
      </c>
      <c r="F22" s="124"/>
      <c r="J22" s="544" t="s">
        <v>4</v>
      </c>
      <c r="K22" s="544"/>
      <c r="L22" s="106">
        <v>0.2</v>
      </c>
      <c r="M22" s="230">
        <f>SUM(M19:M21)*L22</f>
        <v>708.40224000000012</v>
      </c>
      <c r="N22" s="230"/>
      <c r="P22" s="544" t="s">
        <v>4</v>
      </c>
      <c r="Q22" s="544"/>
      <c r="R22" s="106">
        <v>0.2</v>
      </c>
      <c r="S22" s="230">
        <f>SUM(S19:S21)*R22</f>
        <v>663.84864000000005</v>
      </c>
      <c r="T22" s="230"/>
    </row>
    <row r="23" spans="2:20" ht="15">
      <c r="B23" s="545" t="s">
        <v>128</v>
      </c>
      <c r="C23" s="544"/>
      <c r="D23" s="106">
        <v>0</v>
      </c>
      <c r="E23" s="105">
        <f>SUM(E19:E22)*D23</f>
        <v>0</v>
      </c>
      <c r="F23" s="105"/>
      <c r="J23" s="545" t="s">
        <v>128</v>
      </c>
      <c r="K23" s="544"/>
      <c r="L23" s="106">
        <v>0</v>
      </c>
      <c r="M23" s="230">
        <f>SUM(M19:M22)*L23</f>
        <v>0</v>
      </c>
      <c r="N23" s="230"/>
      <c r="P23" s="545" t="s">
        <v>128</v>
      </c>
      <c r="Q23" s="544"/>
      <c r="R23" s="106">
        <v>0</v>
      </c>
      <c r="S23" s="230">
        <f>SUM(S19:S22)*R23</f>
        <v>0</v>
      </c>
      <c r="T23" s="230"/>
    </row>
    <row r="24" spans="2:20" ht="15">
      <c r="B24" s="546" t="s">
        <v>123</v>
      </c>
      <c r="C24" s="546"/>
      <c r="D24" s="546"/>
      <c r="E24" s="108">
        <f>SUM(E19:E23)</f>
        <v>4250.4134400000003</v>
      </c>
      <c r="F24" s="109" t="s">
        <v>124</v>
      </c>
      <c r="J24" s="546" t="s">
        <v>123</v>
      </c>
      <c r="K24" s="546"/>
      <c r="L24" s="546"/>
      <c r="M24" s="108">
        <f>SUM(M19:M23)</f>
        <v>4250.4134400000003</v>
      </c>
      <c r="N24" s="232" t="s">
        <v>124</v>
      </c>
      <c r="P24" s="546" t="s">
        <v>123</v>
      </c>
      <c r="Q24" s="546"/>
      <c r="R24" s="546"/>
      <c r="S24" s="108">
        <f>SUM(S19:S23)</f>
        <v>3983.09184</v>
      </c>
      <c r="T24" s="232" t="s">
        <v>124</v>
      </c>
    </row>
    <row r="25" spans="2:20" ht="15">
      <c r="B25" s="544"/>
      <c r="C25" s="544"/>
      <c r="D25" s="105"/>
      <c r="E25" s="110">
        <f>E24/10.764</f>
        <v>394.87304347826091</v>
      </c>
      <c r="F25" s="111" t="s">
        <v>125</v>
      </c>
      <c r="J25" s="544"/>
      <c r="K25" s="544"/>
      <c r="L25" s="230"/>
      <c r="M25" s="110">
        <f>M24/10.764</f>
        <v>394.87304347826091</v>
      </c>
      <c r="N25" s="111" t="s">
        <v>125</v>
      </c>
      <c r="P25" s="544"/>
      <c r="Q25" s="544"/>
      <c r="R25" s="230"/>
      <c r="S25" s="110">
        <f>S24/10.764</f>
        <v>370.03826086956525</v>
      </c>
      <c r="T25" s="111" t="s">
        <v>125</v>
      </c>
    </row>
    <row r="28" spans="2:20" ht="15">
      <c r="B28" s="547" t="str">
        <f>CONCATENATE(C29,"+",C30,"+",C31,"+",C32,"+",C33)</f>
        <v>6mm CTG+12MM+6mm CTG++</v>
      </c>
      <c r="C28" s="548"/>
      <c r="D28" s="548"/>
      <c r="E28" s="548"/>
      <c r="F28" s="548"/>
      <c r="J28" s="547" t="str">
        <f>CONCATENATE(K29,"+",K30,"+",K31,"+",K32,"+",K33)</f>
        <v>6mm CTG+12MM+6mm CTG++</v>
      </c>
      <c r="K28" s="548"/>
      <c r="L28" s="548"/>
      <c r="M28" s="548"/>
      <c r="N28" s="548"/>
      <c r="P28" s="547" t="str">
        <f>CONCATENATE(Q29,"+",Q30,"+",Q31,"+",Q32,"+",Q33)</f>
        <v>8mm CTG+1.52mm pvb+8MM CTG++</v>
      </c>
      <c r="Q28" s="548"/>
      <c r="R28" s="548"/>
      <c r="S28" s="548"/>
      <c r="T28" s="548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9" t="s">
        <v>102</v>
      </c>
      <c r="C38" s="549"/>
      <c r="D38" s="549"/>
      <c r="E38" s="224">
        <f>SUM(E29:E37)</f>
        <v>2625</v>
      </c>
      <c r="F38" s="224"/>
      <c r="J38" s="549" t="s">
        <v>102</v>
      </c>
      <c r="K38" s="549"/>
      <c r="L38" s="549"/>
      <c r="M38" s="233">
        <f>SUM(M29:M37)</f>
        <v>3412.5</v>
      </c>
      <c r="N38" s="233"/>
      <c r="P38" s="549" t="s">
        <v>102</v>
      </c>
      <c r="Q38" s="549"/>
      <c r="R38" s="549"/>
      <c r="S38" s="233">
        <f>SUM(S29:S37)</f>
        <v>4179</v>
      </c>
      <c r="T38" s="233"/>
    </row>
    <row r="39" spans="2:20" ht="15">
      <c r="B39" s="545" t="s">
        <v>87</v>
      </c>
      <c r="C39" s="544"/>
      <c r="D39" s="106">
        <v>0.02</v>
      </c>
      <c r="E39" s="221">
        <f>E38*D39</f>
        <v>52.5</v>
      </c>
      <c r="F39" s="221"/>
      <c r="J39" s="545" t="s">
        <v>87</v>
      </c>
      <c r="K39" s="544"/>
      <c r="L39" s="106">
        <v>0.02</v>
      </c>
      <c r="M39" s="230">
        <f>M38*L39</f>
        <v>68.25</v>
      </c>
      <c r="N39" s="230"/>
      <c r="P39" s="545" t="s">
        <v>87</v>
      </c>
      <c r="Q39" s="544"/>
      <c r="R39" s="106">
        <v>0.02</v>
      </c>
      <c r="S39" s="230">
        <f>S38*R39</f>
        <v>83.58</v>
      </c>
      <c r="T39" s="230"/>
    </row>
    <row r="40" spans="2:20" ht="15">
      <c r="B40" s="544" t="s">
        <v>122</v>
      </c>
      <c r="C40" s="544"/>
      <c r="D40" s="106">
        <v>0.04</v>
      </c>
      <c r="E40" s="221">
        <f>SUM(E38:E39)*D40</f>
        <v>107.10000000000001</v>
      </c>
      <c r="F40" s="221"/>
      <c r="J40" s="544" t="s">
        <v>122</v>
      </c>
      <c r="K40" s="544"/>
      <c r="L40" s="106">
        <v>0.04</v>
      </c>
      <c r="M40" s="230">
        <f>SUM(M38:M39)*L40</f>
        <v>139.22999999999999</v>
      </c>
      <c r="N40" s="230"/>
      <c r="P40" s="544" t="s">
        <v>122</v>
      </c>
      <c r="Q40" s="544"/>
      <c r="R40" s="106">
        <v>0.04</v>
      </c>
      <c r="S40" s="230">
        <f>SUM(S38:S39)*R40</f>
        <v>170.50319999999999</v>
      </c>
      <c r="T40" s="230"/>
    </row>
    <row r="41" spans="2:20" ht="15">
      <c r="B41" s="544" t="s">
        <v>4</v>
      </c>
      <c r="C41" s="544"/>
      <c r="D41" s="106">
        <v>0.2</v>
      </c>
      <c r="E41" s="221">
        <f>SUM(E38:E40)*D41</f>
        <v>556.91999999999996</v>
      </c>
      <c r="F41" s="221"/>
      <c r="J41" s="544" t="s">
        <v>4</v>
      </c>
      <c r="K41" s="544"/>
      <c r="L41" s="106">
        <v>0.2</v>
      </c>
      <c r="M41" s="230">
        <f>SUM(M38:M40)*L41</f>
        <v>723.99600000000009</v>
      </c>
      <c r="N41" s="230"/>
      <c r="P41" s="544" t="s">
        <v>4</v>
      </c>
      <c r="Q41" s="544"/>
      <c r="R41" s="106">
        <v>0.2</v>
      </c>
      <c r="S41" s="230">
        <f>SUM(S38:S40)*R41</f>
        <v>886.61664000000007</v>
      </c>
      <c r="T41" s="230"/>
    </row>
    <row r="42" spans="2:20" ht="15">
      <c r="B42" s="545" t="s">
        <v>128</v>
      </c>
      <c r="C42" s="544"/>
      <c r="D42" s="106">
        <v>0</v>
      </c>
      <c r="E42" s="221">
        <f>SUM(E38:E41)*D42</f>
        <v>0</v>
      </c>
      <c r="F42" s="221"/>
      <c r="J42" s="545" t="s">
        <v>128</v>
      </c>
      <c r="K42" s="544"/>
      <c r="L42" s="106">
        <v>0</v>
      </c>
      <c r="M42" s="230">
        <f>SUM(M38:M41)*L42</f>
        <v>0</v>
      </c>
      <c r="N42" s="230"/>
      <c r="P42" s="545" t="s">
        <v>128</v>
      </c>
      <c r="Q42" s="544"/>
      <c r="R42" s="106">
        <v>0</v>
      </c>
      <c r="S42" s="230">
        <f>SUM(S38:S41)*R42</f>
        <v>0</v>
      </c>
      <c r="T42" s="230"/>
    </row>
    <row r="43" spans="2:20" ht="15">
      <c r="B43" s="546" t="s">
        <v>123</v>
      </c>
      <c r="C43" s="546"/>
      <c r="D43" s="546"/>
      <c r="E43" s="108">
        <f>SUM(E38:E42)</f>
        <v>3341.52</v>
      </c>
      <c r="F43" s="223" t="s">
        <v>124</v>
      </c>
      <c r="J43" s="546" t="s">
        <v>123</v>
      </c>
      <c r="K43" s="546"/>
      <c r="L43" s="546"/>
      <c r="M43" s="108">
        <f>SUM(M38:M42)</f>
        <v>4343.9760000000006</v>
      </c>
      <c r="N43" s="232" t="s">
        <v>124</v>
      </c>
      <c r="P43" s="546" t="s">
        <v>123</v>
      </c>
      <c r="Q43" s="546"/>
      <c r="R43" s="546"/>
      <c r="S43" s="108">
        <f>SUM(S38:S42)</f>
        <v>5319.6998400000002</v>
      </c>
      <c r="T43" s="232" t="s">
        <v>124</v>
      </c>
    </row>
    <row r="44" spans="2:20" ht="15">
      <c r="B44" s="544"/>
      <c r="C44" s="544"/>
      <c r="D44" s="221"/>
      <c r="E44" s="110">
        <f>E43/10.764</f>
        <v>310.43478260869568</v>
      </c>
      <c r="F44" s="111" t="s">
        <v>125</v>
      </c>
      <c r="J44" s="544"/>
      <c r="K44" s="544"/>
      <c r="L44" s="230"/>
      <c r="M44" s="110">
        <f>M43/10.764</f>
        <v>403.56521739130443</v>
      </c>
      <c r="N44" s="111" t="s">
        <v>125</v>
      </c>
      <c r="P44" s="544"/>
      <c r="Q44" s="544"/>
      <c r="R44" s="230"/>
      <c r="S44" s="110">
        <f>S43/10.764</f>
        <v>494.21217391304356</v>
      </c>
      <c r="T44" s="111" t="s">
        <v>125</v>
      </c>
    </row>
    <row r="46" spans="2:20" ht="15">
      <c r="B46" s="547" t="str">
        <f>CONCATENATE(C47,"+",C48,"+",C49,"+",C50,"+",C51)</f>
        <v>6mm CTG+10MM+5mm CTG++</v>
      </c>
      <c r="C46" s="548"/>
      <c r="D46" s="548"/>
      <c r="E46" s="548"/>
      <c r="F46" s="548"/>
      <c r="J46" s="547" t="str">
        <f>CONCATENATE(K47,"+",K48,"+",K49,"+",K50,"+",K51)</f>
        <v>6mm CTG+10MM+5mm CTG++</v>
      </c>
      <c r="K46" s="548"/>
      <c r="L46" s="548"/>
      <c r="M46" s="548"/>
      <c r="N46" s="548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9" t="s">
        <v>102</v>
      </c>
      <c r="C56" s="549"/>
      <c r="D56" s="549"/>
      <c r="E56" s="224">
        <f>SUM(E47:E55)</f>
        <v>2572.5</v>
      </c>
      <c r="F56" s="224"/>
      <c r="J56" s="549" t="s">
        <v>102</v>
      </c>
      <c r="K56" s="549"/>
      <c r="L56" s="549"/>
      <c r="M56" s="233">
        <f>SUM(M47:M55)</f>
        <v>3360</v>
      </c>
      <c r="N56" s="233"/>
    </row>
    <row r="57" spans="2:14" ht="15">
      <c r="B57" s="545" t="s">
        <v>87</v>
      </c>
      <c r="C57" s="544"/>
      <c r="D57" s="106">
        <v>0.02</v>
      </c>
      <c r="E57" s="221">
        <f>E56*D57</f>
        <v>51.45</v>
      </c>
      <c r="F57" s="221"/>
      <c r="J57" s="545" t="s">
        <v>87</v>
      </c>
      <c r="K57" s="544"/>
      <c r="L57" s="106">
        <v>0.02</v>
      </c>
      <c r="M57" s="230">
        <f>M56*L57</f>
        <v>67.2</v>
      </c>
      <c r="N57" s="230"/>
    </row>
    <row r="58" spans="2:14" ht="15">
      <c r="B58" s="544" t="s">
        <v>122</v>
      </c>
      <c r="C58" s="544"/>
      <c r="D58" s="106">
        <v>0.04</v>
      </c>
      <c r="E58" s="221">
        <f>SUM(E56:E57)*D58</f>
        <v>104.958</v>
      </c>
      <c r="F58" s="221"/>
      <c r="J58" s="544" t="s">
        <v>122</v>
      </c>
      <c r="K58" s="544"/>
      <c r="L58" s="106">
        <v>0.04</v>
      </c>
      <c r="M58" s="230">
        <f>SUM(M56:M57)*L58</f>
        <v>137.08799999999999</v>
      </c>
      <c r="N58" s="230"/>
    </row>
    <row r="59" spans="2:14" ht="15">
      <c r="B59" s="544" t="s">
        <v>4</v>
      </c>
      <c r="C59" s="544"/>
      <c r="D59" s="106">
        <v>0.2</v>
      </c>
      <c r="E59" s="221">
        <f>SUM(E56:E58)*D59</f>
        <v>545.78160000000003</v>
      </c>
      <c r="F59" s="221"/>
      <c r="J59" s="544" t="s">
        <v>4</v>
      </c>
      <c r="K59" s="544"/>
      <c r="L59" s="106">
        <v>0.2</v>
      </c>
      <c r="M59" s="230">
        <f>SUM(M56:M58)*L59</f>
        <v>712.85760000000005</v>
      </c>
      <c r="N59" s="230"/>
    </row>
    <row r="60" spans="2:14" ht="15">
      <c r="B60" s="545" t="s">
        <v>128</v>
      </c>
      <c r="C60" s="544"/>
      <c r="D60" s="106">
        <v>0</v>
      </c>
      <c r="E60" s="221">
        <f>SUM(E56:E59)*D60</f>
        <v>0</v>
      </c>
      <c r="F60" s="221"/>
      <c r="J60" s="545" t="s">
        <v>128</v>
      </c>
      <c r="K60" s="544"/>
      <c r="L60" s="106">
        <v>0</v>
      </c>
      <c r="M60" s="230">
        <f>SUM(M56:M59)*L60</f>
        <v>0</v>
      </c>
      <c r="N60" s="230"/>
    </row>
    <row r="61" spans="2:14" ht="15">
      <c r="B61" s="546" t="s">
        <v>123</v>
      </c>
      <c r="C61" s="546"/>
      <c r="D61" s="546"/>
      <c r="E61" s="108">
        <f>SUM(E56:E60)</f>
        <v>3274.6895999999997</v>
      </c>
      <c r="F61" s="223" t="s">
        <v>124</v>
      </c>
      <c r="J61" s="546" t="s">
        <v>123</v>
      </c>
      <c r="K61" s="546"/>
      <c r="L61" s="546"/>
      <c r="M61" s="108">
        <f>SUM(M56:M60)</f>
        <v>4277.1455999999998</v>
      </c>
      <c r="N61" s="232" t="s">
        <v>124</v>
      </c>
    </row>
    <row r="62" spans="2:14" ht="15">
      <c r="B62" s="544"/>
      <c r="C62" s="544"/>
      <c r="D62" s="221"/>
      <c r="E62" s="110">
        <f>E61/10.764</f>
        <v>304.22608695652173</v>
      </c>
      <c r="F62" s="111" t="s">
        <v>125</v>
      </c>
      <c r="J62" s="544"/>
      <c r="K62" s="544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10" sqref="E10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1002</v>
      </c>
    </row>
    <row r="5" spans="3:5">
      <c r="C5" s="236" t="s">
        <v>399</v>
      </c>
      <c r="D5" s="236" t="s">
        <v>397</v>
      </c>
      <c r="E5" s="312">
        <f>ROUND(Pricing!U104,0.1)</f>
        <v>300</v>
      </c>
    </row>
    <row r="6" spans="3:5">
      <c r="C6" s="236" t="s">
        <v>83</v>
      </c>
      <c r="D6" s="236" t="s">
        <v>396</v>
      </c>
      <c r="E6" s="312">
        <f>ROUND(Pricing!V104,0.1)</f>
        <v>16</v>
      </c>
    </row>
    <row r="7" spans="3:5">
      <c r="C7" s="236" t="s">
        <v>403</v>
      </c>
      <c r="D7" s="236" t="s">
        <v>395</v>
      </c>
      <c r="E7" s="312">
        <f>ROUND(Pricing!W104,0.1)</f>
        <v>1002</v>
      </c>
    </row>
    <row r="8" spans="3:5">
      <c r="C8" s="236" t="s">
        <v>400</v>
      </c>
      <c r="D8" s="236" t="s">
        <v>395</v>
      </c>
      <c r="E8" s="312">
        <f>ROUND(Pricing!X104,0.1)</f>
        <v>2003</v>
      </c>
    </row>
    <row r="9" spans="3:5">
      <c r="C9" t="s">
        <v>225</v>
      </c>
      <c r="D9" s="236" t="s">
        <v>398</v>
      </c>
      <c r="E9" s="312">
        <f>ROUND(Pricing!Y104,0.1)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D1" zoomScale="75" zoomScaleNormal="75" zoomScaleSheetLayoutView="75" workbookViewId="0">
      <selection activeCell="K18" sqref="K1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9" t="s">
        <v>126</v>
      </c>
      <c r="B2" s="319"/>
      <c r="C2" s="319"/>
      <c r="D2" s="319"/>
      <c r="E2" s="162" t="s">
        <v>404</v>
      </c>
      <c r="F2" s="137"/>
      <c r="G2" s="163"/>
      <c r="H2" s="320" t="s">
        <v>187</v>
      </c>
      <c r="I2" s="321"/>
      <c r="J2" s="165" t="s">
        <v>406</v>
      </c>
      <c r="K2" s="167"/>
      <c r="L2" s="104" t="s">
        <v>210</v>
      </c>
      <c r="M2" s="104" t="s">
        <v>384</v>
      </c>
    </row>
    <row r="3" spans="1:13" s="104" customFormat="1">
      <c r="A3" s="319" t="s">
        <v>127</v>
      </c>
      <c r="B3" s="319"/>
      <c r="C3" s="319"/>
      <c r="D3" s="319"/>
      <c r="E3" s="162" t="s">
        <v>405</v>
      </c>
      <c r="F3" s="136" t="s">
        <v>185</v>
      </c>
      <c r="G3" s="162" t="s">
        <v>285</v>
      </c>
      <c r="H3" s="320" t="s">
        <v>188</v>
      </c>
      <c r="I3" s="321"/>
      <c r="J3" s="166">
        <v>43378</v>
      </c>
      <c r="K3" s="167"/>
      <c r="L3" s="104" t="s">
        <v>260</v>
      </c>
      <c r="M3" s="104" t="s">
        <v>385</v>
      </c>
    </row>
    <row r="4" spans="1:13" s="104" customFormat="1" ht="18">
      <c r="A4" s="319" t="s">
        <v>171</v>
      </c>
      <c r="B4" s="319"/>
      <c r="C4" s="319"/>
      <c r="D4" s="319"/>
      <c r="E4" s="162" t="s">
        <v>286</v>
      </c>
      <c r="F4" s="135"/>
      <c r="G4" s="164"/>
      <c r="H4" s="320" t="s">
        <v>189</v>
      </c>
      <c r="I4" s="321"/>
      <c r="J4" s="165" t="s">
        <v>386</v>
      </c>
      <c r="K4" s="167"/>
      <c r="L4" s="104" t="s">
        <v>261</v>
      </c>
      <c r="M4" s="104" t="s">
        <v>386</v>
      </c>
    </row>
    <row r="5" spans="1:13" s="104" customFormat="1">
      <c r="A5" s="319" t="s">
        <v>179</v>
      </c>
      <c r="B5" s="319"/>
      <c r="C5" s="319"/>
      <c r="D5" s="319"/>
      <c r="E5" s="162" t="s">
        <v>407</v>
      </c>
      <c r="F5" s="136" t="s">
        <v>186</v>
      </c>
      <c r="G5" s="162" t="s">
        <v>210</v>
      </c>
      <c r="H5" s="320" t="s">
        <v>378</v>
      </c>
      <c r="I5" s="321"/>
      <c r="J5" s="165"/>
      <c r="K5" s="167"/>
      <c r="L5" s="104" t="s">
        <v>262</v>
      </c>
      <c r="M5" s="104" t="s">
        <v>387</v>
      </c>
    </row>
    <row r="6" spans="1:13" ht="18">
      <c r="A6" s="319"/>
      <c r="B6" s="319"/>
      <c r="C6" s="319"/>
      <c r="D6" s="319"/>
      <c r="E6" s="133"/>
      <c r="F6" s="133"/>
      <c r="G6" s="324"/>
      <c r="H6" s="324"/>
      <c r="I6" s="324"/>
      <c r="J6" s="324"/>
      <c r="K6" s="134"/>
      <c r="L6" s="47" t="s">
        <v>263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208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222</v>
      </c>
      <c r="L7" s="47" t="s">
        <v>264</v>
      </c>
      <c r="M7" s="47" t="s">
        <v>388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432</v>
      </c>
      <c r="E9" s="113" t="s">
        <v>410</v>
      </c>
      <c r="F9" s="113" t="s">
        <v>411</v>
      </c>
      <c r="G9" s="113" t="s">
        <v>413</v>
      </c>
      <c r="H9" s="113">
        <v>1524</v>
      </c>
      <c r="I9" s="113">
        <v>2134</v>
      </c>
      <c r="J9" s="113">
        <v>3</v>
      </c>
      <c r="K9" s="123">
        <v>188.27</v>
      </c>
    </row>
    <row r="10" spans="1:13" ht="20.100000000000001" customHeight="1">
      <c r="A10" s="113">
        <v>2</v>
      </c>
      <c r="B10" s="113" t="s">
        <v>412</v>
      </c>
      <c r="C10" s="113" t="s">
        <v>409</v>
      </c>
      <c r="D10" s="113" t="s">
        <v>432</v>
      </c>
      <c r="E10" s="113" t="s">
        <v>410</v>
      </c>
      <c r="F10" s="113" t="s">
        <v>411</v>
      </c>
      <c r="G10" s="113" t="s">
        <v>413</v>
      </c>
      <c r="H10" s="113">
        <v>1220</v>
      </c>
      <c r="I10" s="113">
        <v>2134</v>
      </c>
      <c r="J10" s="113">
        <v>12</v>
      </c>
      <c r="K10" s="123">
        <v>197.26</v>
      </c>
      <c r="L10" s="47" t="s">
        <v>286</v>
      </c>
    </row>
    <row r="11" spans="1:13" ht="20.100000000000001" customHeight="1">
      <c r="A11" s="113">
        <v>3</v>
      </c>
      <c r="B11" s="113" t="s">
        <v>414</v>
      </c>
      <c r="C11" s="113" t="s">
        <v>415</v>
      </c>
      <c r="D11" s="113" t="s">
        <v>416</v>
      </c>
      <c r="E11" s="113" t="s">
        <v>410</v>
      </c>
      <c r="F11" s="113" t="s">
        <v>411</v>
      </c>
      <c r="G11" s="113" t="s">
        <v>413</v>
      </c>
      <c r="H11" s="113">
        <v>610</v>
      </c>
      <c r="I11" s="113">
        <v>1524</v>
      </c>
      <c r="J11" s="113">
        <v>12</v>
      </c>
      <c r="K11" s="123">
        <v>163.38999999999999</v>
      </c>
      <c r="L11" s="47" t="s">
        <v>284</v>
      </c>
    </row>
    <row r="12" spans="1:13" ht="20.100000000000001" customHeight="1">
      <c r="A12" s="113">
        <v>4</v>
      </c>
      <c r="B12" s="113" t="s">
        <v>417</v>
      </c>
      <c r="C12" s="113" t="s">
        <v>415</v>
      </c>
      <c r="D12" s="113" t="s">
        <v>418</v>
      </c>
      <c r="E12" s="113" t="s">
        <v>410</v>
      </c>
      <c r="F12" s="113" t="s">
        <v>411</v>
      </c>
      <c r="G12" s="113" t="s">
        <v>413</v>
      </c>
      <c r="H12" s="113">
        <v>1220</v>
      </c>
      <c r="I12" s="113">
        <v>762</v>
      </c>
      <c r="J12" s="113">
        <v>3</v>
      </c>
      <c r="K12" s="123">
        <v>211.93</v>
      </c>
      <c r="L12" s="47" t="s">
        <v>368</v>
      </c>
    </row>
    <row r="13" spans="1:13" ht="20.100000000000001" customHeight="1">
      <c r="A13" s="113">
        <v>5</v>
      </c>
      <c r="B13" s="113" t="s">
        <v>419</v>
      </c>
      <c r="C13" s="113" t="s">
        <v>415</v>
      </c>
      <c r="D13" s="113" t="s">
        <v>416</v>
      </c>
      <c r="E13" s="113" t="s">
        <v>410</v>
      </c>
      <c r="F13" s="113" t="s">
        <v>411</v>
      </c>
      <c r="G13" s="113" t="s">
        <v>413</v>
      </c>
      <c r="H13" s="113">
        <v>610</v>
      </c>
      <c r="I13" s="113">
        <v>762</v>
      </c>
      <c r="J13" s="113">
        <v>3</v>
      </c>
      <c r="K13" s="123">
        <v>127.1</v>
      </c>
      <c r="L13" s="47" t="s">
        <v>369</v>
      </c>
    </row>
    <row r="14" spans="1:13">
      <c r="A14" s="113">
        <v>6</v>
      </c>
      <c r="B14" s="113" t="s">
        <v>420</v>
      </c>
      <c r="C14" s="113" t="s">
        <v>415</v>
      </c>
      <c r="D14" s="113" t="s">
        <v>416</v>
      </c>
      <c r="E14" s="113" t="s">
        <v>421</v>
      </c>
      <c r="F14" s="113" t="s">
        <v>411</v>
      </c>
      <c r="G14" s="113" t="s">
        <v>413</v>
      </c>
      <c r="H14" s="113">
        <v>610</v>
      </c>
      <c r="I14" s="113">
        <v>458</v>
      </c>
      <c r="J14" s="113">
        <v>15</v>
      </c>
      <c r="K14" s="123">
        <v>103.84</v>
      </c>
      <c r="L14" s="47" t="s">
        <v>370</v>
      </c>
    </row>
    <row r="15" spans="1:13" ht="20.100000000000001" customHeight="1">
      <c r="A15" s="113">
        <v>7</v>
      </c>
      <c r="B15" s="113" t="s">
        <v>422</v>
      </c>
      <c r="C15" s="113" t="s">
        <v>415</v>
      </c>
      <c r="D15" s="113" t="s">
        <v>423</v>
      </c>
      <c r="E15" s="113" t="s">
        <v>410</v>
      </c>
      <c r="F15" s="113" t="s">
        <v>411</v>
      </c>
      <c r="G15" s="113" t="s">
        <v>413</v>
      </c>
      <c r="H15" s="113">
        <v>3658</v>
      </c>
      <c r="I15" s="113">
        <v>990</v>
      </c>
      <c r="J15" s="113">
        <v>3</v>
      </c>
      <c r="K15" s="123">
        <v>120.37</v>
      </c>
      <c r="L15" s="47" t="s">
        <v>371</v>
      </c>
    </row>
    <row r="16" spans="1:13" ht="20.100000000000001" customHeight="1">
      <c r="A16" s="113">
        <v>8</v>
      </c>
      <c r="B16" s="113" t="s">
        <v>424</v>
      </c>
      <c r="C16" s="113" t="s">
        <v>425</v>
      </c>
      <c r="D16" s="113" t="s">
        <v>426</v>
      </c>
      <c r="E16" s="113" t="s">
        <v>266</v>
      </c>
      <c r="F16" s="113" t="s">
        <v>411</v>
      </c>
      <c r="G16" s="113" t="s">
        <v>413</v>
      </c>
      <c r="H16" s="113">
        <v>3658</v>
      </c>
      <c r="I16" s="113">
        <v>2364</v>
      </c>
      <c r="J16" s="113">
        <v>3</v>
      </c>
      <c r="K16" s="123">
        <v>886.25</v>
      </c>
      <c r="L16" s="47" t="s">
        <v>372</v>
      </c>
    </row>
    <row r="17" spans="1:12" ht="20.100000000000001" customHeight="1">
      <c r="A17" s="113">
        <v>9</v>
      </c>
      <c r="B17" s="113" t="s">
        <v>427</v>
      </c>
      <c r="C17" s="113" t="s">
        <v>425</v>
      </c>
      <c r="D17" s="113" t="s">
        <v>428</v>
      </c>
      <c r="E17" s="113" t="s">
        <v>266</v>
      </c>
      <c r="F17" s="113" t="s">
        <v>411</v>
      </c>
      <c r="G17" s="113" t="s">
        <v>413</v>
      </c>
      <c r="H17" s="113">
        <v>2744</v>
      </c>
      <c r="I17" s="113">
        <v>2364</v>
      </c>
      <c r="J17" s="113">
        <v>3</v>
      </c>
      <c r="K17" s="123">
        <v>484.61</v>
      </c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B11" sqref="B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402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M940 &amp; M900</v>
      </c>
      <c r="D4" s="118" t="str">
        <f>'BD Team'!D9</f>
        <v>2 TRACK 2 SHUTTER SLIDING WINDOW WITH BOTTOM FIXED</v>
      </c>
      <c r="E4" s="118" t="str">
        <f>'BD Team'!F9</f>
        <v>NO</v>
      </c>
      <c r="F4" s="121" t="str">
        <f>'BD Team'!G9</f>
        <v>-</v>
      </c>
      <c r="G4" s="118">
        <f>'BD Team'!H9</f>
        <v>1524</v>
      </c>
      <c r="H4" s="118">
        <f>'BD Team'!I9</f>
        <v>2134</v>
      </c>
      <c r="I4" s="118">
        <f>'BD Team'!J9</f>
        <v>3</v>
      </c>
      <c r="J4" s="103">
        <f t="shared" ref="J4:J53" si="0">G4*H4*I4*10.764/1000000</f>
        <v>105.020559072</v>
      </c>
      <c r="K4" s="172">
        <f>'BD Team'!K9</f>
        <v>188.27</v>
      </c>
      <c r="L4" s="171">
        <f>K4*I4</f>
        <v>564.81000000000006</v>
      </c>
      <c r="M4" s="170">
        <f>L4*'Changable Values'!$D$4</f>
        <v>46879.23</v>
      </c>
      <c r="N4" s="170" t="str">
        <f>'BD Team'!E9</f>
        <v>20MM</v>
      </c>
      <c r="O4" s="172">
        <v>2538</v>
      </c>
      <c r="P4" s="241"/>
      <c r="Q4" s="173"/>
      <c r="R4" s="185"/>
      <c r="S4" s="315"/>
      <c r="T4" s="316">
        <f>(G4+H4)*I4*2/300</f>
        <v>73.16</v>
      </c>
      <c r="U4" s="316">
        <f>SUM(G4:H4)*I4*2/1000</f>
        <v>21.948</v>
      </c>
      <c r="V4" s="316">
        <f>SUM(G4:H4)*I4*5*5/(1000*240)</f>
        <v>1.1431249999999999</v>
      </c>
      <c r="W4" s="316">
        <f>T4</f>
        <v>73.16</v>
      </c>
      <c r="X4" s="316">
        <f>W4*2</f>
        <v>146.32</v>
      </c>
      <c r="Y4" s="316">
        <f>SUM(G4:H4)*I4/1000</f>
        <v>10.974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M940 &amp; M900</v>
      </c>
      <c r="D5" s="118" t="str">
        <f>'BD Team'!D10</f>
        <v>2 TRACK 2 SHUTTER SLIDING WINDOW WITH BOTTOM FIXED</v>
      </c>
      <c r="E5" s="118" t="str">
        <f>'BD Team'!F10</f>
        <v>NO</v>
      </c>
      <c r="F5" s="121" t="str">
        <f>'BD Team'!G10</f>
        <v>-</v>
      </c>
      <c r="G5" s="118">
        <f>'BD Team'!H10</f>
        <v>1220</v>
      </c>
      <c r="H5" s="118">
        <f>'BD Team'!I10</f>
        <v>2134</v>
      </c>
      <c r="I5" s="118">
        <f>'BD Team'!J10</f>
        <v>12</v>
      </c>
      <c r="J5" s="103">
        <f t="shared" si="0"/>
        <v>336.28630463999997</v>
      </c>
      <c r="K5" s="172">
        <f>'BD Team'!K10</f>
        <v>197.26</v>
      </c>
      <c r="L5" s="171">
        <f t="shared" ref="L5:L53" si="1">K5*I5</f>
        <v>2367.12</v>
      </c>
      <c r="M5" s="170">
        <f>L5*'Changable Values'!$D$4</f>
        <v>196470.96</v>
      </c>
      <c r="N5" s="170" t="str">
        <f>'BD Team'!E10</f>
        <v>20MM</v>
      </c>
      <c r="O5" s="172">
        <v>2538</v>
      </c>
      <c r="P5" s="241"/>
      <c r="Q5" s="173"/>
      <c r="R5" s="185"/>
      <c r="S5" s="315"/>
      <c r="T5" s="316">
        <f t="shared" ref="T5:T68" si="2">(G5+H5)*I5*2/300</f>
        <v>268.32</v>
      </c>
      <c r="U5" s="316">
        <f t="shared" ref="U5:U68" si="3">SUM(G5:H5)*I5*2/1000</f>
        <v>80.495999999999995</v>
      </c>
      <c r="V5" s="316">
        <f t="shared" ref="V5:V68" si="4">SUM(G5:H5)*I5*5*5/(1000*240)</f>
        <v>4.1924999999999999</v>
      </c>
      <c r="W5" s="316">
        <f t="shared" ref="W5:W68" si="5">T5</f>
        <v>268.32</v>
      </c>
      <c r="X5" s="316">
        <f t="shared" ref="X5:X68" si="6">W5*2</f>
        <v>536.64</v>
      </c>
      <c r="Y5" s="316">
        <f t="shared" ref="Y5:Y68" si="7">SUM(G5:H5)*I5/1000</f>
        <v>40.247999999999998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M940</v>
      </c>
      <c r="D6" s="118" t="str">
        <f>'BD Team'!D11</f>
        <v>SIDE HUNG WINDOW</v>
      </c>
      <c r="E6" s="118" t="str">
        <f>'BD Team'!F11</f>
        <v>NO</v>
      </c>
      <c r="F6" s="121" t="str">
        <f>'BD Team'!G11</f>
        <v>-</v>
      </c>
      <c r="G6" s="118">
        <f>'BD Team'!H11</f>
        <v>610</v>
      </c>
      <c r="H6" s="118">
        <f>'BD Team'!I11</f>
        <v>1524</v>
      </c>
      <c r="I6" s="118">
        <f>'BD Team'!J11</f>
        <v>12</v>
      </c>
      <c r="J6" s="103">
        <f t="shared" si="0"/>
        <v>120.07973951999999</v>
      </c>
      <c r="K6" s="172">
        <f>'BD Team'!K11</f>
        <v>163.38999999999999</v>
      </c>
      <c r="L6" s="171">
        <f t="shared" si="1"/>
        <v>1960.6799999999998</v>
      </c>
      <c r="M6" s="170">
        <f>L6*'Changable Values'!$D$4</f>
        <v>162736.43999999997</v>
      </c>
      <c r="N6" s="170" t="str">
        <f>'BD Team'!E11</f>
        <v>20MM</v>
      </c>
      <c r="O6" s="172">
        <v>2538</v>
      </c>
      <c r="P6" s="241"/>
      <c r="Q6" s="173"/>
      <c r="R6" s="185"/>
      <c r="S6" s="315"/>
      <c r="T6" s="316">
        <f t="shared" si="2"/>
        <v>170.72</v>
      </c>
      <c r="U6" s="316">
        <f t="shared" si="3"/>
        <v>51.216000000000001</v>
      </c>
      <c r="V6" s="316">
        <f t="shared" si="4"/>
        <v>2.6675</v>
      </c>
      <c r="W6" s="316">
        <f t="shared" si="5"/>
        <v>170.72</v>
      </c>
      <c r="X6" s="316">
        <f t="shared" si="6"/>
        <v>341.44</v>
      </c>
      <c r="Y6" s="316">
        <f t="shared" si="7"/>
        <v>25.608000000000001</v>
      </c>
    </row>
    <row r="7" spans="1:25">
      <c r="A7" s="118">
        <f>'BD Team'!A12</f>
        <v>4</v>
      </c>
      <c r="B7" s="118" t="str">
        <f>'BD Team'!B12</f>
        <v>KW</v>
      </c>
      <c r="C7" s="118" t="str">
        <f>'BD Team'!C12</f>
        <v>M940</v>
      </c>
      <c r="D7" s="118" t="str">
        <f>'BD Team'!D12</f>
        <v>CASEMENT WINDOW</v>
      </c>
      <c r="E7" s="118" t="str">
        <f>'BD Team'!F12</f>
        <v>NO</v>
      </c>
      <c r="F7" s="121" t="str">
        <f>'BD Team'!G12</f>
        <v>-</v>
      </c>
      <c r="G7" s="118">
        <f>'BD Team'!H12</f>
        <v>1220</v>
      </c>
      <c r="H7" s="118">
        <f>'BD Team'!I12</f>
        <v>762</v>
      </c>
      <c r="I7" s="118">
        <f>'BD Team'!J12</f>
        <v>3</v>
      </c>
      <c r="J7" s="103">
        <f t="shared" si="0"/>
        <v>30.019934879999997</v>
      </c>
      <c r="K7" s="172">
        <f>'BD Team'!K12</f>
        <v>211.93</v>
      </c>
      <c r="L7" s="171">
        <f t="shared" si="1"/>
        <v>635.79</v>
      </c>
      <c r="M7" s="170">
        <f>L7*'Changable Values'!$D$4</f>
        <v>52770.57</v>
      </c>
      <c r="N7" s="170" t="str">
        <f>'BD Team'!E12</f>
        <v>20MM</v>
      </c>
      <c r="O7" s="172">
        <v>2538</v>
      </c>
      <c r="P7" s="241"/>
      <c r="Q7" s="173"/>
      <c r="R7" s="185"/>
      <c r="S7" s="315"/>
      <c r="T7" s="316">
        <f t="shared" si="2"/>
        <v>39.64</v>
      </c>
      <c r="U7" s="316">
        <f t="shared" si="3"/>
        <v>11.891999999999999</v>
      </c>
      <c r="V7" s="316">
        <f t="shared" si="4"/>
        <v>0.61937500000000001</v>
      </c>
      <c r="W7" s="316">
        <f t="shared" si="5"/>
        <v>39.64</v>
      </c>
      <c r="X7" s="316">
        <f t="shared" si="6"/>
        <v>79.28</v>
      </c>
      <c r="Y7" s="316">
        <f t="shared" si="7"/>
        <v>5.9459999999999997</v>
      </c>
    </row>
    <row r="8" spans="1:25">
      <c r="A8" s="118">
        <f>'BD Team'!A13</f>
        <v>5</v>
      </c>
      <c r="B8" s="118" t="str">
        <f>'BD Team'!B13</f>
        <v>KW1</v>
      </c>
      <c r="C8" s="118" t="str">
        <f>'BD Team'!C13</f>
        <v>M940</v>
      </c>
      <c r="D8" s="118" t="str">
        <f>'BD Team'!D13</f>
        <v>SIDE HUNG WINDOW</v>
      </c>
      <c r="E8" s="118" t="str">
        <f>'BD Team'!F13</f>
        <v>NO</v>
      </c>
      <c r="F8" s="121" t="str">
        <f>'BD Team'!G13</f>
        <v>-</v>
      </c>
      <c r="G8" s="118">
        <f>'BD Team'!H13</f>
        <v>610</v>
      </c>
      <c r="H8" s="118">
        <f>'BD Team'!I13</f>
        <v>762</v>
      </c>
      <c r="I8" s="118">
        <f>'BD Team'!J13</f>
        <v>3</v>
      </c>
      <c r="J8" s="103">
        <f t="shared" si="0"/>
        <v>15.009967439999999</v>
      </c>
      <c r="K8" s="172">
        <f>'BD Team'!K13</f>
        <v>127.1</v>
      </c>
      <c r="L8" s="171">
        <f t="shared" si="1"/>
        <v>381.29999999999995</v>
      </c>
      <c r="M8" s="170">
        <f>L8*'Changable Values'!$D$4</f>
        <v>31647.899999999998</v>
      </c>
      <c r="N8" s="170" t="str">
        <f>'BD Team'!E13</f>
        <v>20MM</v>
      </c>
      <c r="O8" s="172">
        <v>2538</v>
      </c>
      <c r="P8" s="241"/>
      <c r="Q8" s="173"/>
      <c r="R8" s="185"/>
      <c r="S8" s="315"/>
      <c r="T8" s="316">
        <f t="shared" si="2"/>
        <v>27.44</v>
      </c>
      <c r="U8" s="316">
        <f t="shared" si="3"/>
        <v>8.2319999999999993</v>
      </c>
      <c r="V8" s="316">
        <f t="shared" si="4"/>
        <v>0.42875000000000002</v>
      </c>
      <c r="W8" s="316">
        <f t="shared" si="5"/>
        <v>27.44</v>
      </c>
      <c r="X8" s="316">
        <f t="shared" si="6"/>
        <v>54.88</v>
      </c>
      <c r="Y8" s="316">
        <f t="shared" si="7"/>
        <v>4.1159999999999997</v>
      </c>
    </row>
    <row r="9" spans="1:25">
      <c r="A9" s="118">
        <f>'BD Team'!A14</f>
        <v>6</v>
      </c>
      <c r="B9" s="118" t="str">
        <f>'BD Team'!B14</f>
        <v>V1</v>
      </c>
      <c r="C9" s="118" t="str">
        <f>'BD Team'!C14</f>
        <v>M940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-</v>
      </c>
      <c r="G9" s="118">
        <f>'BD Team'!H14</f>
        <v>610</v>
      </c>
      <c r="H9" s="118">
        <f>'BD Team'!I14</f>
        <v>458</v>
      </c>
      <c r="I9" s="118">
        <f>'BD Team'!J14</f>
        <v>15</v>
      </c>
      <c r="J9" s="103">
        <f t="shared" si="0"/>
        <v>45.108694799999995</v>
      </c>
      <c r="K9" s="172">
        <f>'BD Team'!K14</f>
        <v>103.84</v>
      </c>
      <c r="L9" s="171">
        <f t="shared" si="1"/>
        <v>1557.6000000000001</v>
      </c>
      <c r="M9" s="170">
        <f>L9*'Changable Values'!$D$4</f>
        <v>129280.80000000002</v>
      </c>
      <c r="N9" s="170" t="str">
        <f>'BD Team'!E14</f>
        <v>20MM (F)</v>
      </c>
      <c r="O9" s="172">
        <v>3539</v>
      </c>
      <c r="P9" s="241"/>
      <c r="Q9" s="173"/>
      <c r="R9" s="185"/>
      <c r="S9" s="315"/>
      <c r="T9" s="316">
        <f t="shared" si="2"/>
        <v>106.8</v>
      </c>
      <c r="U9" s="316">
        <f t="shared" si="3"/>
        <v>32.04</v>
      </c>
      <c r="V9" s="316">
        <f t="shared" si="4"/>
        <v>1.66875</v>
      </c>
      <c r="W9" s="316">
        <f t="shared" si="5"/>
        <v>106.8</v>
      </c>
      <c r="X9" s="316">
        <f t="shared" si="6"/>
        <v>213.6</v>
      </c>
      <c r="Y9" s="316">
        <f t="shared" si="7"/>
        <v>16.02</v>
      </c>
    </row>
    <row r="10" spans="1:25">
      <c r="A10" s="118">
        <f>'BD Team'!A15</f>
        <v>7</v>
      </c>
      <c r="B10" s="118" t="str">
        <f>'BD Team'!B15</f>
        <v>FD1 - TOP</v>
      </c>
      <c r="C10" s="118" t="str">
        <f>'BD Team'!C15</f>
        <v>M940</v>
      </c>
      <c r="D10" s="118" t="str">
        <f>'BD Team'!D15</f>
        <v>FIXED GLASS 3 NO'S</v>
      </c>
      <c r="E10" s="118" t="str">
        <f>'BD Team'!F15</f>
        <v>NO</v>
      </c>
      <c r="F10" s="121" t="str">
        <f>'BD Team'!G15</f>
        <v>-</v>
      </c>
      <c r="G10" s="118">
        <f>'BD Team'!H15</f>
        <v>3658</v>
      </c>
      <c r="H10" s="118">
        <f>'BD Team'!I15</f>
        <v>990</v>
      </c>
      <c r="I10" s="118">
        <f>'BD Team'!J15</f>
        <v>3</v>
      </c>
      <c r="J10" s="103">
        <f t="shared" si="0"/>
        <v>116.94289463999999</v>
      </c>
      <c r="K10" s="172">
        <f>'BD Team'!K15</f>
        <v>120.37</v>
      </c>
      <c r="L10" s="171">
        <f t="shared" si="1"/>
        <v>361.11</v>
      </c>
      <c r="M10" s="170">
        <f>L10*'Changable Values'!$D$4</f>
        <v>29972.13</v>
      </c>
      <c r="N10" s="170" t="str">
        <f>'BD Team'!E15</f>
        <v>20MM</v>
      </c>
      <c r="O10" s="172">
        <v>2538</v>
      </c>
      <c r="P10" s="241"/>
      <c r="Q10" s="173"/>
      <c r="R10" s="185"/>
      <c r="S10" s="315"/>
      <c r="T10" s="316">
        <f t="shared" si="2"/>
        <v>92.96</v>
      </c>
      <c r="U10" s="316">
        <f t="shared" si="3"/>
        <v>27.888000000000002</v>
      </c>
      <c r="V10" s="316">
        <f t="shared" si="4"/>
        <v>1.4524999999999999</v>
      </c>
      <c r="W10" s="316">
        <f t="shared" si="5"/>
        <v>92.96</v>
      </c>
      <c r="X10" s="316">
        <f t="shared" si="6"/>
        <v>185.92</v>
      </c>
      <c r="Y10" s="316">
        <f t="shared" si="7"/>
        <v>13.944000000000001</v>
      </c>
    </row>
    <row r="11" spans="1:25">
      <c r="A11" s="118">
        <f>'BD Team'!A16</f>
        <v>8</v>
      </c>
      <c r="B11" s="118" t="str">
        <f>'BD Team'!B16</f>
        <v>FD1 - BOTTOM</v>
      </c>
      <c r="C11" s="118" t="str">
        <f>'BD Team'!C16</f>
        <v>M14600</v>
      </c>
      <c r="D11" s="118" t="str">
        <f>'BD Team'!D16</f>
        <v>3 TRACK 3 SHUTTER SLIDING DOOR</v>
      </c>
      <c r="E11" s="118" t="str">
        <f>'BD Team'!F16</f>
        <v>NO</v>
      </c>
      <c r="F11" s="121" t="str">
        <f>'BD Team'!G16</f>
        <v>-</v>
      </c>
      <c r="G11" s="118">
        <f>'BD Team'!H16</f>
        <v>3658</v>
      </c>
      <c r="H11" s="118">
        <f>'BD Team'!I16</f>
        <v>2364</v>
      </c>
      <c r="I11" s="118">
        <f>'BD Team'!J16</f>
        <v>3</v>
      </c>
      <c r="J11" s="103">
        <f t="shared" si="0"/>
        <v>279.245457504</v>
      </c>
      <c r="K11" s="172">
        <f>'BD Team'!K16</f>
        <v>886.25</v>
      </c>
      <c r="L11" s="171">
        <f t="shared" si="1"/>
        <v>2658.75</v>
      </c>
      <c r="M11" s="170">
        <f>L11*'Changable Values'!$D$4</f>
        <v>220676.25</v>
      </c>
      <c r="N11" s="170" t="str">
        <f>'BD Team'!E16</f>
        <v>24MM</v>
      </c>
      <c r="O11" s="172">
        <v>2805</v>
      </c>
      <c r="P11" s="241"/>
      <c r="Q11" s="173"/>
      <c r="R11" s="185"/>
      <c r="S11" s="315"/>
      <c r="T11" s="316">
        <f t="shared" si="2"/>
        <v>120.44</v>
      </c>
      <c r="U11" s="316">
        <f t="shared" si="3"/>
        <v>36.131999999999998</v>
      </c>
      <c r="V11" s="316">
        <f t="shared" si="4"/>
        <v>1.881875</v>
      </c>
      <c r="W11" s="316">
        <f t="shared" si="5"/>
        <v>120.44</v>
      </c>
      <c r="X11" s="316">
        <f t="shared" si="6"/>
        <v>240.88</v>
      </c>
      <c r="Y11" s="316">
        <f t="shared" si="7"/>
        <v>18.065999999999999</v>
      </c>
    </row>
    <row r="12" spans="1:25">
      <c r="A12" s="118">
        <f>'BD Team'!A17</f>
        <v>9</v>
      </c>
      <c r="B12" s="118" t="str">
        <f>'BD Team'!B17</f>
        <v>FD2</v>
      </c>
      <c r="C12" s="118" t="str">
        <f>'BD Team'!C17</f>
        <v>M14600</v>
      </c>
      <c r="D12" s="118" t="str">
        <f>'BD Team'!D17</f>
        <v>2 TRACK 2 SHUTTER SLIDING DOOR</v>
      </c>
      <c r="E12" s="118" t="str">
        <f>'BD Team'!F17</f>
        <v>NO</v>
      </c>
      <c r="F12" s="121" t="str">
        <f>'BD Team'!G17</f>
        <v>-</v>
      </c>
      <c r="G12" s="118">
        <f>'BD Team'!H17</f>
        <v>2744</v>
      </c>
      <c r="H12" s="118">
        <f>'BD Team'!I17</f>
        <v>2364</v>
      </c>
      <c r="I12" s="118">
        <f>'BD Team'!J17</f>
        <v>3</v>
      </c>
      <c r="J12" s="103">
        <f t="shared" si="0"/>
        <v>209.47226227199999</v>
      </c>
      <c r="K12" s="172">
        <f>'BD Team'!K17</f>
        <v>484.61</v>
      </c>
      <c r="L12" s="171">
        <f t="shared" si="1"/>
        <v>1453.83</v>
      </c>
      <c r="M12" s="170">
        <f>L12*'Changable Values'!$D$4</f>
        <v>120667.89</v>
      </c>
      <c r="N12" s="170" t="str">
        <f>'BD Team'!E17</f>
        <v>24MM</v>
      </c>
      <c r="O12" s="172">
        <v>2805</v>
      </c>
      <c r="P12" s="241"/>
      <c r="Q12" s="173"/>
      <c r="R12" s="185"/>
      <c r="S12" s="315"/>
      <c r="T12" s="316">
        <f t="shared" si="2"/>
        <v>102.16</v>
      </c>
      <c r="U12" s="316">
        <f t="shared" si="3"/>
        <v>30.648</v>
      </c>
      <c r="V12" s="316">
        <f t="shared" si="4"/>
        <v>1.5962499999999999</v>
      </c>
      <c r="W12" s="316">
        <f t="shared" si="5"/>
        <v>102.16</v>
      </c>
      <c r="X12" s="316">
        <f t="shared" si="6"/>
        <v>204.32</v>
      </c>
      <c r="Y12" s="316">
        <f t="shared" si="7"/>
        <v>15.324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SUM(G69:H69)*I69*2/1000</f>
        <v>0</v>
      </c>
      <c r="V69" s="316">
        <f t="shared" ref="V69:V103" si="12">SUM(G69:H69)*I69*5*5/(1000*240)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2483.02</v>
      </c>
      <c r="L104" s="168">
        <f>SUM(L4:L103)</f>
        <v>11940.99</v>
      </c>
      <c r="M104" s="168">
        <f>SUM(M4:M103)</f>
        <v>991102.17</v>
      </c>
      <c r="T104" s="317">
        <f t="shared" ref="T104:Y104" si="16">SUM(T4:T103)</f>
        <v>1001.64</v>
      </c>
      <c r="U104" s="317">
        <f t="shared" si="16"/>
        <v>300.49200000000002</v>
      </c>
      <c r="V104" s="317">
        <f t="shared" si="16"/>
        <v>15.650625</v>
      </c>
      <c r="W104" s="317">
        <f t="shared" si="16"/>
        <v>1001.64</v>
      </c>
      <c r="X104" s="317">
        <f t="shared" si="16"/>
        <v>2003.28</v>
      </c>
      <c r="Y104" s="317">
        <f t="shared" si="16"/>
        <v>150.24600000000001</v>
      </c>
    </row>
  </sheetData>
  <autoFilter ref="A1:Y10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3" t="s">
        <v>287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288</v>
      </c>
      <c r="B2" s="336">
        <f>K4</f>
        <v>2804.76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297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5" t="s">
        <v>71</v>
      </c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  <c r="AK2" s="346"/>
      <c r="AL2" s="346"/>
      <c r="AM2" s="346"/>
      <c r="AN2" s="346"/>
      <c r="AO2" s="346"/>
      <c r="AP2" s="346"/>
      <c r="AQ2" s="346"/>
      <c r="AR2" s="346"/>
      <c r="AS2" s="346"/>
      <c r="AT2" s="346"/>
      <c r="AU2" s="346"/>
      <c r="AV2" s="346"/>
      <c r="AW2" s="346"/>
      <c r="AX2" s="346"/>
    </row>
    <row r="3" spans="2:54" ht="13.5" thickBot="1">
      <c r="L3" s="406" t="s">
        <v>283</v>
      </c>
      <c r="M3" s="406"/>
      <c r="N3" s="406"/>
      <c r="O3" s="406"/>
      <c r="U3" s="50"/>
      <c r="AB3" s="50"/>
    </row>
    <row r="4" spans="2:54" s="50" customFormat="1" ht="15" customHeight="1" thickTop="1" thickBot="1">
      <c r="B4" s="347" t="s">
        <v>72</v>
      </c>
      <c r="C4" s="341" t="s">
        <v>73</v>
      </c>
      <c r="D4" s="341" t="s">
        <v>74</v>
      </c>
      <c r="E4" s="339" t="s">
        <v>106</v>
      </c>
      <c r="F4" s="339" t="s">
        <v>75</v>
      </c>
      <c r="G4" s="339" t="s">
        <v>191</v>
      </c>
      <c r="H4" s="339" t="s">
        <v>76</v>
      </c>
      <c r="I4" s="341" t="s">
        <v>77</v>
      </c>
      <c r="J4" s="339" t="s">
        <v>78</v>
      </c>
      <c r="K4" s="339" t="s">
        <v>79</v>
      </c>
      <c r="L4" s="361" t="s">
        <v>114</v>
      </c>
      <c r="M4" s="361" t="s">
        <v>115</v>
      </c>
      <c r="N4" s="361" t="s">
        <v>9</v>
      </c>
      <c r="O4" s="361" t="s">
        <v>2</v>
      </c>
      <c r="P4" s="358" t="s">
        <v>80</v>
      </c>
      <c r="Q4" s="359"/>
      <c r="R4" s="359"/>
      <c r="S4" s="359"/>
      <c r="T4" s="359"/>
      <c r="U4" s="360"/>
      <c r="V4" s="339" t="s">
        <v>134</v>
      </c>
      <c r="W4" s="365" t="s">
        <v>192</v>
      </c>
      <c r="X4" s="147"/>
      <c r="Y4" s="147"/>
      <c r="Z4" s="147"/>
      <c r="AA4" s="147"/>
      <c r="AB4" s="147"/>
      <c r="AC4" s="365" t="s">
        <v>81</v>
      </c>
      <c r="AD4" s="369" t="s">
        <v>106</v>
      </c>
      <c r="AE4" s="356" t="s">
        <v>82</v>
      </c>
      <c r="AF4" s="394" t="s">
        <v>83</v>
      </c>
      <c r="AG4" s="395"/>
      <c r="AH4" s="356" t="s">
        <v>84</v>
      </c>
      <c r="AI4" s="356" t="s">
        <v>85</v>
      </c>
      <c r="AJ4" s="339" t="s">
        <v>240</v>
      </c>
      <c r="AK4" s="339" t="s">
        <v>241</v>
      </c>
      <c r="AL4" s="341" t="s">
        <v>86</v>
      </c>
      <c r="AM4" s="341" t="s">
        <v>87</v>
      </c>
      <c r="AN4" s="341" t="s">
        <v>88</v>
      </c>
      <c r="AO4" s="391" t="s">
        <v>89</v>
      </c>
      <c r="AP4" s="341" t="s">
        <v>109</v>
      </c>
      <c r="AQ4" s="341" t="s">
        <v>4</v>
      </c>
      <c r="AR4" s="376" t="s">
        <v>90</v>
      </c>
      <c r="AS4" s="379" t="s">
        <v>91</v>
      </c>
      <c r="AT4" s="376" t="s">
        <v>92</v>
      </c>
      <c r="AU4" s="382" t="s">
        <v>93</v>
      </c>
      <c r="AV4" s="398" t="s">
        <v>217</v>
      </c>
      <c r="AW4" s="385" t="s">
        <v>215</v>
      </c>
      <c r="AX4" s="388" t="s">
        <v>216</v>
      </c>
    </row>
    <row r="5" spans="2:54" s="50" customFormat="1" ht="26.25" thickTop="1">
      <c r="B5" s="348"/>
      <c r="C5" s="350"/>
      <c r="D5" s="350"/>
      <c r="E5" s="352"/>
      <c r="F5" s="352"/>
      <c r="G5" s="352"/>
      <c r="H5" s="352"/>
      <c r="I5" s="354"/>
      <c r="J5" s="352"/>
      <c r="K5" s="352"/>
      <c r="L5" s="362"/>
      <c r="M5" s="362"/>
      <c r="N5" s="362"/>
      <c r="O5" s="362"/>
      <c r="P5" s="368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4" t="s">
        <v>99</v>
      </c>
      <c r="V5" s="340"/>
      <c r="W5" s="366"/>
      <c r="X5" s="144" t="s">
        <v>95</v>
      </c>
      <c r="Y5" s="144" t="s">
        <v>96</v>
      </c>
      <c r="Z5" s="144" t="s">
        <v>97</v>
      </c>
      <c r="AA5" s="145" t="s">
        <v>98</v>
      </c>
      <c r="AB5" s="364" t="s">
        <v>214</v>
      </c>
      <c r="AC5" s="366"/>
      <c r="AD5" s="370"/>
      <c r="AE5" s="357"/>
      <c r="AF5" s="396"/>
      <c r="AG5" s="397"/>
      <c r="AH5" s="357"/>
      <c r="AI5" s="357"/>
      <c r="AJ5" s="340"/>
      <c r="AK5" s="340"/>
      <c r="AL5" s="342"/>
      <c r="AM5" s="342"/>
      <c r="AN5" s="342"/>
      <c r="AO5" s="392"/>
      <c r="AP5" s="342"/>
      <c r="AQ5" s="342"/>
      <c r="AR5" s="377"/>
      <c r="AS5" s="380"/>
      <c r="AT5" s="377"/>
      <c r="AU5" s="383"/>
      <c r="AV5" s="398"/>
      <c r="AW5" s="386"/>
      <c r="AX5" s="389"/>
      <c r="AZ5" s="372" t="s">
        <v>100</v>
      </c>
    </row>
    <row r="6" spans="2:54" s="50" customFormat="1" ht="16.5" customHeight="1" thickBot="1">
      <c r="B6" s="349"/>
      <c r="C6" s="351"/>
      <c r="D6" s="351"/>
      <c r="E6" s="353"/>
      <c r="F6" s="353"/>
      <c r="G6" s="353"/>
      <c r="H6" s="353"/>
      <c r="I6" s="355"/>
      <c r="J6" s="353"/>
      <c r="K6" s="353"/>
      <c r="L6" s="363"/>
      <c r="M6" s="363"/>
      <c r="N6" s="363"/>
      <c r="O6" s="363"/>
      <c r="P6" s="35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3"/>
      <c r="V6" s="157">
        <f>'Changable Values'!D9</f>
        <v>1.4999999999999999E-2</v>
      </c>
      <c r="W6" s="367"/>
      <c r="X6" s="51"/>
      <c r="Y6" s="52"/>
      <c r="Z6" s="52"/>
      <c r="AA6" s="52"/>
      <c r="AB6" s="353"/>
      <c r="AC6" s="367"/>
      <c r="AD6" s="371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3"/>
      <c r="AP6" s="53">
        <f>'Changable Values'!D23</f>
        <v>1.25</v>
      </c>
      <c r="AQ6" s="51">
        <v>0</v>
      </c>
      <c r="AR6" s="378"/>
      <c r="AS6" s="381"/>
      <c r="AT6" s="378"/>
      <c r="AU6" s="384"/>
      <c r="AV6" s="398"/>
      <c r="AW6" s="387"/>
      <c r="AX6" s="390"/>
      <c r="AZ6" s="37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4">
        <f>'Changable Values'!D14</f>
        <v>150</v>
      </c>
      <c r="AG7" s="37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WINDOW WITH BOTTOM FIXED</v>
      </c>
      <c r="D8" s="131" t="str">
        <f>Pricing!B4</f>
        <v>W1</v>
      </c>
      <c r="E8" s="132" t="str">
        <f>Pricing!N4</f>
        <v>20MM</v>
      </c>
      <c r="F8" s="68">
        <f>Pricing!G4</f>
        <v>1524</v>
      </c>
      <c r="G8" s="68">
        <f>Pricing!H4</f>
        <v>2134</v>
      </c>
      <c r="H8" s="100">
        <f t="shared" ref="H8:H57" si="0">(F8*G8)/1000000</f>
        <v>3.2522160000000002</v>
      </c>
      <c r="I8" s="70">
        <f>Pricing!I4</f>
        <v>3</v>
      </c>
      <c r="J8" s="69">
        <f t="shared" ref="J8" si="1">H8*I8</f>
        <v>9.7566480000000002</v>
      </c>
      <c r="K8" s="71">
        <f t="shared" ref="K8" si="2">J8*10.764</f>
        <v>105.020559072</v>
      </c>
      <c r="L8" s="69"/>
      <c r="M8" s="72"/>
      <c r="N8" s="72"/>
      <c r="O8" s="72">
        <f t="shared" ref="O8:O35" si="3">N8*M8*L8/1000000</f>
        <v>0</v>
      </c>
      <c r="P8" s="73">
        <f>Pricing!M4</f>
        <v>46879.23</v>
      </c>
      <c r="Q8" s="74">
        <f t="shared" ref="Q8:Q56" si="4">P8*$Q$6</f>
        <v>4687.9230000000007</v>
      </c>
      <c r="R8" s="74">
        <f t="shared" ref="R8:R56" si="5">(P8+Q8)*$R$6</f>
        <v>5672.3868300000004</v>
      </c>
      <c r="S8" s="74">
        <f t="shared" ref="S8:S56" si="6">(P8+Q8+R8)*$S$6</f>
        <v>286.19769915000006</v>
      </c>
      <c r="T8" s="74">
        <f t="shared" ref="T8:T56" si="7">(P8+Q8+R8+S8)*$T$6</f>
        <v>575.25737529150013</v>
      </c>
      <c r="U8" s="72">
        <f t="shared" ref="U8:U56" si="8">SUM(P8:T8)</f>
        <v>58100.994904441504</v>
      </c>
      <c r="V8" s="74">
        <f t="shared" ref="V8:V56" si="9">U8*$V$6</f>
        <v>871.51492356662254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24762.372624</v>
      </c>
      <c r="AE8" s="76">
        <f>((((F8+G8)*2)/305)*I8*$AE$7)</f>
        <v>1799.0163934426228</v>
      </c>
      <c r="AF8" s="343">
        <f>(((((F8*4)+(G8*4))/1000)*$AF$6*$AG$6)/300)*I8*$AF$7</f>
        <v>790.12799999999993</v>
      </c>
      <c r="AG8" s="344"/>
      <c r="AH8" s="76">
        <f>(((F8+G8))*I8/1000)*4*$AH$7</f>
        <v>65.843999999999994</v>
      </c>
      <c r="AI8" s="76">
        <f t="shared" ref="AI8:AI57" si="15">(((F8+G8)*2*I8)/1000)*2*$AI$7</f>
        <v>219.48000000000002</v>
      </c>
      <c r="AJ8" s="76">
        <f>J8*Pricing!Q4</f>
        <v>0</v>
      </c>
      <c r="AK8" s="76">
        <f>J8*Pricing!R4</f>
        <v>0</v>
      </c>
      <c r="AL8" s="76">
        <f t="shared" ref="AL8:AL39" si="16">J8*$AL$6</f>
        <v>10502.0559072</v>
      </c>
      <c r="AM8" s="77">
        <f t="shared" ref="AM8:AM39" si="17">$AM$6*J8</f>
        <v>0</v>
      </c>
      <c r="AN8" s="76">
        <f t="shared" ref="AN8:AN39" si="18">$AN$6*J8</f>
        <v>8401.6447257599993</v>
      </c>
      <c r="AO8" s="72">
        <f t="shared" ref="AO8:AO39" si="19">SUM(U8:V8)+SUM(AC8:AI8)-AD8</f>
        <v>61846.978221450758</v>
      </c>
      <c r="AP8" s="74">
        <f t="shared" ref="AP8:AP39" si="20">AO8*$AP$6</f>
        <v>77308.722776813447</v>
      </c>
      <c r="AQ8" s="74">
        <f t="shared" ref="AQ8:AQ56" si="21">(AO8+AP8)*$AQ$6</f>
        <v>0</v>
      </c>
      <c r="AR8" s="74">
        <f t="shared" ref="AR8:AR39" si="22">SUM(AO8:AQ8)/J8</f>
        <v>14262.654653346537</v>
      </c>
      <c r="AS8" s="72">
        <f t="shared" ref="AS8:AS39" si="23">SUM(AJ8:AQ8)+AD8+AB8</f>
        <v>182821.77425522421</v>
      </c>
      <c r="AT8" s="72">
        <f t="shared" ref="AT8:AT39" si="24">AS8/J8</f>
        <v>18738.174653346541</v>
      </c>
      <c r="AU8" s="78">
        <f t="shared" ref="AU8:AU56" si="25">AT8/10.764</f>
        <v>1740.8189012770849</v>
      </c>
      <c r="AV8" s="79">
        <f t="shared" ref="AV8:AV39" si="26">K8/$K$109</f>
        <v>8.3536226577119316E-2</v>
      </c>
      <c r="AW8" s="80">
        <f t="shared" ref="AW8:AW39" si="27">(U8+V8)/(J8*10.764)</f>
        <v>561.53300219605342</v>
      </c>
      <c r="AX8" s="81">
        <f t="shared" ref="AX8:AX39" si="28">SUM(W8:AN8,AP8)/(J8*10.764)</f>
        <v>1179.2858990810314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WINDOW WITH BOTTOM FIXED</v>
      </c>
      <c r="D9" s="131" t="str">
        <f>Pricing!B5</f>
        <v>W2</v>
      </c>
      <c r="E9" s="132" t="str">
        <f>Pricing!N5</f>
        <v>20MM</v>
      </c>
      <c r="F9" s="68">
        <f>Pricing!G5</f>
        <v>1220</v>
      </c>
      <c r="G9" s="68">
        <f>Pricing!H5</f>
        <v>2134</v>
      </c>
      <c r="H9" s="100">
        <f t="shared" si="0"/>
        <v>2.6034799999999998</v>
      </c>
      <c r="I9" s="70">
        <f>Pricing!I5</f>
        <v>12</v>
      </c>
      <c r="J9" s="69">
        <f t="shared" ref="J9:J58" si="30">H9*I9</f>
        <v>31.241759999999999</v>
      </c>
      <c r="K9" s="71">
        <f t="shared" ref="K9:K58" si="31">J9*10.764</f>
        <v>336.28630463999997</v>
      </c>
      <c r="L9" s="69"/>
      <c r="M9" s="72"/>
      <c r="N9" s="72"/>
      <c r="O9" s="72">
        <f t="shared" si="3"/>
        <v>0</v>
      </c>
      <c r="P9" s="73">
        <f>Pricing!M5</f>
        <v>196470.96</v>
      </c>
      <c r="Q9" s="74">
        <f t="shared" ref="Q9:Q14" si="32">P9*$Q$6</f>
        <v>19647.096000000001</v>
      </c>
      <c r="R9" s="74">
        <f t="shared" ref="R9:R14" si="33">(P9+Q9)*$R$6</f>
        <v>23772.986159999997</v>
      </c>
      <c r="S9" s="74">
        <f t="shared" ref="S9:S14" si="34">(P9+Q9+R9)*$S$6</f>
        <v>1199.4552108</v>
      </c>
      <c r="T9" s="74">
        <f t="shared" ref="T9:T14" si="35">(P9+Q9+R9+S9)*$T$6</f>
        <v>2410.9049737079999</v>
      </c>
      <c r="U9" s="72">
        <f t="shared" ref="U9:U14" si="36">SUM(P9:T9)</f>
        <v>243501.40234450798</v>
      </c>
      <c r="V9" s="74">
        <f t="shared" ref="V9:V14" si="37">U9*$V$6</f>
        <v>3652.5210351676196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79291.586880000003</v>
      </c>
      <c r="AE9" s="76">
        <f t="shared" ref="AE9:AE57" si="43">((((F9+G9)*2)/305)*I9*$AE$7)</f>
        <v>6598.0327868852455</v>
      </c>
      <c r="AF9" s="343">
        <f t="shared" ref="AF9:AF57" si="44">(((((F9*4)+(G9*4))/1000)*$AF$6*$AG$6)/300)*I9*$AF$7</f>
        <v>2897.8560000000002</v>
      </c>
      <c r="AG9" s="344"/>
      <c r="AH9" s="76">
        <f t="shared" ref="AH9:AH57" si="45">(((F9+G9))*I9/1000)*4*$AH$7</f>
        <v>241.488</v>
      </c>
      <c r="AI9" s="76">
        <f t="shared" si="15"/>
        <v>804.95999999999992</v>
      </c>
      <c r="AJ9" s="76">
        <f>J9*Pricing!Q5</f>
        <v>0</v>
      </c>
      <c r="AK9" s="76">
        <f>J9*Pricing!R5</f>
        <v>0</v>
      </c>
      <c r="AL9" s="76">
        <f t="shared" si="16"/>
        <v>33628.630463999994</v>
      </c>
      <c r="AM9" s="77">
        <f t="shared" si="17"/>
        <v>0</v>
      </c>
      <c r="AN9" s="76">
        <f t="shared" si="18"/>
        <v>26902.904371199995</v>
      </c>
      <c r="AO9" s="72">
        <f t="shared" si="19"/>
        <v>257696.26016656082</v>
      </c>
      <c r="AP9" s="74">
        <f t="shared" si="20"/>
        <v>322120.32520820101</v>
      </c>
      <c r="AQ9" s="74">
        <f t="shared" ref="AQ9:AQ14" si="46">(AO9+AP9)*$AQ$6</f>
        <v>0</v>
      </c>
      <c r="AR9" s="74">
        <f t="shared" si="22"/>
        <v>18559.02437553972</v>
      </c>
      <c r="AS9" s="72">
        <f t="shared" si="23"/>
        <v>719639.70708996186</v>
      </c>
      <c r="AT9" s="72">
        <f t="shared" si="24"/>
        <v>23034.544375539721</v>
      </c>
      <c r="AU9" s="78">
        <f t="shared" ref="AU9:AU14" si="47">AT9/10.764</f>
        <v>2139.9613875454961</v>
      </c>
      <c r="AV9" s="79">
        <f t="shared" si="26"/>
        <v>0.26749132919707497</v>
      </c>
      <c r="AW9" s="80">
        <f t="shared" si="27"/>
        <v>734.95090335081579</v>
      </c>
      <c r="AX9" s="81">
        <f t="shared" si="28"/>
        <v>1405.0104841946807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</v>
      </c>
      <c r="D10" s="131" t="str">
        <f>Pricing!B6</f>
        <v>W3</v>
      </c>
      <c r="E10" s="132" t="str">
        <f>Pricing!N6</f>
        <v>20MM</v>
      </c>
      <c r="F10" s="68">
        <f>Pricing!G6</f>
        <v>610</v>
      </c>
      <c r="G10" s="68">
        <f>Pricing!H6</f>
        <v>1524</v>
      </c>
      <c r="H10" s="100">
        <f t="shared" si="0"/>
        <v>0.92964000000000002</v>
      </c>
      <c r="I10" s="70">
        <f>Pricing!I6</f>
        <v>12</v>
      </c>
      <c r="J10" s="69">
        <f t="shared" si="30"/>
        <v>11.15568</v>
      </c>
      <c r="K10" s="71">
        <f t="shared" si="31"/>
        <v>120.07973951999999</v>
      </c>
      <c r="L10" s="69"/>
      <c r="M10" s="72"/>
      <c r="N10" s="72"/>
      <c r="O10" s="72">
        <f t="shared" si="3"/>
        <v>0</v>
      </c>
      <c r="P10" s="73">
        <f>Pricing!M6</f>
        <v>162736.43999999997</v>
      </c>
      <c r="Q10" s="74">
        <f t="shared" si="32"/>
        <v>16273.643999999998</v>
      </c>
      <c r="R10" s="74">
        <f t="shared" si="33"/>
        <v>19691.109239999998</v>
      </c>
      <c r="S10" s="74">
        <f t="shared" si="34"/>
        <v>993.50596619999988</v>
      </c>
      <c r="T10" s="74">
        <f t="shared" si="35"/>
        <v>1996.9469920619997</v>
      </c>
      <c r="U10" s="72">
        <f t="shared" si="36"/>
        <v>201691.64619826197</v>
      </c>
      <c r="V10" s="74">
        <f t="shared" si="37"/>
        <v>3025.3746929739295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28313.115840000002</v>
      </c>
      <c r="AE10" s="76">
        <f t="shared" si="43"/>
        <v>4198.0327868852455</v>
      </c>
      <c r="AF10" s="343">
        <f t="shared" si="44"/>
        <v>1843.7759999999996</v>
      </c>
      <c r="AG10" s="344"/>
      <c r="AH10" s="76">
        <f t="shared" si="45"/>
        <v>153.648</v>
      </c>
      <c r="AI10" s="76">
        <f t="shared" si="15"/>
        <v>512.16</v>
      </c>
      <c r="AJ10" s="76">
        <f>J10*Pricing!Q6</f>
        <v>0</v>
      </c>
      <c r="AK10" s="76">
        <f>J10*Pricing!R6</f>
        <v>0</v>
      </c>
      <c r="AL10" s="76">
        <f t="shared" si="16"/>
        <v>12007.973951999998</v>
      </c>
      <c r="AM10" s="77">
        <f t="shared" si="17"/>
        <v>0</v>
      </c>
      <c r="AN10" s="76">
        <f t="shared" si="18"/>
        <v>9606.3791615999999</v>
      </c>
      <c r="AO10" s="72">
        <f t="shared" si="19"/>
        <v>211424.63767812113</v>
      </c>
      <c r="AP10" s="74">
        <f t="shared" si="20"/>
        <v>264280.7970976514</v>
      </c>
      <c r="AQ10" s="74">
        <f t="shared" si="46"/>
        <v>0</v>
      </c>
      <c r="AR10" s="74">
        <f t="shared" si="22"/>
        <v>42642.441767402124</v>
      </c>
      <c r="AS10" s="72">
        <f t="shared" si="23"/>
        <v>525632.90372937254</v>
      </c>
      <c r="AT10" s="72">
        <f t="shared" si="24"/>
        <v>47117.961767402121</v>
      </c>
      <c r="AU10" s="78">
        <f t="shared" si="47"/>
        <v>4377.3654559087818</v>
      </c>
      <c r="AV10" s="79">
        <f t="shared" si="26"/>
        <v>9.5514710800455066E-2</v>
      </c>
      <c r="AW10" s="80">
        <f t="shared" si="27"/>
        <v>1704.8423131958832</v>
      </c>
      <c r="AX10" s="81">
        <f t="shared" si="28"/>
        <v>2672.5231427128988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CASEMENT WINDOW</v>
      </c>
      <c r="D11" s="131" t="str">
        <f>Pricing!B7</f>
        <v>KW</v>
      </c>
      <c r="E11" s="132" t="str">
        <f>Pricing!N7</f>
        <v>20MM</v>
      </c>
      <c r="F11" s="68">
        <f>Pricing!G7</f>
        <v>1220</v>
      </c>
      <c r="G11" s="68">
        <f>Pricing!H7</f>
        <v>762</v>
      </c>
      <c r="H11" s="100">
        <f t="shared" si="0"/>
        <v>0.92964000000000002</v>
      </c>
      <c r="I11" s="70">
        <f>Pricing!I7</f>
        <v>3</v>
      </c>
      <c r="J11" s="69">
        <f t="shared" si="30"/>
        <v>2.7889200000000001</v>
      </c>
      <c r="K11" s="71">
        <f t="shared" si="31"/>
        <v>30.019934879999997</v>
      </c>
      <c r="L11" s="69"/>
      <c r="M11" s="72"/>
      <c r="N11" s="72"/>
      <c r="O11" s="72">
        <f t="shared" si="3"/>
        <v>0</v>
      </c>
      <c r="P11" s="73">
        <f>Pricing!M7</f>
        <v>52770.57</v>
      </c>
      <c r="Q11" s="74">
        <f t="shared" si="32"/>
        <v>5277.0570000000007</v>
      </c>
      <c r="R11" s="74">
        <f t="shared" si="33"/>
        <v>6385.2389700000003</v>
      </c>
      <c r="S11" s="74">
        <f t="shared" si="34"/>
        <v>322.16432985</v>
      </c>
      <c r="T11" s="74">
        <f t="shared" si="35"/>
        <v>647.5503029985</v>
      </c>
      <c r="U11" s="72">
        <f t="shared" si="36"/>
        <v>65402.580602848495</v>
      </c>
      <c r="V11" s="74">
        <f t="shared" si="37"/>
        <v>981.03870904272742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7078.2789600000006</v>
      </c>
      <c r="AE11" s="76">
        <f t="shared" si="43"/>
        <v>974.75409836065569</v>
      </c>
      <c r="AF11" s="343">
        <f t="shared" si="44"/>
        <v>428.11200000000002</v>
      </c>
      <c r="AG11" s="344"/>
      <c r="AH11" s="76">
        <f t="shared" si="45"/>
        <v>35.676000000000002</v>
      </c>
      <c r="AI11" s="76">
        <f t="shared" si="15"/>
        <v>118.91999999999999</v>
      </c>
      <c r="AJ11" s="76">
        <f>J11*Pricing!Q7</f>
        <v>0</v>
      </c>
      <c r="AK11" s="76">
        <f>J11*Pricing!R7</f>
        <v>0</v>
      </c>
      <c r="AL11" s="76">
        <f t="shared" si="16"/>
        <v>3001.9934879999996</v>
      </c>
      <c r="AM11" s="77">
        <f t="shared" si="17"/>
        <v>0</v>
      </c>
      <c r="AN11" s="76">
        <f t="shared" si="18"/>
        <v>2401.5947904</v>
      </c>
      <c r="AO11" s="72">
        <f t="shared" si="19"/>
        <v>67941.081410251878</v>
      </c>
      <c r="AP11" s="74">
        <f t="shared" si="20"/>
        <v>84926.351762814855</v>
      </c>
      <c r="AQ11" s="74">
        <f t="shared" si="46"/>
        <v>0</v>
      </c>
      <c r="AR11" s="74">
        <f t="shared" si="22"/>
        <v>54812.412393710372</v>
      </c>
      <c r="AS11" s="72">
        <f t="shared" si="23"/>
        <v>165349.30041146671</v>
      </c>
      <c r="AT11" s="72">
        <f t="shared" si="24"/>
        <v>59287.932393710362</v>
      </c>
      <c r="AU11" s="78">
        <f t="shared" si="47"/>
        <v>5507.9833141685585</v>
      </c>
      <c r="AV11" s="79">
        <f t="shared" si="26"/>
        <v>2.3878677700113767E-2</v>
      </c>
      <c r="AW11" s="80">
        <f t="shared" si="27"/>
        <v>2211.3178984980937</v>
      </c>
      <c r="AX11" s="81">
        <f t="shared" si="28"/>
        <v>3296.6654156704658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</v>
      </c>
      <c r="D12" s="131" t="str">
        <f>Pricing!B8</f>
        <v>KW1</v>
      </c>
      <c r="E12" s="132" t="str">
        <f>Pricing!N8</f>
        <v>20MM</v>
      </c>
      <c r="F12" s="68">
        <f>Pricing!G8</f>
        <v>610</v>
      </c>
      <c r="G12" s="68">
        <f>Pricing!H8</f>
        <v>762</v>
      </c>
      <c r="H12" s="100">
        <f t="shared" si="0"/>
        <v>0.46482000000000001</v>
      </c>
      <c r="I12" s="70">
        <f>Pricing!I8</f>
        <v>3</v>
      </c>
      <c r="J12" s="69">
        <f t="shared" si="30"/>
        <v>1.39446</v>
      </c>
      <c r="K12" s="71">
        <f t="shared" si="31"/>
        <v>15.009967439999999</v>
      </c>
      <c r="L12" s="69"/>
      <c r="M12" s="72"/>
      <c r="N12" s="72"/>
      <c r="O12" s="72">
        <f t="shared" si="3"/>
        <v>0</v>
      </c>
      <c r="P12" s="73">
        <f>Pricing!M8</f>
        <v>31647.899999999998</v>
      </c>
      <c r="Q12" s="74">
        <f t="shared" si="32"/>
        <v>3164.79</v>
      </c>
      <c r="R12" s="74">
        <f t="shared" si="33"/>
        <v>3829.3958999999995</v>
      </c>
      <c r="S12" s="74">
        <f t="shared" si="34"/>
        <v>193.21042949999995</v>
      </c>
      <c r="T12" s="74">
        <f t="shared" si="35"/>
        <v>388.35296329499994</v>
      </c>
      <c r="U12" s="72">
        <f t="shared" si="36"/>
        <v>39223.649292794995</v>
      </c>
      <c r="V12" s="74">
        <f t="shared" si="37"/>
        <v>588.35473939192491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3539.1394800000003</v>
      </c>
      <c r="AE12" s="76">
        <f t="shared" si="43"/>
        <v>674.75409836065569</v>
      </c>
      <c r="AF12" s="343">
        <f t="shared" si="44"/>
        <v>296.35200000000009</v>
      </c>
      <c r="AG12" s="344"/>
      <c r="AH12" s="76">
        <f t="shared" si="45"/>
        <v>24.695999999999998</v>
      </c>
      <c r="AI12" s="76">
        <f t="shared" si="15"/>
        <v>82.32</v>
      </c>
      <c r="AJ12" s="76">
        <f>J12*Pricing!Q8</f>
        <v>0</v>
      </c>
      <c r="AK12" s="76">
        <f>J12*Pricing!R8</f>
        <v>0</v>
      </c>
      <c r="AL12" s="76">
        <f t="shared" si="16"/>
        <v>1500.9967439999998</v>
      </c>
      <c r="AM12" s="77">
        <f t="shared" si="17"/>
        <v>0</v>
      </c>
      <c r="AN12" s="76">
        <f t="shared" si="18"/>
        <v>1200.7973952</v>
      </c>
      <c r="AO12" s="72">
        <f t="shared" si="19"/>
        <v>40890.126130547571</v>
      </c>
      <c r="AP12" s="74">
        <f t="shared" si="20"/>
        <v>51112.657663184465</v>
      </c>
      <c r="AQ12" s="74">
        <f t="shared" si="46"/>
        <v>0</v>
      </c>
      <c r="AR12" s="74">
        <f t="shared" si="22"/>
        <v>65977.355961255278</v>
      </c>
      <c r="AS12" s="72">
        <f t="shared" si="23"/>
        <v>98243.717412932034</v>
      </c>
      <c r="AT12" s="72">
        <f t="shared" si="24"/>
        <v>70452.875961255282</v>
      </c>
      <c r="AU12" s="78">
        <f t="shared" si="47"/>
        <v>6545.2318804584993</v>
      </c>
      <c r="AV12" s="79">
        <f t="shared" si="26"/>
        <v>1.1939338850056883E-2</v>
      </c>
      <c r="AW12" s="80">
        <f t="shared" si="27"/>
        <v>2652.3711121512547</v>
      </c>
      <c r="AX12" s="81">
        <f t="shared" si="28"/>
        <v>3892.8607683072446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V1</v>
      </c>
      <c r="E13" s="132" t="str">
        <f>Pricing!N9</f>
        <v>20MM (F)</v>
      </c>
      <c r="F13" s="68">
        <f>Pricing!G9</f>
        <v>610</v>
      </c>
      <c r="G13" s="68">
        <f>Pricing!H9</f>
        <v>458</v>
      </c>
      <c r="H13" s="100">
        <f t="shared" si="0"/>
        <v>0.27938000000000002</v>
      </c>
      <c r="I13" s="70">
        <f>Pricing!I9</f>
        <v>15</v>
      </c>
      <c r="J13" s="69">
        <f t="shared" si="30"/>
        <v>4.1907000000000005</v>
      </c>
      <c r="K13" s="71">
        <f t="shared" si="31"/>
        <v>45.108694800000002</v>
      </c>
      <c r="L13" s="69"/>
      <c r="M13" s="72"/>
      <c r="N13" s="72"/>
      <c r="O13" s="72">
        <f t="shared" si="3"/>
        <v>0</v>
      </c>
      <c r="P13" s="73">
        <f>Pricing!M9</f>
        <v>129280.80000000002</v>
      </c>
      <c r="Q13" s="74">
        <f t="shared" si="32"/>
        <v>12928.080000000002</v>
      </c>
      <c r="R13" s="74">
        <f t="shared" si="33"/>
        <v>15642.9768</v>
      </c>
      <c r="S13" s="74">
        <f t="shared" si="34"/>
        <v>789.25928400000009</v>
      </c>
      <c r="T13" s="74">
        <f t="shared" si="35"/>
        <v>1586.4111608400001</v>
      </c>
      <c r="U13" s="72">
        <f t="shared" si="36"/>
        <v>160227.52724484002</v>
      </c>
      <c r="V13" s="74">
        <f t="shared" si="37"/>
        <v>2403.4129086726002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14830.887300000002</v>
      </c>
      <c r="AE13" s="76">
        <f t="shared" si="43"/>
        <v>2626.2295081967213</v>
      </c>
      <c r="AF13" s="343">
        <f t="shared" si="44"/>
        <v>1153.4399999999998</v>
      </c>
      <c r="AG13" s="344"/>
      <c r="AH13" s="76">
        <f t="shared" si="45"/>
        <v>96.12</v>
      </c>
      <c r="AI13" s="76">
        <f t="shared" si="15"/>
        <v>320.39999999999998</v>
      </c>
      <c r="AJ13" s="76">
        <f>J13*Pricing!Q9</f>
        <v>0</v>
      </c>
      <c r="AK13" s="76">
        <f>J13*Pricing!R9</f>
        <v>0</v>
      </c>
      <c r="AL13" s="76">
        <f t="shared" si="16"/>
        <v>4510.8694800000003</v>
      </c>
      <c r="AM13" s="77">
        <f t="shared" si="17"/>
        <v>0</v>
      </c>
      <c r="AN13" s="76">
        <f t="shared" si="18"/>
        <v>3608.6955840000001</v>
      </c>
      <c r="AO13" s="72">
        <f t="shared" si="19"/>
        <v>166827.12966170933</v>
      </c>
      <c r="AP13" s="74">
        <f t="shared" si="20"/>
        <v>208533.91207713666</v>
      </c>
      <c r="AQ13" s="74">
        <f t="shared" si="46"/>
        <v>0</v>
      </c>
      <c r="AR13" s="74">
        <f t="shared" si="22"/>
        <v>89570.010198498087</v>
      </c>
      <c r="AS13" s="72">
        <f t="shared" si="23"/>
        <v>398311.49410284596</v>
      </c>
      <c r="AT13" s="72">
        <f t="shared" si="24"/>
        <v>95046.530198498076</v>
      </c>
      <c r="AU13" s="78">
        <f t="shared" si="47"/>
        <v>8830.038108370316</v>
      </c>
      <c r="AV13" s="79">
        <f t="shared" si="26"/>
        <v>3.5880690244921611E-2</v>
      </c>
      <c r="AW13" s="80">
        <f t="shared" si="27"/>
        <v>3605.3124763324477</v>
      </c>
      <c r="AX13" s="81">
        <f t="shared" si="28"/>
        <v>5224.7256320378701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3 NO'S</v>
      </c>
      <c r="D14" s="131" t="str">
        <f>Pricing!B10</f>
        <v>FD1 - TOP</v>
      </c>
      <c r="E14" s="132" t="str">
        <f>Pricing!N10</f>
        <v>20MM</v>
      </c>
      <c r="F14" s="68">
        <f>Pricing!G10</f>
        <v>3658</v>
      </c>
      <c r="G14" s="68">
        <f>Pricing!H10</f>
        <v>990</v>
      </c>
      <c r="H14" s="100">
        <f t="shared" si="0"/>
        <v>3.6214200000000001</v>
      </c>
      <c r="I14" s="70">
        <f>Pricing!I10</f>
        <v>3</v>
      </c>
      <c r="J14" s="69">
        <f t="shared" si="30"/>
        <v>10.86426</v>
      </c>
      <c r="K14" s="71">
        <f t="shared" si="31"/>
        <v>116.94289463999999</v>
      </c>
      <c r="L14" s="69"/>
      <c r="M14" s="72"/>
      <c r="N14" s="72"/>
      <c r="O14" s="72">
        <f t="shared" si="3"/>
        <v>0</v>
      </c>
      <c r="P14" s="73">
        <f>Pricing!M10</f>
        <v>29972.13</v>
      </c>
      <c r="Q14" s="74">
        <f t="shared" si="32"/>
        <v>2997.2130000000002</v>
      </c>
      <c r="R14" s="74">
        <f t="shared" si="33"/>
        <v>3626.6277300000002</v>
      </c>
      <c r="S14" s="74">
        <f t="shared" si="34"/>
        <v>182.97985365</v>
      </c>
      <c r="T14" s="74">
        <f t="shared" si="35"/>
        <v>367.78950583650004</v>
      </c>
      <c r="U14" s="72">
        <f t="shared" si="36"/>
        <v>37146.740089486506</v>
      </c>
      <c r="V14" s="74">
        <f t="shared" si="37"/>
        <v>557.20110134229753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27573.491879999998</v>
      </c>
      <c r="AE14" s="76">
        <f t="shared" si="43"/>
        <v>2285.9016393442621</v>
      </c>
      <c r="AF14" s="343">
        <f t="shared" si="44"/>
        <v>1003.9679999999998</v>
      </c>
      <c r="AG14" s="344"/>
      <c r="AH14" s="76">
        <f t="shared" si="45"/>
        <v>83.664000000000001</v>
      </c>
      <c r="AI14" s="76">
        <f t="shared" si="15"/>
        <v>278.88</v>
      </c>
      <c r="AJ14" s="76">
        <f>J14*Pricing!Q10</f>
        <v>0</v>
      </c>
      <c r="AK14" s="76">
        <f>J14*Pricing!R10</f>
        <v>0</v>
      </c>
      <c r="AL14" s="76">
        <f t="shared" si="16"/>
        <v>11694.289463999998</v>
      </c>
      <c r="AM14" s="77">
        <f t="shared" si="17"/>
        <v>0</v>
      </c>
      <c r="AN14" s="76">
        <f t="shared" si="18"/>
        <v>9355.4315711999989</v>
      </c>
      <c r="AO14" s="72">
        <f t="shared" si="19"/>
        <v>41356.354830173063</v>
      </c>
      <c r="AP14" s="74">
        <f t="shared" si="20"/>
        <v>51695.443537716332</v>
      </c>
      <c r="AQ14" s="74">
        <f t="shared" si="46"/>
        <v>0</v>
      </c>
      <c r="AR14" s="74">
        <f t="shared" si="22"/>
        <v>8564.9458286058507</v>
      </c>
      <c r="AS14" s="72">
        <f t="shared" si="23"/>
        <v>141675.01128308938</v>
      </c>
      <c r="AT14" s="72">
        <f t="shared" si="24"/>
        <v>13040.465828605849</v>
      </c>
      <c r="AU14" s="78">
        <f t="shared" si="47"/>
        <v>1211.4888358050771</v>
      </c>
      <c r="AV14" s="79">
        <f t="shared" si="26"/>
        <v>9.301957854303386E-2</v>
      </c>
      <c r="AW14" s="80">
        <f t="shared" si="27"/>
        <v>322.41327108327175</v>
      </c>
      <c r="AX14" s="81">
        <f t="shared" si="28"/>
        <v>889.07556472180545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3 SHUTTER SLIDING DOOR</v>
      </c>
      <c r="D15" s="131" t="str">
        <f>Pricing!B11</f>
        <v>FD1 - BOTTOM</v>
      </c>
      <c r="E15" s="132" t="str">
        <f>Pricing!N11</f>
        <v>24MM</v>
      </c>
      <c r="F15" s="68">
        <f>Pricing!G11</f>
        <v>3658</v>
      </c>
      <c r="G15" s="68">
        <f>Pricing!H11</f>
        <v>2364</v>
      </c>
      <c r="H15" s="100">
        <f t="shared" si="0"/>
        <v>8.6475120000000008</v>
      </c>
      <c r="I15" s="70">
        <f>Pricing!I11</f>
        <v>3</v>
      </c>
      <c r="J15" s="69">
        <f t="shared" si="30"/>
        <v>25.942536000000004</v>
      </c>
      <c r="K15" s="71">
        <f t="shared" si="31"/>
        <v>279.245457504</v>
      </c>
      <c r="L15" s="69"/>
      <c r="M15" s="72"/>
      <c r="N15" s="72"/>
      <c r="O15" s="72">
        <f t="shared" si="3"/>
        <v>0</v>
      </c>
      <c r="P15" s="73">
        <f>Pricing!M11</f>
        <v>220676.25</v>
      </c>
      <c r="Q15" s="74">
        <f t="shared" si="4"/>
        <v>22067.625</v>
      </c>
      <c r="R15" s="74">
        <f t="shared" si="5"/>
        <v>26701.826250000002</v>
      </c>
      <c r="S15" s="74">
        <f t="shared" si="6"/>
        <v>1347.22850625</v>
      </c>
      <c r="T15" s="74">
        <f t="shared" si="7"/>
        <v>2707.9292975624999</v>
      </c>
      <c r="U15" s="72">
        <f t="shared" si="8"/>
        <v>273500.85905381251</v>
      </c>
      <c r="V15" s="74">
        <f t="shared" si="9"/>
        <v>4102.5128858071876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72768.813480000012</v>
      </c>
      <c r="AE15" s="76">
        <f t="shared" si="43"/>
        <v>2961.6393442622948</v>
      </c>
      <c r="AF15" s="343">
        <f t="shared" si="44"/>
        <v>1300.752</v>
      </c>
      <c r="AG15" s="344"/>
      <c r="AH15" s="76">
        <f t="shared" si="45"/>
        <v>108.39599999999999</v>
      </c>
      <c r="AI15" s="76">
        <f t="shared" ref="AI15:AI20" si="49">(((F15+G15)*2*I15)/1000)*2*$AI$7</f>
        <v>361.32</v>
      </c>
      <c r="AJ15" s="76">
        <f>J15*Pricing!Q11</f>
        <v>0</v>
      </c>
      <c r="AK15" s="76">
        <f>J15*Pricing!R11</f>
        <v>0</v>
      </c>
      <c r="AL15" s="76">
        <f t="shared" si="16"/>
        <v>27924.545750400001</v>
      </c>
      <c r="AM15" s="77">
        <f t="shared" si="17"/>
        <v>0</v>
      </c>
      <c r="AN15" s="76">
        <f t="shared" si="18"/>
        <v>22339.636600320002</v>
      </c>
      <c r="AO15" s="72">
        <f t="shared" si="19"/>
        <v>282335.47928388201</v>
      </c>
      <c r="AP15" s="74">
        <f t="shared" si="20"/>
        <v>352919.34910485253</v>
      </c>
      <c r="AQ15" s="74">
        <f t="shared" si="21"/>
        <v>0</v>
      </c>
      <c r="AR15" s="74">
        <f t="shared" si="22"/>
        <v>24486.998047867579</v>
      </c>
      <c r="AS15" s="72">
        <f t="shared" si="23"/>
        <v>758287.82421945455</v>
      </c>
      <c r="AT15" s="72">
        <f t="shared" si="24"/>
        <v>29229.518047867579</v>
      </c>
      <c r="AU15" s="78">
        <f t="shared" si="25"/>
        <v>2715.4884845659217</v>
      </c>
      <c r="AV15" s="79">
        <f t="shared" si="26"/>
        <v>0.22211947846033542</v>
      </c>
      <c r="AW15" s="80">
        <f t="shared" si="27"/>
        <v>994.11956212624602</v>
      </c>
      <c r="AX15" s="81">
        <f t="shared" si="28"/>
        <v>1721.368922439676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DOOR</v>
      </c>
      <c r="D16" s="131" t="str">
        <f>Pricing!B12</f>
        <v>FD2</v>
      </c>
      <c r="E16" s="132" t="str">
        <f>Pricing!N12</f>
        <v>24MM</v>
      </c>
      <c r="F16" s="68">
        <f>Pricing!G12</f>
        <v>2744</v>
      </c>
      <c r="G16" s="68">
        <f>Pricing!H12</f>
        <v>2364</v>
      </c>
      <c r="H16" s="100">
        <f t="shared" si="0"/>
        <v>6.4868160000000001</v>
      </c>
      <c r="I16" s="70">
        <f>Pricing!I12</f>
        <v>3</v>
      </c>
      <c r="J16" s="69">
        <f t="shared" si="30"/>
        <v>19.460448</v>
      </c>
      <c r="K16" s="71">
        <f t="shared" si="31"/>
        <v>209.47226227199999</v>
      </c>
      <c r="L16" s="69"/>
      <c r="M16" s="72"/>
      <c r="N16" s="72"/>
      <c r="O16" s="72">
        <f t="shared" si="3"/>
        <v>0</v>
      </c>
      <c r="P16" s="73">
        <f>Pricing!M12</f>
        <v>120667.89</v>
      </c>
      <c r="Q16" s="74">
        <f t="shared" si="4"/>
        <v>12066.789000000001</v>
      </c>
      <c r="R16" s="74">
        <f t="shared" si="5"/>
        <v>14600.814690000001</v>
      </c>
      <c r="S16" s="74">
        <f t="shared" si="6"/>
        <v>736.67746844999999</v>
      </c>
      <c r="T16" s="74">
        <f t="shared" si="7"/>
        <v>1480.7217115845001</v>
      </c>
      <c r="U16" s="72">
        <f t="shared" si="8"/>
        <v>149552.89287003453</v>
      </c>
      <c r="V16" s="74">
        <f t="shared" si="9"/>
        <v>2243.2933930505178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54586.556639999995</v>
      </c>
      <c r="AE16" s="76">
        <f t="shared" si="43"/>
        <v>2512.1311475409839</v>
      </c>
      <c r="AF16" s="343">
        <f t="shared" si="44"/>
        <v>1103.328</v>
      </c>
      <c r="AG16" s="344"/>
      <c r="AH16" s="76">
        <f t="shared" si="45"/>
        <v>91.944000000000003</v>
      </c>
      <c r="AI16" s="76">
        <f t="shared" si="49"/>
        <v>306.48</v>
      </c>
      <c r="AJ16" s="76">
        <f>J16*Pricing!Q12</f>
        <v>0</v>
      </c>
      <c r="AK16" s="76">
        <f>J16*Pricing!R12</f>
        <v>0</v>
      </c>
      <c r="AL16" s="76">
        <f t="shared" si="16"/>
        <v>20947.226227199997</v>
      </c>
      <c r="AM16" s="77">
        <f t="shared" si="17"/>
        <v>0</v>
      </c>
      <c r="AN16" s="76">
        <f t="shared" si="18"/>
        <v>16757.780981759999</v>
      </c>
      <c r="AO16" s="72">
        <f t="shared" si="19"/>
        <v>155810.06941062605</v>
      </c>
      <c r="AP16" s="74">
        <f t="shared" si="20"/>
        <v>194762.58676328257</v>
      </c>
      <c r="AQ16" s="74">
        <f t="shared" si="21"/>
        <v>0</v>
      </c>
      <c r="AR16" s="74">
        <f t="shared" si="22"/>
        <v>18014.624132697696</v>
      </c>
      <c r="AS16" s="72">
        <f t="shared" si="23"/>
        <v>442864.2200228686</v>
      </c>
      <c r="AT16" s="72">
        <f t="shared" si="24"/>
        <v>22757.144132697696</v>
      </c>
      <c r="AU16" s="78">
        <f t="shared" si="25"/>
        <v>2114.1902761703545</v>
      </c>
      <c r="AV16" s="79">
        <f t="shared" si="26"/>
        <v>0.1666199696268891</v>
      </c>
      <c r="AW16" s="80">
        <f t="shared" si="27"/>
        <v>724.6600796528254</v>
      </c>
      <c r="AX16" s="81">
        <f t="shared" si="28"/>
        <v>1389.530196517529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3">
        <f t="shared" si="44"/>
        <v>0</v>
      </c>
      <c r="AG17" s="344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3">
        <f t="shared" si="44"/>
        <v>0</v>
      </c>
      <c r="AG18" s="344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3">
        <f t="shared" si="44"/>
        <v>0</v>
      </c>
      <c r="AG19" s="344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3">
        <f t="shared" si="44"/>
        <v>0</v>
      </c>
      <c r="AG20" s="344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3">
        <f t="shared" si="44"/>
        <v>0</v>
      </c>
      <c r="AG21" s="344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3">
        <f t="shared" si="44"/>
        <v>0</v>
      </c>
      <c r="AG22" s="344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3">
        <f t="shared" si="44"/>
        <v>0</v>
      </c>
      <c r="AG23" s="344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3">
        <f t="shared" si="44"/>
        <v>0</v>
      </c>
      <c r="AG24" s="344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3">
        <f t="shared" si="44"/>
        <v>0</v>
      </c>
      <c r="AG25" s="344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3">
        <f t="shared" si="44"/>
        <v>0</v>
      </c>
      <c r="AG26" s="344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3">
        <f t="shared" si="44"/>
        <v>0</v>
      </c>
      <c r="AG27" s="344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3">
        <f t="shared" si="44"/>
        <v>0</v>
      </c>
      <c r="AG28" s="344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3">
        <f t="shared" si="44"/>
        <v>0</v>
      </c>
      <c r="AG29" s="344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3">
        <f t="shared" si="44"/>
        <v>0</v>
      </c>
      <c r="AG30" s="344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3">
        <f t="shared" si="44"/>
        <v>0</v>
      </c>
      <c r="AG31" s="344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3">
        <f t="shared" si="44"/>
        <v>0</v>
      </c>
      <c r="AG32" s="344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3">
        <f t="shared" si="44"/>
        <v>0</v>
      </c>
      <c r="AG33" s="344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3">
        <f t="shared" si="44"/>
        <v>0</v>
      </c>
      <c r="AG34" s="344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3">
        <f t="shared" si="44"/>
        <v>0</v>
      </c>
      <c r="AG35" s="344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3">
        <f t="shared" si="44"/>
        <v>0</v>
      </c>
      <c r="AG36" s="344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3">
        <f t="shared" si="44"/>
        <v>0</v>
      </c>
      <c r="AG37" s="344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3">
        <f t="shared" si="44"/>
        <v>0</v>
      </c>
      <c r="AG38" s="344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3">
        <f t="shared" si="44"/>
        <v>0</v>
      </c>
      <c r="AG39" s="344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3">
        <f t="shared" si="44"/>
        <v>0</v>
      </c>
      <c r="AG40" s="344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3">
        <f t="shared" si="44"/>
        <v>0</v>
      </c>
      <c r="AG41" s="344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3">
        <f t="shared" si="44"/>
        <v>0</v>
      </c>
      <c r="AG42" s="344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3">
        <f t="shared" si="44"/>
        <v>0</v>
      </c>
      <c r="AG43" s="344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3">
        <f t="shared" si="44"/>
        <v>0</v>
      </c>
      <c r="AG44" s="344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3">
        <f t="shared" si="44"/>
        <v>0</v>
      </c>
      <c r="AG45" s="344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3">
        <f t="shared" si="44"/>
        <v>0</v>
      </c>
      <c r="AG46" s="344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3">
        <f t="shared" si="44"/>
        <v>0</v>
      </c>
      <c r="AG47" s="344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3">
        <f t="shared" si="44"/>
        <v>0</v>
      </c>
      <c r="AG48" s="344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3">
        <f t="shared" si="44"/>
        <v>0</v>
      </c>
      <c r="AG49" s="344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3">
        <f t="shared" si="44"/>
        <v>0</v>
      </c>
      <c r="AG50" s="344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3">
        <f t="shared" si="44"/>
        <v>0</v>
      </c>
      <c r="AG51" s="344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3">
        <f t="shared" si="44"/>
        <v>0</v>
      </c>
      <c r="AG52" s="344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3">
        <f t="shared" si="44"/>
        <v>0</v>
      </c>
      <c r="AG53" s="344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3">
        <f t="shared" si="44"/>
        <v>0</v>
      </c>
      <c r="AG54" s="344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3">
        <f t="shared" si="44"/>
        <v>0</v>
      </c>
      <c r="AG55" s="344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3">
        <f t="shared" si="44"/>
        <v>0</v>
      </c>
      <c r="AG56" s="344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9">
        <f t="shared" si="44"/>
        <v>0</v>
      </c>
      <c r="AG57" s="400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3">
        <f>(((((F58*4)+(G58*4))/1000)*$AF$6*$AG$6)/300)*I58*$AF$7</f>
        <v>0</v>
      </c>
      <c r="AG58" s="344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3">
        <f t="shared" ref="AF59:AF107" si="128">(((((F59*4)+(G59*4))/1000)*$AF$6*$AG$6)/300)*I59*$AF$7</f>
        <v>0</v>
      </c>
      <c r="AG59" s="344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3">
        <f t="shared" si="128"/>
        <v>0</v>
      </c>
      <c r="AG60" s="344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3">
        <f t="shared" si="128"/>
        <v>0</v>
      </c>
      <c r="AG61" s="344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3">
        <f t="shared" si="128"/>
        <v>0</v>
      </c>
      <c r="AG62" s="344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3">
        <f t="shared" si="128"/>
        <v>0</v>
      </c>
      <c r="AG63" s="344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3">
        <f t="shared" si="128"/>
        <v>0</v>
      </c>
      <c r="AG64" s="344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3">
        <f t="shared" si="128"/>
        <v>0</v>
      </c>
      <c r="AG65" s="344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3">
        <f t="shared" si="128"/>
        <v>0</v>
      </c>
      <c r="AG66" s="344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3">
        <f t="shared" si="128"/>
        <v>0</v>
      </c>
      <c r="AG67" s="344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3">
        <f t="shared" si="128"/>
        <v>0</v>
      </c>
      <c r="AG68" s="344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3">
        <f t="shared" si="128"/>
        <v>0</v>
      </c>
      <c r="AG69" s="344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3">
        <f t="shared" si="128"/>
        <v>0</v>
      </c>
      <c r="AG70" s="344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3">
        <f t="shared" si="128"/>
        <v>0</v>
      </c>
      <c r="AG71" s="344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3">
        <f t="shared" si="128"/>
        <v>0</v>
      </c>
      <c r="AG72" s="344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3">
        <f t="shared" si="128"/>
        <v>0</v>
      </c>
      <c r="AG73" s="344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3">
        <f t="shared" si="128"/>
        <v>0</v>
      </c>
      <c r="AG74" s="344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3">
        <f t="shared" si="128"/>
        <v>0</v>
      </c>
      <c r="AG75" s="344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3">
        <f t="shared" si="128"/>
        <v>0</v>
      </c>
      <c r="AG76" s="344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3">
        <f t="shared" si="128"/>
        <v>0</v>
      </c>
      <c r="AG77" s="344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3">
        <f t="shared" si="128"/>
        <v>0</v>
      </c>
      <c r="AG78" s="344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3">
        <f t="shared" si="128"/>
        <v>0</v>
      </c>
      <c r="AG79" s="344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3">
        <f t="shared" si="128"/>
        <v>0</v>
      </c>
      <c r="AG80" s="344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3">
        <f t="shared" si="128"/>
        <v>0</v>
      </c>
      <c r="AG81" s="344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3">
        <f t="shared" si="128"/>
        <v>0</v>
      </c>
      <c r="AG82" s="344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3">
        <f t="shared" si="128"/>
        <v>0</v>
      </c>
      <c r="AG83" s="344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3">
        <f t="shared" si="128"/>
        <v>0</v>
      </c>
      <c r="AG84" s="344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3">
        <f t="shared" si="128"/>
        <v>0</v>
      </c>
      <c r="AG85" s="344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3">
        <f t="shared" si="128"/>
        <v>0</v>
      </c>
      <c r="AG86" s="344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3">
        <f t="shared" si="128"/>
        <v>0</v>
      </c>
      <c r="AG87" s="344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3">
        <f t="shared" si="128"/>
        <v>0</v>
      </c>
      <c r="AG88" s="344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3">
        <f t="shared" si="128"/>
        <v>0</v>
      </c>
      <c r="AG89" s="344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3">
        <f t="shared" si="128"/>
        <v>0</v>
      </c>
      <c r="AG90" s="344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3">
        <f t="shared" si="128"/>
        <v>0</v>
      </c>
      <c r="AG91" s="344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3">
        <f t="shared" si="128"/>
        <v>0</v>
      </c>
      <c r="AG92" s="344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3">
        <f t="shared" si="128"/>
        <v>0</v>
      </c>
      <c r="AG93" s="344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3">
        <f t="shared" si="128"/>
        <v>0</v>
      </c>
      <c r="AG94" s="344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3">
        <f t="shared" si="128"/>
        <v>0</v>
      </c>
      <c r="AG95" s="344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3">
        <f t="shared" si="128"/>
        <v>0</v>
      </c>
      <c r="AG96" s="344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3">
        <f t="shared" si="128"/>
        <v>0</v>
      </c>
      <c r="AG97" s="344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3">
        <f t="shared" si="128"/>
        <v>0</v>
      </c>
      <c r="AG98" s="344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3">
        <f t="shared" si="128"/>
        <v>0</v>
      </c>
      <c r="AG99" s="344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3">
        <f t="shared" si="128"/>
        <v>0</v>
      </c>
      <c r="AG100" s="344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3">
        <f t="shared" si="128"/>
        <v>0</v>
      </c>
      <c r="AG101" s="344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3">
        <f t="shared" si="128"/>
        <v>0</v>
      </c>
      <c r="AG102" s="344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3">
        <f t="shared" si="128"/>
        <v>0</v>
      </c>
      <c r="AG103" s="344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3">
        <f t="shared" si="128"/>
        <v>0</v>
      </c>
      <c r="AG104" s="344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3">
        <f t="shared" si="128"/>
        <v>0</v>
      </c>
      <c r="AG105" s="344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3">
        <f t="shared" si="128"/>
        <v>0</v>
      </c>
      <c r="AG106" s="344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9">
        <f t="shared" si="128"/>
        <v>0</v>
      </c>
      <c r="AG107" s="400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1" t="s">
        <v>5</v>
      </c>
      <c r="C109" s="402"/>
      <c r="D109" s="402"/>
      <c r="E109" s="402"/>
      <c r="F109" s="402"/>
      <c r="G109" s="403"/>
      <c r="H109" s="149">
        <f>SUM(H8:H108)</f>
        <v>27.214924</v>
      </c>
      <c r="I109" s="87">
        <f>SUM(I8:I108)</f>
        <v>57</v>
      </c>
      <c r="J109" s="88">
        <f>SUM(J8:J108)</f>
        <v>116.795412</v>
      </c>
      <c r="K109" s="89">
        <f>SUM(K8:K108)</f>
        <v>1257.185814768</v>
      </c>
      <c r="L109" s="88">
        <f>SUM(L8:L8)</f>
        <v>0</v>
      </c>
      <c r="M109" s="88"/>
      <c r="N109" s="88"/>
      <c r="O109" s="88"/>
      <c r="P109" s="87">
        <f>SUM(P8:P108)</f>
        <v>991102.17</v>
      </c>
      <c r="Q109" s="88">
        <f t="shared" ref="Q109:AE109" si="156">SUM(Q8:Q108)</f>
        <v>99110.217000000019</v>
      </c>
      <c r="R109" s="88">
        <f t="shared" si="156"/>
        <v>119923.36256999998</v>
      </c>
      <c r="S109" s="88">
        <f t="shared" si="156"/>
        <v>6050.6787478499991</v>
      </c>
      <c r="T109" s="88">
        <f t="shared" si="156"/>
        <v>12161.8642831785</v>
      </c>
      <c r="U109" s="88">
        <f t="shared" si="156"/>
        <v>1228348.2926010287</v>
      </c>
      <c r="V109" s="88">
        <f t="shared" si="156"/>
        <v>18425.224389015428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312744.24308400002</v>
      </c>
      <c r="AE109" s="88">
        <f t="shared" si="156"/>
        <v>24630.491803278688</v>
      </c>
      <c r="AF109" s="404">
        <f>SUM(AF8:AG108)</f>
        <v>10817.712</v>
      </c>
      <c r="AG109" s="405"/>
      <c r="AH109" s="88">
        <f t="shared" ref="AH109:AQ109" si="157">SUM(AH8:AH108)</f>
        <v>901.47599999999989</v>
      </c>
      <c r="AI109" s="88">
        <f t="shared" si="157"/>
        <v>3004.92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125718.58147679998</v>
      </c>
      <c r="AM109" s="88">
        <f t="shared" si="157"/>
        <v>0</v>
      </c>
      <c r="AN109" s="88">
        <f t="shared" si="157"/>
        <v>100574.86518143999</v>
      </c>
      <c r="AO109" s="88">
        <f t="shared" si="157"/>
        <v>1286128.1167933226</v>
      </c>
      <c r="AP109" s="88">
        <f t="shared" si="157"/>
        <v>1607660.1459916534</v>
      </c>
      <c r="AQ109" s="88">
        <f t="shared" si="157"/>
        <v>0</v>
      </c>
      <c r="AR109" s="88"/>
      <c r="AS109" s="87">
        <f>SUM(AS8:AS108)</f>
        <v>3432825.9525272157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10817.712</v>
      </c>
      <c r="AW110" s="84"/>
    </row>
    <row r="111" spans="2:54">
      <c r="AF111" s="174"/>
      <c r="AG111" s="174"/>
      <c r="AH111" s="174">
        <f>SUM(AE109:AI109,AC109)</f>
        <v>39354.599803278688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CV633"/>
  <sheetViews>
    <sheetView tabSelected="1" view="pageBreakPreview" topLeftCell="A152" zoomScale="55" zoomScaleNormal="60" zoomScaleSheetLayoutView="55" workbookViewId="0">
      <selection activeCell="M168" sqref="B1:N16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0.140625" style="122" customWidth="1"/>
    <col min="5" max="5" width="17.42578125" style="122" customWidth="1"/>
    <col min="6" max="6" width="72.85546875" style="122" customWidth="1"/>
    <col min="7" max="7" width="29.140625" style="122" customWidth="1"/>
    <col min="8" max="8" width="43.7109375" style="122" hidden="1" customWidth="1"/>
    <col min="9" max="9" width="15.140625" style="122" customWidth="1"/>
    <col min="10" max="10" width="14.85546875" style="98" customWidth="1"/>
    <col min="11" max="11" width="15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26"/>
      <c r="C6" s="427"/>
      <c r="D6" s="427"/>
      <c r="E6" s="427"/>
      <c r="F6" s="427"/>
      <c r="G6" s="427"/>
      <c r="H6" s="427"/>
      <c r="I6" s="427"/>
      <c r="J6" s="428"/>
      <c r="K6" s="433" t="s">
        <v>103</v>
      </c>
      <c r="L6" s="434"/>
      <c r="M6" s="429" t="str">
        <f>'BD Team'!J2</f>
        <v>ABPL-DE-19.20-2041</v>
      </c>
      <c r="N6" s="430"/>
    </row>
    <row r="7" spans="2:15" ht="24.95" customHeight="1">
      <c r="B7" s="410" t="s">
        <v>126</v>
      </c>
      <c r="C7" s="411"/>
      <c r="D7" s="411"/>
      <c r="E7" s="411"/>
      <c r="F7" s="446" t="str">
        <f>'BD Team'!E2</f>
        <v>PRIMA MYSTIQUE</v>
      </c>
      <c r="G7" s="446"/>
      <c r="H7" s="446"/>
      <c r="I7" s="446"/>
      <c r="J7" s="447"/>
      <c r="K7" s="419" t="s">
        <v>104</v>
      </c>
      <c r="L7" s="411"/>
      <c r="M7" s="416">
        <f>'BD Team'!J3</f>
        <v>43378</v>
      </c>
      <c r="N7" s="417"/>
    </row>
    <row r="8" spans="2:15" ht="24.95" customHeight="1">
      <c r="B8" s="410" t="s">
        <v>127</v>
      </c>
      <c r="C8" s="411"/>
      <c r="D8" s="411"/>
      <c r="E8" s="411"/>
      <c r="F8" s="215" t="str">
        <f>'BD Team'!E3</f>
        <v>Hyderabad</v>
      </c>
      <c r="G8" s="448" t="s">
        <v>182</v>
      </c>
      <c r="H8" s="449"/>
      <c r="I8" s="446" t="str">
        <f>'BD Team'!G3</f>
        <v>1.5Kpa</v>
      </c>
      <c r="J8" s="447"/>
      <c r="K8" s="419" t="s">
        <v>105</v>
      </c>
      <c r="L8" s="411"/>
      <c r="M8" s="178" t="s">
        <v>431</v>
      </c>
      <c r="N8" s="179">
        <v>43601</v>
      </c>
    </row>
    <row r="9" spans="2:15" ht="24.95" customHeight="1">
      <c r="B9" s="410" t="s">
        <v>171</v>
      </c>
      <c r="C9" s="411"/>
      <c r="D9" s="411"/>
      <c r="E9" s="411"/>
      <c r="F9" s="446" t="str">
        <f>'BD Team'!E4</f>
        <v>Mr. Anamol Anand : 7702300826</v>
      </c>
      <c r="G9" s="446"/>
      <c r="H9" s="446"/>
      <c r="I9" s="446"/>
      <c r="J9" s="447"/>
      <c r="K9" s="419" t="s">
        <v>181</v>
      </c>
      <c r="L9" s="411"/>
      <c r="M9" s="431" t="str">
        <f>'BD Team'!J4</f>
        <v>Pradeep</v>
      </c>
      <c r="N9" s="432"/>
    </row>
    <row r="10" spans="2:15" ht="27.75" customHeight="1" thickBot="1">
      <c r="B10" s="412" t="s">
        <v>179</v>
      </c>
      <c r="C10" s="413"/>
      <c r="D10" s="413"/>
      <c r="E10" s="413"/>
      <c r="F10" s="217" t="str">
        <f>'BD Team'!E5</f>
        <v>104720 Honey Satin Anodizing</v>
      </c>
      <c r="G10" s="424" t="s">
        <v>180</v>
      </c>
      <c r="H10" s="425"/>
      <c r="I10" s="422" t="str">
        <f>'BD Team'!G5</f>
        <v>Silver</v>
      </c>
      <c r="J10" s="423"/>
      <c r="K10" s="420" t="s">
        <v>377</v>
      </c>
      <c r="L10" s="421"/>
      <c r="M10" s="414">
        <f>'BD Team'!J5</f>
        <v>0</v>
      </c>
      <c r="N10" s="415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0" t="s">
        <v>172</v>
      </c>
      <c r="C13" s="451"/>
      <c r="D13" s="418" t="s">
        <v>173</v>
      </c>
      <c r="E13" s="418" t="s">
        <v>174</v>
      </c>
      <c r="F13" s="418" t="s">
        <v>37</v>
      </c>
      <c r="G13" s="409" t="s">
        <v>63</v>
      </c>
      <c r="H13" s="409" t="s">
        <v>212</v>
      </c>
      <c r="I13" s="409" t="s">
        <v>211</v>
      </c>
      <c r="J13" s="452" t="s">
        <v>175</v>
      </c>
      <c r="K13" s="452" t="s">
        <v>176</v>
      </c>
      <c r="L13" s="451" t="s">
        <v>213</v>
      </c>
      <c r="M13" s="452" t="s">
        <v>177</v>
      </c>
      <c r="N13" s="453" t="s">
        <v>178</v>
      </c>
    </row>
    <row r="14" spans="2:15" s="94" customFormat="1" ht="18" customHeight="1" thickTop="1" thickBot="1">
      <c r="B14" s="450"/>
      <c r="C14" s="451"/>
      <c r="D14" s="418"/>
      <c r="E14" s="418"/>
      <c r="F14" s="418"/>
      <c r="G14" s="409"/>
      <c r="H14" s="409"/>
      <c r="I14" s="409"/>
      <c r="J14" s="452"/>
      <c r="K14" s="452"/>
      <c r="L14" s="451"/>
      <c r="M14" s="452"/>
      <c r="N14" s="453"/>
    </row>
    <row r="15" spans="2:15" s="94" customFormat="1" ht="26.25" customHeight="1" thickTop="1" thickBot="1">
      <c r="B15" s="450"/>
      <c r="C15" s="451"/>
      <c r="D15" s="418"/>
      <c r="E15" s="418"/>
      <c r="F15" s="418"/>
      <c r="G15" s="409"/>
      <c r="H15" s="409"/>
      <c r="I15" s="409"/>
      <c r="J15" s="452"/>
      <c r="K15" s="452"/>
      <c r="L15" s="451"/>
      <c r="M15" s="452"/>
      <c r="N15" s="453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W1</v>
      </c>
      <c r="E16" s="187" t="str">
        <f>Pricing!C4</f>
        <v>M940 &amp; M900</v>
      </c>
      <c r="F16" s="187" t="str">
        <f>Pricing!D4</f>
        <v>2 TRACK 2 SHUTTER SLIDING WINDOW WITH BOTTOM FIXED</v>
      </c>
      <c r="G16" s="187" t="str">
        <f>Pricing!N4</f>
        <v>20MM</v>
      </c>
      <c r="H16" s="187" t="str">
        <f>Pricing!F4</f>
        <v>-</v>
      </c>
      <c r="I16" s="216" t="str">
        <f>Pricing!E4</f>
        <v>NO</v>
      </c>
      <c r="J16" s="216">
        <f>Pricing!G4</f>
        <v>1524</v>
      </c>
      <c r="K16" s="216">
        <f>Pricing!H4</f>
        <v>2134</v>
      </c>
      <c r="L16" s="216">
        <f>Pricing!I4</f>
        <v>3</v>
      </c>
      <c r="M16" s="188">
        <f t="shared" ref="M16:M24" si="0">J16*K16*L16/1000000</f>
        <v>9.7566480000000002</v>
      </c>
      <c r="N16" s="189">
        <f>'Cost Calculation'!AS8</f>
        <v>182821.77425522421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W2</v>
      </c>
      <c r="E17" s="187" t="str">
        <f>Pricing!C5</f>
        <v>M940 &amp; M900</v>
      </c>
      <c r="F17" s="187" t="str">
        <f>Pricing!D5</f>
        <v>2 TRACK 2 SHUTTER SLIDING WINDOW WITH BOTTOM FIXED</v>
      </c>
      <c r="G17" s="187" t="str">
        <f>Pricing!N5</f>
        <v>20MM</v>
      </c>
      <c r="H17" s="187" t="str">
        <f>Pricing!F5</f>
        <v>-</v>
      </c>
      <c r="I17" s="216" t="str">
        <f>Pricing!E5</f>
        <v>NO</v>
      </c>
      <c r="J17" s="216">
        <f>Pricing!G5</f>
        <v>1220</v>
      </c>
      <c r="K17" s="216">
        <f>Pricing!H5</f>
        <v>2134</v>
      </c>
      <c r="L17" s="216">
        <f>Pricing!I5</f>
        <v>12</v>
      </c>
      <c r="M17" s="188">
        <f t="shared" si="0"/>
        <v>31.241759999999999</v>
      </c>
      <c r="N17" s="189">
        <f>'Cost Calculation'!AS9</f>
        <v>719639.70708996186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W3</v>
      </c>
      <c r="E18" s="187" t="str">
        <f>Pricing!C6</f>
        <v>M940</v>
      </c>
      <c r="F18" s="187" t="str">
        <f>Pricing!D6</f>
        <v>SIDE HUNG WINDOW</v>
      </c>
      <c r="G18" s="187" t="str">
        <f>Pricing!N6</f>
        <v>20MM</v>
      </c>
      <c r="H18" s="187" t="str">
        <f>Pricing!F6</f>
        <v>-</v>
      </c>
      <c r="I18" s="216" t="str">
        <f>Pricing!E6</f>
        <v>NO</v>
      </c>
      <c r="J18" s="216">
        <f>Pricing!G6</f>
        <v>610</v>
      </c>
      <c r="K18" s="216">
        <f>Pricing!H6</f>
        <v>1524</v>
      </c>
      <c r="L18" s="216">
        <f>Pricing!I6</f>
        <v>12</v>
      </c>
      <c r="M18" s="188">
        <f t="shared" si="0"/>
        <v>11.15568</v>
      </c>
      <c r="N18" s="189">
        <f>'Cost Calculation'!AS10</f>
        <v>525632.90372937254</v>
      </c>
      <c r="O18" s="95"/>
    </row>
    <row r="19" spans="2:15" s="94" customFormat="1" ht="49.9" customHeight="1" thickTop="1" thickBot="1">
      <c r="B19" s="407">
        <f>Pricing!A7</f>
        <v>4</v>
      </c>
      <c r="C19" s="408"/>
      <c r="D19" s="187" t="str">
        <f>Pricing!B7</f>
        <v>KW</v>
      </c>
      <c r="E19" s="187" t="str">
        <f>Pricing!C7</f>
        <v>M940</v>
      </c>
      <c r="F19" s="187" t="str">
        <f>Pricing!D7</f>
        <v>CASEMENT WINDOW</v>
      </c>
      <c r="G19" s="187" t="str">
        <f>Pricing!N7</f>
        <v>20MM</v>
      </c>
      <c r="H19" s="187" t="str">
        <f>Pricing!F7</f>
        <v>-</v>
      </c>
      <c r="I19" s="216" t="str">
        <f>Pricing!E7</f>
        <v>NO</v>
      </c>
      <c r="J19" s="216">
        <f>Pricing!G7</f>
        <v>1220</v>
      </c>
      <c r="K19" s="216">
        <f>Pricing!H7</f>
        <v>762</v>
      </c>
      <c r="L19" s="216">
        <f>Pricing!I7</f>
        <v>3</v>
      </c>
      <c r="M19" s="188">
        <f t="shared" si="0"/>
        <v>2.7889200000000001</v>
      </c>
      <c r="N19" s="189">
        <f>'Cost Calculation'!AS11</f>
        <v>165349.30041146671</v>
      </c>
      <c r="O19" s="95"/>
    </row>
    <row r="20" spans="2:15" s="94" customFormat="1" ht="49.9" customHeight="1" thickTop="1" thickBot="1">
      <c r="B20" s="407">
        <f>Pricing!A8</f>
        <v>5</v>
      </c>
      <c r="C20" s="408"/>
      <c r="D20" s="187" t="str">
        <f>Pricing!B8</f>
        <v>KW1</v>
      </c>
      <c r="E20" s="187" t="str">
        <f>Pricing!C8</f>
        <v>M940</v>
      </c>
      <c r="F20" s="187" t="str">
        <f>Pricing!D8</f>
        <v>SIDE HUNG WINDOW</v>
      </c>
      <c r="G20" s="187" t="str">
        <f>Pricing!N8</f>
        <v>20MM</v>
      </c>
      <c r="H20" s="187" t="str">
        <f>Pricing!F8</f>
        <v>-</v>
      </c>
      <c r="I20" s="216" t="str">
        <f>Pricing!E8</f>
        <v>NO</v>
      </c>
      <c r="J20" s="216">
        <f>Pricing!G8</f>
        <v>610</v>
      </c>
      <c r="K20" s="216">
        <f>Pricing!H8</f>
        <v>762</v>
      </c>
      <c r="L20" s="216">
        <f>Pricing!I8</f>
        <v>3</v>
      </c>
      <c r="M20" s="188">
        <f t="shared" si="0"/>
        <v>1.39446</v>
      </c>
      <c r="N20" s="189">
        <f>'Cost Calculation'!AS12</f>
        <v>98243.717412932034</v>
      </c>
      <c r="O20" s="95"/>
    </row>
    <row r="21" spans="2:15" s="94" customFormat="1" ht="49.9" customHeight="1" thickTop="1" thickBot="1">
      <c r="B21" s="407">
        <f>Pricing!A9</f>
        <v>6</v>
      </c>
      <c r="C21" s="408"/>
      <c r="D21" s="187" t="str">
        <f>Pricing!B9</f>
        <v>V1</v>
      </c>
      <c r="E21" s="187" t="str">
        <f>Pricing!C9</f>
        <v>M940</v>
      </c>
      <c r="F21" s="187" t="str">
        <f>Pricing!D9</f>
        <v>SIDE HUNG WINDOW</v>
      </c>
      <c r="G21" s="187" t="str">
        <f>Pricing!N9</f>
        <v>20MM (F)</v>
      </c>
      <c r="H21" s="187" t="str">
        <f>Pricing!F9</f>
        <v>-</v>
      </c>
      <c r="I21" s="216" t="str">
        <f>Pricing!E9</f>
        <v>NO</v>
      </c>
      <c r="J21" s="216">
        <f>Pricing!G9</f>
        <v>610</v>
      </c>
      <c r="K21" s="216">
        <f>Pricing!H9</f>
        <v>458</v>
      </c>
      <c r="L21" s="216">
        <f>Pricing!I9</f>
        <v>15</v>
      </c>
      <c r="M21" s="188">
        <f t="shared" si="0"/>
        <v>4.1906999999999996</v>
      </c>
      <c r="N21" s="189">
        <f>'Cost Calculation'!AS13</f>
        <v>398311.49410284596</v>
      </c>
      <c r="O21" s="95"/>
    </row>
    <row r="22" spans="2:15" s="94" customFormat="1" ht="49.9" customHeight="1" thickTop="1" thickBot="1">
      <c r="B22" s="407">
        <f>Pricing!A10</f>
        <v>7</v>
      </c>
      <c r="C22" s="408"/>
      <c r="D22" s="187" t="str">
        <f>Pricing!B10</f>
        <v>FD1 - TOP</v>
      </c>
      <c r="E22" s="187" t="str">
        <f>Pricing!C10</f>
        <v>M940</v>
      </c>
      <c r="F22" s="187" t="str">
        <f>Pricing!D10</f>
        <v>FIXED GLASS 3 NO'S</v>
      </c>
      <c r="G22" s="187" t="str">
        <f>Pricing!N10</f>
        <v>20MM</v>
      </c>
      <c r="H22" s="187" t="str">
        <f>Pricing!F10</f>
        <v>-</v>
      </c>
      <c r="I22" s="216" t="str">
        <f>Pricing!E10</f>
        <v>NO</v>
      </c>
      <c r="J22" s="216">
        <f>Pricing!G10</f>
        <v>3658</v>
      </c>
      <c r="K22" s="216">
        <f>Pricing!H10</f>
        <v>990</v>
      </c>
      <c r="L22" s="216">
        <f>Pricing!I10</f>
        <v>3</v>
      </c>
      <c r="M22" s="188">
        <f t="shared" si="0"/>
        <v>10.86426</v>
      </c>
      <c r="N22" s="189">
        <f>'Cost Calculation'!AS14</f>
        <v>141675.01128308938</v>
      </c>
      <c r="O22" s="95"/>
    </row>
    <row r="23" spans="2:15" s="94" customFormat="1" ht="49.9" customHeight="1" thickTop="1" thickBot="1">
      <c r="B23" s="407">
        <f>Pricing!A11</f>
        <v>8</v>
      </c>
      <c r="C23" s="408"/>
      <c r="D23" s="187" t="str">
        <f>Pricing!B11</f>
        <v>FD1 - BOTTOM</v>
      </c>
      <c r="E23" s="187" t="str">
        <f>Pricing!C11</f>
        <v>M14600</v>
      </c>
      <c r="F23" s="187" t="str">
        <f>Pricing!D11</f>
        <v>3 TRACK 3 SHUTTER SLIDING DOOR</v>
      </c>
      <c r="G23" s="187" t="str">
        <f>Pricing!N11</f>
        <v>24MM</v>
      </c>
      <c r="H23" s="187" t="str">
        <f>Pricing!F11</f>
        <v>-</v>
      </c>
      <c r="I23" s="216" t="str">
        <f>Pricing!E11</f>
        <v>NO</v>
      </c>
      <c r="J23" s="216">
        <f>Pricing!G11</f>
        <v>3658</v>
      </c>
      <c r="K23" s="216">
        <f>Pricing!H11</f>
        <v>2364</v>
      </c>
      <c r="L23" s="216">
        <f>Pricing!I11</f>
        <v>3</v>
      </c>
      <c r="M23" s="188">
        <f t="shared" si="0"/>
        <v>25.942536</v>
      </c>
      <c r="N23" s="189">
        <f>'Cost Calculation'!AS15</f>
        <v>758287.82421945455</v>
      </c>
      <c r="O23" s="95"/>
    </row>
    <row r="24" spans="2:15" s="94" customFormat="1" ht="49.9" customHeight="1" thickTop="1" thickBot="1">
      <c r="B24" s="407">
        <f>Pricing!A12</f>
        <v>9</v>
      </c>
      <c r="C24" s="408"/>
      <c r="D24" s="187" t="str">
        <f>Pricing!B12</f>
        <v>FD2</v>
      </c>
      <c r="E24" s="187" t="str">
        <f>Pricing!C12</f>
        <v>M14600</v>
      </c>
      <c r="F24" s="187" t="str">
        <f>Pricing!D12</f>
        <v>2 TRACK 2 SHUTTER SLIDING DOOR</v>
      </c>
      <c r="G24" s="187" t="str">
        <f>Pricing!N12</f>
        <v>24MM</v>
      </c>
      <c r="H24" s="187" t="str">
        <f>Pricing!F12</f>
        <v>-</v>
      </c>
      <c r="I24" s="216" t="str">
        <f>Pricing!E12</f>
        <v>NO</v>
      </c>
      <c r="J24" s="216">
        <f>Pricing!G12</f>
        <v>2744</v>
      </c>
      <c r="K24" s="216">
        <f>Pricing!H12</f>
        <v>2364</v>
      </c>
      <c r="L24" s="216">
        <f>Pricing!I12</f>
        <v>3</v>
      </c>
      <c r="M24" s="188">
        <f t="shared" si="0"/>
        <v>19.460448</v>
      </c>
      <c r="N24" s="189">
        <f>'Cost Calculation'!AS16</f>
        <v>442864.2200228686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7"/>
      <c r="C116" s="478"/>
      <c r="D116" s="478"/>
      <c r="E116" s="478"/>
      <c r="F116" s="478"/>
      <c r="G116" s="478"/>
      <c r="H116" s="478"/>
      <c r="I116" s="478"/>
      <c r="J116" s="478"/>
      <c r="K116" s="479"/>
      <c r="L116" s="190">
        <f>SUM(L16:L115)</f>
        <v>57</v>
      </c>
      <c r="M116" s="191">
        <f>SUM(M16:M115)</f>
        <v>116.795412</v>
      </c>
      <c r="N116" s="186"/>
      <c r="O116" s="95"/>
    </row>
    <row r="117" spans="2:15" s="94" customFormat="1" ht="30" customHeight="1" thickTop="1" thickBot="1">
      <c r="B117" s="480" t="s">
        <v>183</v>
      </c>
      <c r="C117" s="481"/>
      <c r="D117" s="481"/>
      <c r="E117" s="481"/>
      <c r="F117" s="481"/>
      <c r="G117" s="481"/>
      <c r="H117" s="481"/>
      <c r="I117" s="481"/>
      <c r="J117" s="481"/>
      <c r="K117" s="481"/>
      <c r="L117" s="481"/>
      <c r="M117" s="482"/>
      <c r="N117" s="192">
        <f>ROUND(SUM(N16:N115),0.1)</f>
        <v>3432826</v>
      </c>
      <c r="O117" s="95">
        <f>N117/SUM(M116)</f>
        <v>29391.788095237851</v>
      </c>
    </row>
    <row r="118" spans="2:15" s="94" customFormat="1" ht="30" customHeight="1" thickTop="1" thickBot="1">
      <c r="B118" s="480" t="s">
        <v>111</v>
      </c>
      <c r="C118" s="481"/>
      <c r="D118" s="481"/>
      <c r="E118" s="481"/>
      <c r="F118" s="481"/>
      <c r="G118" s="481"/>
      <c r="H118" s="481"/>
      <c r="I118" s="481"/>
      <c r="J118" s="481"/>
      <c r="K118" s="481"/>
      <c r="L118" s="481"/>
      <c r="M118" s="482"/>
      <c r="N118" s="192">
        <f>ROUND(N117*18%,0.1)</f>
        <v>617909</v>
      </c>
      <c r="O118" s="95">
        <f>N118/SUM(M116)</f>
        <v>5290.5245969764637</v>
      </c>
    </row>
    <row r="119" spans="2:15" s="94" customFormat="1" ht="30" customHeight="1" thickTop="1" thickBot="1">
      <c r="B119" s="480" t="s">
        <v>184</v>
      </c>
      <c r="C119" s="481"/>
      <c r="D119" s="481"/>
      <c r="E119" s="481"/>
      <c r="F119" s="481"/>
      <c r="G119" s="481"/>
      <c r="H119" s="481"/>
      <c r="I119" s="481"/>
      <c r="J119" s="481"/>
      <c r="K119" s="481"/>
      <c r="L119" s="481"/>
      <c r="M119" s="482"/>
      <c r="N119" s="192">
        <f>ROUND(SUM(N117:N118),0.1)</f>
        <v>4050735</v>
      </c>
      <c r="O119" s="95">
        <f>N119/SUM(M116)</f>
        <v>34682.312692214313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2730.5637398028475</v>
      </c>
    </row>
    <row r="121" spans="2:15" s="139" customFormat="1" ht="30" customHeight="1" thickTop="1">
      <c r="B121" s="435" t="s">
        <v>239</v>
      </c>
      <c r="C121" s="436"/>
      <c r="D121" s="436"/>
      <c r="E121" s="436"/>
      <c r="F121" s="436"/>
      <c r="G121" s="436"/>
      <c r="H121" s="436"/>
      <c r="I121" s="436"/>
      <c r="J121" s="436"/>
      <c r="K121" s="436"/>
      <c r="L121" s="436"/>
      <c r="M121" s="436"/>
      <c r="N121" s="437"/>
      <c r="O121" s="138"/>
    </row>
    <row r="122" spans="2:15" s="93" customFormat="1" ht="24.95" customHeight="1">
      <c r="B122" s="438">
        <v>1</v>
      </c>
      <c r="C122" s="439"/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1"/>
    </row>
    <row r="123" spans="2:15" s="93" customFormat="1" ht="24.95" customHeight="1">
      <c r="B123" s="442">
        <v>2</v>
      </c>
      <c r="C123" s="443"/>
      <c r="D123" s="444"/>
      <c r="E123" s="444"/>
      <c r="F123" s="444"/>
      <c r="G123" s="444"/>
      <c r="H123" s="444"/>
      <c r="I123" s="444"/>
      <c r="J123" s="444"/>
      <c r="K123" s="444"/>
      <c r="L123" s="444"/>
      <c r="M123" s="444"/>
      <c r="N123" s="445"/>
    </row>
    <row r="124" spans="2:15" s="139" customFormat="1" ht="30" customHeight="1">
      <c r="B124" s="483" t="s">
        <v>209</v>
      </c>
      <c r="C124" s="484"/>
      <c r="D124" s="484"/>
      <c r="E124" s="484"/>
      <c r="F124" s="484"/>
      <c r="G124" s="484"/>
      <c r="H124" s="484"/>
      <c r="I124" s="484"/>
      <c r="J124" s="484"/>
      <c r="K124" s="484"/>
      <c r="L124" s="484"/>
      <c r="M124" s="484"/>
      <c r="N124" s="485"/>
      <c r="O124" s="138"/>
    </row>
    <row r="125" spans="2:15" s="93" customFormat="1" ht="24.95" customHeight="1">
      <c r="B125" s="438">
        <v>1</v>
      </c>
      <c r="C125" s="439"/>
      <c r="D125" s="440" t="s">
        <v>376</v>
      </c>
      <c r="E125" s="440"/>
      <c r="F125" s="440"/>
      <c r="G125" s="440"/>
      <c r="H125" s="440"/>
      <c r="I125" s="440"/>
      <c r="J125" s="440"/>
      <c r="K125" s="440"/>
      <c r="L125" s="440"/>
      <c r="M125" s="440"/>
      <c r="N125" s="441"/>
    </row>
    <row r="126" spans="2:15" s="93" customFormat="1" ht="24.95" customHeight="1">
      <c r="B126" s="438">
        <v>2</v>
      </c>
      <c r="C126" s="439"/>
      <c r="D126" s="440" t="s">
        <v>429</v>
      </c>
      <c r="E126" s="440"/>
      <c r="F126" s="440"/>
      <c r="G126" s="440"/>
      <c r="H126" s="440"/>
      <c r="I126" s="440"/>
      <c r="J126" s="440"/>
      <c r="K126" s="440"/>
      <c r="L126" s="440"/>
      <c r="M126" s="440"/>
      <c r="N126" s="441"/>
    </row>
    <row r="127" spans="2:15" s="93" customFormat="1" ht="24.95" customHeight="1">
      <c r="B127" s="438">
        <v>3</v>
      </c>
      <c r="C127" s="439"/>
      <c r="D127" s="440" t="s">
        <v>430</v>
      </c>
      <c r="E127" s="440"/>
      <c r="F127" s="440"/>
      <c r="G127" s="440"/>
      <c r="H127" s="440"/>
      <c r="I127" s="440"/>
      <c r="J127" s="440"/>
      <c r="K127" s="440"/>
      <c r="L127" s="440"/>
      <c r="M127" s="440"/>
      <c r="N127" s="441"/>
    </row>
    <row r="128" spans="2:15" s="139" customFormat="1" ht="30" customHeight="1">
      <c r="B128" s="483" t="s">
        <v>140</v>
      </c>
      <c r="C128" s="484"/>
      <c r="D128" s="484"/>
      <c r="E128" s="484"/>
      <c r="F128" s="484"/>
      <c r="G128" s="484"/>
      <c r="H128" s="484"/>
      <c r="I128" s="484"/>
      <c r="J128" s="484"/>
      <c r="K128" s="484"/>
      <c r="L128" s="484"/>
      <c r="M128" s="484"/>
      <c r="N128" s="485"/>
      <c r="O128" s="138"/>
    </row>
    <row r="129" spans="2:14" s="93" customFormat="1" ht="24.95" customHeight="1">
      <c r="B129" s="438">
        <v>1</v>
      </c>
      <c r="C129" s="439"/>
      <c r="D129" s="440" t="s">
        <v>367</v>
      </c>
      <c r="E129" s="440"/>
      <c r="F129" s="440"/>
      <c r="G129" s="440"/>
      <c r="H129" s="440"/>
      <c r="I129" s="440"/>
      <c r="J129" s="440"/>
      <c r="K129" s="440"/>
      <c r="L129" s="440"/>
      <c r="M129" s="440"/>
      <c r="N129" s="441"/>
    </row>
    <row r="130" spans="2:14" s="93" customFormat="1" ht="24.95" customHeight="1">
      <c r="B130" s="438">
        <v>2</v>
      </c>
      <c r="C130" s="439"/>
      <c r="D130" s="440" t="s">
        <v>392</v>
      </c>
      <c r="E130" s="440"/>
      <c r="F130" s="440"/>
      <c r="G130" s="440"/>
      <c r="H130" s="440"/>
      <c r="I130" s="440"/>
      <c r="J130" s="440"/>
      <c r="K130" s="440"/>
      <c r="L130" s="440"/>
      <c r="M130" s="440"/>
      <c r="N130" s="441"/>
    </row>
    <row r="131" spans="2:14" s="139" customFormat="1" ht="30" customHeight="1">
      <c r="B131" s="491" t="s">
        <v>141</v>
      </c>
      <c r="C131" s="492"/>
      <c r="D131" s="492"/>
      <c r="E131" s="492"/>
      <c r="F131" s="492"/>
      <c r="G131" s="492"/>
      <c r="H131" s="492"/>
      <c r="I131" s="492"/>
      <c r="J131" s="492"/>
      <c r="K131" s="492"/>
      <c r="L131" s="492"/>
      <c r="M131" s="492"/>
      <c r="N131" s="493"/>
    </row>
    <row r="132" spans="2:14" s="93" customFormat="1" ht="24.95" customHeight="1">
      <c r="B132" s="438">
        <v>1</v>
      </c>
      <c r="C132" s="439"/>
      <c r="D132" s="440" t="s">
        <v>142</v>
      </c>
      <c r="E132" s="440"/>
      <c r="F132" s="440"/>
      <c r="G132" s="440"/>
      <c r="H132" s="440"/>
      <c r="I132" s="440"/>
      <c r="J132" s="440"/>
      <c r="K132" s="440"/>
      <c r="L132" s="440"/>
      <c r="M132" s="440"/>
      <c r="N132" s="441"/>
    </row>
    <row r="133" spans="2:14" s="93" customFormat="1" ht="24.95" customHeight="1">
      <c r="B133" s="438">
        <v>2</v>
      </c>
      <c r="C133" s="439"/>
      <c r="D133" s="440" t="s">
        <v>143</v>
      </c>
      <c r="E133" s="440"/>
      <c r="F133" s="440"/>
      <c r="G133" s="440"/>
      <c r="H133" s="440"/>
      <c r="I133" s="440"/>
      <c r="J133" s="440"/>
      <c r="K133" s="440"/>
      <c r="L133" s="440"/>
      <c r="M133" s="440"/>
      <c r="N133" s="441"/>
    </row>
    <row r="134" spans="2:14" s="93" customFormat="1" ht="24.95" customHeight="1">
      <c r="B134" s="438">
        <v>3</v>
      </c>
      <c r="C134" s="439"/>
      <c r="D134" s="440" t="s">
        <v>144</v>
      </c>
      <c r="E134" s="440"/>
      <c r="F134" s="440"/>
      <c r="G134" s="440"/>
      <c r="H134" s="440"/>
      <c r="I134" s="440"/>
      <c r="J134" s="440"/>
      <c r="K134" s="440"/>
      <c r="L134" s="440"/>
      <c r="M134" s="440"/>
      <c r="N134" s="441"/>
    </row>
    <row r="135" spans="2:14" s="139" customFormat="1" ht="30" customHeight="1">
      <c r="B135" s="491" t="s">
        <v>145</v>
      </c>
      <c r="C135" s="492"/>
      <c r="D135" s="492"/>
      <c r="E135" s="492"/>
      <c r="F135" s="492"/>
      <c r="G135" s="492"/>
      <c r="H135" s="492"/>
      <c r="I135" s="492"/>
      <c r="J135" s="492"/>
      <c r="K135" s="492"/>
      <c r="L135" s="492"/>
      <c r="M135" s="492"/>
      <c r="N135" s="493"/>
    </row>
    <row r="136" spans="2:14" s="139" customFormat="1" ht="30" customHeight="1">
      <c r="B136" s="506" t="s">
        <v>146</v>
      </c>
      <c r="C136" s="507"/>
      <c r="D136" s="507"/>
      <c r="E136" s="507"/>
      <c r="F136" s="507"/>
      <c r="G136" s="507"/>
      <c r="H136" s="507"/>
      <c r="I136" s="507"/>
      <c r="J136" s="507"/>
      <c r="K136" s="507"/>
      <c r="L136" s="507"/>
      <c r="M136" s="507"/>
      <c r="N136" s="508"/>
    </row>
    <row r="137" spans="2:14" s="93" customFormat="1" ht="24.95" customHeight="1">
      <c r="B137" s="438">
        <v>1</v>
      </c>
      <c r="C137" s="439"/>
      <c r="D137" s="440" t="s">
        <v>147</v>
      </c>
      <c r="E137" s="440"/>
      <c r="F137" s="440"/>
      <c r="G137" s="440"/>
      <c r="H137" s="440"/>
      <c r="I137" s="440"/>
      <c r="J137" s="440"/>
      <c r="K137" s="440"/>
      <c r="L137" s="440"/>
      <c r="M137" s="440"/>
      <c r="N137" s="441"/>
    </row>
    <row r="138" spans="2:14" s="93" customFormat="1" ht="24.95" customHeight="1">
      <c r="B138" s="438">
        <v>2</v>
      </c>
      <c r="C138" s="439"/>
      <c r="D138" s="440" t="s">
        <v>148</v>
      </c>
      <c r="E138" s="440"/>
      <c r="F138" s="440"/>
      <c r="G138" s="440"/>
      <c r="H138" s="440"/>
      <c r="I138" s="440"/>
      <c r="J138" s="440"/>
      <c r="K138" s="440"/>
      <c r="L138" s="440"/>
      <c r="M138" s="440"/>
      <c r="N138" s="441"/>
    </row>
    <row r="139" spans="2:14" s="93" customFormat="1" ht="24.95" customHeight="1">
      <c r="B139" s="438">
        <v>3</v>
      </c>
      <c r="C139" s="439"/>
      <c r="D139" s="440" t="s">
        <v>149</v>
      </c>
      <c r="E139" s="440"/>
      <c r="F139" s="440"/>
      <c r="G139" s="440"/>
      <c r="H139" s="440"/>
      <c r="I139" s="440"/>
      <c r="J139" s="440"/>
      <c r="K139" s="440"/>
      <c r="L139" s="440"/>
      <c r="M139" s="440"/>
      <c r="N139" s="441"/>
    </row>
    <row r="140" spans="2:14" s="93" customFormat="1" ht="24.95" customHeight="1">
      <c r="B140" s="438">
        <v>4</v>
      </c>
      <c r="C140" s="439"/>
      <c r="D140" s="440" t="s">
        <v>150</v>
      </c>
      <c r="E140" s="440"/>
      <c r="F140" s="440"/>
      <c r="G140" s="440"/>
      <c r="H140" s="440"/>
      <c r="I140" s="440"/>
      <c r="J140" s="440"/>
      <c r="K140" s="440"/>
      <c r="L140" s="440"/>
      <c r="M140" s="440"/>
      <c r="N140" s="441"/>
    </row>
    <row r="141" spans="2:14" s="93" customFormat="1" ht="24.95" customHeight="1">
      <c r="B141" s="438">
        <v>5</v>
      </c>
      <c r="C141" s="439"/>
      <c r="D141" s="440" t="s">
        <v>151</v>
      </c>
      <c r="E141" s="440"/>
      <c r="F141" s="440"/>
      <c r="G141" s="440"/>
      <c r="H141" s="440"/>
      <c r="I141" s="440"/>
      <c r="J141" s="440"/>
      <c r="K141" s="440"/>
      <c r="L141" s="440"/>
      <c r="M141" s="440"/>
      <c r="N141" s="441"/>
    </row>
    <row r="142" spans="2:14" s="93" customFormat="1" ht="24.95" customHeight="1">
      <c r="B142" s="438">
        <v>6</v>
      </c>
      <c r="C142" s="439"/>
      <c r="D142" s="440" t="s">
        <v>152</v>
      </c>
      <c r="E142" s="440"/>
      <c r="F142" s="440"/>
      <c r="G142" s="440"/>
      <c r="H142" s="440"/>
      <c r="I142" s="440"/>
      <c r="J142" s="440"/>
      <c r="K142" s="440"/>
      <c r="L142" s="440"/>
      <c r="M142" s="440"/>
      <c r="N142" s="441"/>
    </row>
    <row r="143" spans="2:14" s="140" customFormat="1" ht="30" customHeight="1">
      <c r="B143" s="491" t="s">
        <v>153</v>
      </c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3"/>
    </row>
    <row r="144" spans="2:14" s="93" customFormat="1" ht="24.95" customHeight="1">
      <c r="B144" s="438">
        <v>1</v>
      </c>
      <c r="C144" s="439"/>
      <c r="D144" s="440" t="s">
        <v>154</v>
      </c>
      <c r="E144" s="440"/>
      <c r="F144" s="440"/>
      <c r="G144" s="440"/>
      <c r="H144" s="440"/>
      <c r="I144" s="440"/>
      <c r="J144" s="440"/>
      <c r="K144" s="440"/>
      <c r="L144" s="440"/>
      <c r="M144" s="440"/>
      <c r="N144" s="441"/>
    </row>
    <row r="145" spans="2:14" s="93" customFormat="1" ht="135" customHeight="1">
      <c r="B145" s="438">
        <v>2</v>
      </c>
      <c r="C145" s="439"/>
      <c r="D145" s="494" t="s">
        <v>155</v>
      </c>
      <c r="E145" s="495"/>
      <c r="F145" s="495"/>
      <c r="G145" s="495"/>
      <c r="H145" s="495"/>
      <c r="I145" s="495"/>
      <c r="J145" s="495"/>
      <c r="K145" s="495"/>
      <c r="L145" s="495"/>
      <c r="M145" s="495"/>
      <c r="N145" s="496"/>
    </row>
    <row r="146" spans="2:14" s="93" customFormat="1" ht="24.95" customHeight="1">
      <c r="B146" s="438">
        <v>3</v>
      </c>
      <c r="C146" s="439"/>
      <c r="D146" s="440" t="s">
        <v>156</v>
      </c>
      <c r="E146" s="440"/>
      <c r="F146" s="440"/>
      <c r="G146" s="440"/>
      <c r="H146" s="440"/>
      <c r="I146" s="440"/>
      <c r="J146" s="440"/>
      <c r="K146" s="440"/>
      <c r="L146" s="440"/>
      <c r="M146" s="440"/>
      <c r="N146" s="441"/>
    </row>
    <row r="147" spans="2:14" s="93" customFormat="1" ht="24.95" customHeight="1">
      <c r="B147" s="438">
        <v>4</v>
      </c>
      <c r="C147" s="439"/>
      <c r="D147" s="440" t="s">
        <v>157</v>
      </c>
      <c r="E147" s="440"/>
      <c r="F147" s="440"/>
      <c r="G147" s="440"/>
      <c r="H147" s="440"/>
      <c r="I147" s="440"/>
      <c r="J147" s="440"/>
      <c r="K147" s="440"/>
      <c r="L147" s="440"/>
      <c r="M147" s="440"/>
      <c r="N147" s="441"/>
    </row>
    <row r="148" spans="2:14" s="140" customFormat="1" ht="30" customHeight="1">
      <c r="B148" s="491" t="s">
        <v>158</v>
      </c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3"/>
    </row>
    <row r="149" spans="2:14" s="93" customFormat="1" ht="24.95" customHeight="1">
      <c r="B149" s="438">
        <v>1</v>
      </c>
      <c r="C149" s="439"/>
      <c r="D149" s="440" t="s">
        <v>159</v>
      </c>
      <c r="E149" s="440"/>
      <c r="F149" s="440"/>
      <c r="G149" s="440"/>
      <c r="H149" s="440"/>
      <c r="I149" s="440"/>
      <c r="J149" s="440"/>
      <c r="K149" s="440"/>
      <c r="L149" s="440"/>
      <c r="M149" s="440"/>
      <c r="N149" s="441"/>
    </row>
    <row r="150" spans="2:14" s="93" customFormat="1" ht="55.9" customHeight="1">
      <c r="B150" s="438">
        <v>2</v>
      </c>
      <c r="C150" s="439"/>
      <c r="D150" s="494" t="s">
        <v>160</v>
      </c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140" customFormat="1" ht="30" customHeight="1">
      <c r="B151" s="491" t="s">
        <v>161</v>
      </c>
      <c r="C151" s="492"/>
      <c r="D151" s="492"/>
      <c r="E151" s="492"/>
      <c r="F151" s="492"/>
      <c r="G151" s="492"/>
      <c r="H151" s="492"/>
      <c r="I151" s="492"/>
      <c r="J151" s="492"/>
      <c r="K151" s="492"/>
      <c r="L151" s="492"/>
      <c r="M151" s="492"/>
      <c r="N151" s="493"/>
    </row>
    <row r="152" spans="2:14" s="93" customFormat="1" ht="24.95" customHeight="1">
      <c r="B152" s="438">
        <v>1</v>
      </c>
      <c r="C152" s="439"/>
      <c r="D152" s="460" t="s">
        <v>162</v>
      </c>
      <c r="E152" s="460"/>
      <c r="F152" s="460"/>
      <c r="G152" s="460"/>
      <c r="H152" s="460"/>
      <c r="I152" s="460"/>
      <c r="J152" s="460"/>
      <c r="K152" s="460"/>
      <c r="L152" s="460"/>
      <c r="M152" s="460"/>
      <c r="N152" s="461"/>
    </row>
    <row r="153" spans="2:14" s="93" customFormat="1" ht="24.95" customHeight="1">
      <c r="B153" s="438">
        <v>2</v>
      </c>
      <c r="C153" s="439"/>
      <c r="D153" s="460" t="s">
        <v>163</v>
      </c>
      <c r="E153" s="460"/>
      <c r="F153" s="460"/>
      <c r="G153" s="460"/>
      <c r="H153" s="460"/>
      <c r="I153" s="460"/>
      <c r="J153" s="460"/>
      <c r="K153" s="460"/>
      <c r="L153" s="460"/>
      <c r="M153" s="460"/>
      <c r="N153" s="461"/>
    </row>
    <row r="154" spans="2:14" s="93" customFormat="1" ht="49.9" customHeight="1">
      <c r="B154" s="438">
        <v>3</v>
      </c>
      <c r="C154" s="439"/>
      <c r="D154" s="488" t="s">
        <v>164</v>
      </c>
      <c r="E154" s="489"/>
      <c r="F154" s="489"/>
      <c r="G154" s="489"/>
      <c r="H154" s="489"/>
      <c r="I154" s="489"/>
      <c r="J154" s="489"/>
      <c r="K154" s="489"/>
      <c r="L154" s="489"/>
      <c r="M154" s="489"/>
      <c r="N154" s="490"/>
    </row>
    <row r="155" spans="2:14" s="93" customFormat="1" ht="24.95" customHeight="1">
      <c r="B155" s="438">
        <v>4</v>
      </c>
      <c r="C155" s="439"/>
      <c r="D155" s="460" t="s">
        <v>165</v>
      </c>
      <c r="E155" s="460"/>
      <c r="F155" s="460"/>
      <c r="G155" s="460"/>
      <c r="H155" s="460"/>
      <c r="I155" s="460"/>
      <c r="J155" s="460"/>
      <c r="K155" s="460"/>
      <c r="L155" s="460"/>
      <c r="M155" s="460"/>
      <c r="N155" s="461"/>
    </row>
    <row r="156" spans="2:14" s="140" customFormat="1" ht="30" customHeight="1">
      <c r="B156" s="491" t="s">
        <v>166</v>
      </c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3"/>
    </row>
    <row r="157" spans="2:14" s="93" customFormat="1" ht="24.95" customHeight="1">
      <c r="B157" s="438">
        <v>1</v>
      </c>
      <c r="C157" s="439"/>
      <c r="D157" s="460" t="s">
        <v>167</v>
      </c>
      <c r="E157" s="460"/>
      <c r="F157" s="460"/>
      <c r="G157" s="460"/>
      <c r="H157" s="460"/>
      <c r="I157" s="460"/>
      <c r="J157" s="460"/>
      <c r="K157" s="460"/>
      <c r="L157" s="460"/>
      <c r="M157" s="460"/>
      <c r="N157" s="461"/>
    </row>
    <row r="158" spans="2:14" s="93" customFormat="1" ht="24.95" customHeight="1">
      <c r="B158" s="438">
        <v>2</v>
      </c>
      <c r="C158" s="439"/>
      <c r="D158" s="460" t="s">
        <v>168</v>
      </c>
      <c r="E158" s="460"/>
      <c r="F158" s="460"/>
      <c r="G158" s="460"/>
      <c r="H158" s="460"/>
      <c r="I158" s="460"/>
      <c r="J158" s="460"/>
      <c r="K158" s="460"/>
      <c r="L158" s="460"/>
      <c r="M158" s="460"/>
      <c r="N158" s="461"/>
    </row>
    <row r="159" spans="2:14" s="93" customFormat="1" ht="24.95" customHeight="1">
      <c r="B159" s="438">
        <v>3</v>
      </c>
      <c r="C159" s="439"/>
      <c r="D159" s="460" t="s">
        <v>169</v>
      </c>
      <c r="E159" s="460"/>
      <c r="F159" s="460"/>
      <c r="G159" s="460"/>
      <c r="H159" s="460"/>
      <c r="I159" s="460"/>
      <c r="J159" s="460"/>
      <c r="K159" s="460"/>
      <c r="L159" s="460"/>
      <c r="M159" s="460"/>
      <c r="N159" s="461"/>
    </row>
    <row r="160" spans="2:14" s="93" customFormat="1" ht="24.95" customHeight="1">
      <c r="B160" s="438">
        <v>4</v>
      </c>
      <c r="C160" s="439"/>
      <c r="D160" s="460" t="s">
        <v>170</v>
      </c>
      <c r="E160" s="460"/>
      <c r="F160" s="460"/>
      <c r="G160" s="460"/>
      <c r="H160" s="460"/>
      <c r="I160" s="460"/>
      <c r="J160" s="460"/>
      <c r="K160" s="460"/>
      <c r="L160" s="460"/>
      <c r="M160" s="460"/>
      <c r="N160" s="461"/>
    </row>
    <row r="161" spans="2:14" s="93" customFormat="1" ht="24.95" customHeight="1">
      <c r="B161" s="442" t="s">
        <v>242</v>
      </c>
      <c r="C161" s="486"/>
      <c r="D161" s="486"/>
      <c r="E161" s="486"/>
      <c r="F161" s="486"/>
      <c r="G161" s="486"/>
      <c r="H161" s="486"/>
      <c r="I161" s="486"/>
      <c r="J161" s="486"/>
      <c r="K161" s="486"/>
      <c r="L161" s="486"/>
      <c r="M161" s="486"/>
      <c r="N161" s="487"/>
    </row>
    <row r="162" spans="2:14" s="93" customFormat="1" ht="24.95" customHeight="1">
      <c r="B162" s="442" t="s">
        <v>243</v>
      </c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7"/>
    </row>
    <row r="163" spans="2:14" s="93" customFormat="1" ht="41.25" customHeight="1">
      <c r="B163" s="468"/>
      <c r="C163" s="469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70"/>
    </row>
    <row r="164" spans="2:14" s="93" customFormat="1" ht="39.950000000000003" customHeight="1">
      <c r="B164" s="471"/>
      <c r="C164" s="472"/>
      <c r="D164" s="472"/>
      <c r="E164" s="472"/>
      <c r="F164" s="472"/>
      <c r="G164" s="472"/>
      <c r="H164" s="472"/>
      <c r="I164" s="472"/>
      <c r="J164" s="472"/>
      <c r="K164" s="472"/>
      <c r="L164" s="472"/>
      <c r="M164" s="472"/>
      <c r="N164" s="473"/>
    </row>
    <row r="165" spans="2:14" s="93" customFormat="1" ht="41.25" customHeight="1">
      <c r="B165" s="471"/>
      <c r="C165" s="472"/>
      <c r="D165" s="472"/>
      <c r="E165" s="472"/>
      <c r="F165" s="472"/>
      <c r="G165" s="472"/>
      <c r="H165" s="472"/>
      <c r="I165" s="472"/>
      <c r="J165" s="472"/>
      <c r="K165" s="472"/>
      <c r="L165" s="472"/>
      <c r="M165" s="472"/>
      <c r="N165" s="473"/>
    </row>
    <row r="166" spans="2:14" s="93" customFormat="1" ht="39.950000000000003" customHeight="1" thickBot="1">
      <c r="B166" s="474"/>
      <c r="C166" s="475"/>
      <c r="D166" s="475"/>
      <c r="E166" s="475"/>
      <c r="F166" s="475"/>
      <c r="G166" s="475"/>
      <c r="H166" s="475"/>
      <c r="I166" s="475"/>
      <c r="J166" s="475"/>
      <c r="K166" s="475"/>
      <c r="L166" s="475"/>
      <c r="M166" s="475"/>
      <c r="N166" s="476"/>
    </row>
    <row r="167" spans="2:14" s="93" customFormat="1" ht="30" customHeight="1" thickTop="1">
      <c r="B167" s="456" t="s">
        <v>110</v>
      </c>
      <c r="C167" s="457"/>
      <c r="D167" s="457"/>
      <c r="E167" s="462"/>
      <c r="F167" s="463"/>
      <c r="G167" s="463"/>
      <c r="H167" s="463"/>
      <c r="I167" s="463"/>
      <c r="J167" s="463"/>
      <c r="K167" s="463"/>
      <c r="L167" s="464"/>
      <c r="M167" s="457" t="s">
        <v>207</v>
      </c>
      <c r="N167" s="458"/>
    </row>
    <row r="168" spans="2:14" s="93" customFormat="1" ht="33" customHeight="1" thickBot="1">
      <c r="B168" s="459" t="s">
        <v>107</v>
      </c>
      <c r="C168" s="454"/>
      <c r="D168" s="454"/>
      <c r="E168" s="465"/>
      <c r="F168" s="466"/>
      <c r="G168" s="466"/>
      <c r="H168" s="466"/>
      <c r="I168" s="466"/>
      <c r="J168" s="466"/>
      <c r="K168" s="466"/>
      <c r="L168" s="467"/>
      <c r="M168" s="454" t="s">
        <v>108</v>
      </c>
      <c r="N168" s="455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55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8" sqref="C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R2</v>
      </c>
      <c r="E2" s="310">
        <f>QUOTATION!N8</f>
        <v>43601</v>
      </c>
      <c r="F2" s="513" t="s">
        <v>247</v>
      </c>
      <c r="G2" s="513"/>
    </row>
    <row r="3" spans="3:13">
      <c r="C3" s="300" t="s">
        <v>126</v>
      </c>
      <c r="D3" s="514" t="str">
        <f>QUOTATION!F7</f>
        <v>PRIMA MYSTIQUE</v>
      </c>
      <c r="E3" s="514"/>
      <c r="F3" s="517" t="s">
        <v>248</v>
      </c>
      <c r="G3" s="518">
        <f>QUOTATION!N8</f>
        <v>43601</v>
      </c>
    </row>
    <row r="4" spans="3:13">
      <c r="C4" s="300" t="s">
        <v>245</v>
      </c>
      <c r="D4" s="515" t="str">
        <f>QUOTATION!M6</f>
        <v>ABPL-DE-19.20-2041</v>
      </c>
      <c r="E4" s="515"/>
      <c r="F4" s="517"/>
      <c r="G4" s="519"/>
    </row>
    <row r="5" spans="3:13">
      <c r="C5" s="300" t="s">
        <v>127</v>
      </c>
      <c r="D5" s="514" t="str">
        <f>QUOTATION!F8</f>
        <v>Hyderabad</v>
      </c>
      <c r="E5" s="514"/>
      <c r="F5" s="517"/>
      <c r="G5" s="519"/>
    </row>
    <row r="6" spans="3:13">
      <c r="C6" s="300" t="s">
        <v>171</v>
      </c>
      <c r="D6" s="514" t="str">
        <f>QUOTATION!F9</f>
        <v>Mr. Anamol Anand : 7702300826</v>
      </c>
      <c r="E6" s="514"/>
      <c r="F6" s="517"/>
      <c r="G6" s="519"/>
    </row>
    <row r="7" spans="3:13">
      <c r="C7" s="300" t="s">
        <v>379</v>
      </c>
      <c r="D7" s="514">
        <f>QUOTATION!M10</f>
        <v>0</v>
      </c>
      <c r="E7" s="514"/>
      <c r="F7" s="517"/>
      <c r="G7" s="519"/>
    </row>
    <row r="8" spans="3:13">
      <c r="C8" s="300" t="s">
        <v>179</v>
      </c>
      <c r="D8" s="514" t="str">
        <f>QUOTATION!F10</f>
        <v>104720 Honey Satin Anodizing</v>
      </c>
      <c r="E8" s="514"/>
      <c r="F8" s="517"/>
      <c r="G8" s="519"/>
    </row>
    <row r="9" spans="3:13">
      <c r="C9" s="300" t="s">
        <v>180</v>
      </c>
      <c r="D9" s="514" t="str">
        <f>QUOTATION!I10</f>
        <v>Silver</v>
      </c>
      <c r="E9" s="514"/>
      <c r="F9" s="517"/>
      <c r="G9" s="519"/>
    </row>
    <row r="10" spans="3:13">
      <c r="C10" s="300" t="s">
        <v>182</v>
      </c>
      <c r="D10" s="514" t="str">
        <f>QUOTATION!I8</f>
        <v>1.5Kpa</v>
      </c>
      <c r="E10" s="514"/>
      <c r="F10" s="517"/>
      <c r="G10" s="519"/>
    </row>
    <row r="11" spans="3:13">
      <c r="C11" s="300" t="s">
        <v>244</v>
      </c>
      <c r="D11" s="514" t="str">
        <f>QUOTATION!M9</f>
        <v>Pradeep</v>
      </c>
      <c r="E11" s="514"/>
      <c r="F11" s="517"/>
      <c r="G11" s="519"/>
    </row>
    <row r="12" spans="3:13">
      <c r="C12" s="300" t="s">
        <v>246</v>
      </c>
      <c r="D12" s="516">
        <f>QUOTATION!M7</f>
        <v>43378</v>
      </c>
      <c r="E12" s="516"/>
      <c r="F12" s="517"/>
      <c r="G12" s="520"/>
    </row>
    <row r="13" spans="3:13">
      <c r="C13" s="193" t="s">
        <v>238</v>
      </c>
      <c r="D13" s="509" t="s">
        <v>234</v>
      </c>
      <c r="E13" s="510"/>
      <c r="F13" s="511" t="s">
        <v>235</v>
      </c>
      <c r="G13" s="512"/>
    </row>
    <row r="14" spans="3:13">
      <c r="C14" s="194" t="s">
        <v>236</v>
      </c>
      <c r="D14" s="299"/>
      <c r="E14" s="244">
        <f>Pricing!L104</f>
        <v>11940.99</v>
      </c>
      <c r="F14" s="205"/>
      <c r="G14" s="206">
        <f>E14</f>
        <v>11940.99</v>
      </c>
    </row>
    <row r="15" spans="3:13">
      <c r="C15" s="194" t="s">
        <v>237</v>
      </c>
      <c r="D15" s="299">
        <f>'Changable Values'!D4</f>
        <v>83</v>
      </c>
      <c r="E15" s="199">
        <f>E14*D15</f>
        <v>991102.16999999993</v>
      </c>
      <c r="F15" s="205"/>
      <c r="G15" s="207">
        <f>E15</f>
        <v>991102.16999999993</v>
      </c>
    </row>
    <row r="16" spans="3:13">
      <c r="C16" s="195" t="s">
        <v>97</v>
      </c>
      <c r="D16" s="200">
        <f>'Changable Values'!D5</f>
        <v>0.1</v>
      </c>
      <c r="E16" s="199">
        <f>E15*D16</f>
        <v>99110.217000000004</v>
      </c>
      <c r="F16" s="208">
        <f>'Changable Values'!D5</f>
        <v>0.1</v>
      </c>
      <c r="G16" s="207">
        <f>G15*F16</f>
        <v>99110.217000000004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119923.36256999998</v>
      </c>
      <c r="F17" s="208">
        <f>'Changable Values'!D6</f>
        <v>0.11</v>
      </c>
      <c r="G17" s="207">
        <f>SUM(G15:G16)*F17</f>
        <v>119923.36256999998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6050.6787478499991</v>
      </c>
      <c r="F18" s="208">
        <f>'Changable Values'!D7</f>
        <v>5.0000000000000001E-3</v>
      </c>
      <c r="G18" s="207">
        <f>SUM(G15:G17)*F18</f>
        <v>6050.6787478499991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12161.864283178498</v>
      </c>
      <c r="F19" s="208">
        <f>'Changable Values'!D8</f>
        <v>0.01</v>
      </c>
      <c r="G19" s="207">
        <f>SUM(G15:G18)*F19</f>
        <v>12161.864283178498</v>
      </c>
    </row>
    <row r="20" spans="3:7">
      <c r="C20" s="195" t="s">
        <v>99</v>
      </c>
      <c r="D20" s="201"/>
      <c r="E20" s="199">
        <f>SUM(E15:E19)</f>
        <v>1228348.2926010282</v>
      </c>
      <c r="F20" s="208"/>
      <c r="G20" s="207">
        <f>SUM(G15:G19)</f>
        <v>1228348.2926010282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18425.224389015424</v>
      </c>
      <c r="F21" s="208">
        <f>'Changable Values'!D9</f>
        <v>1.4999999999999999E-2</v>
      </c>
      <c r="G21" s="207">
        <f>G20*F21</f>
        <v>18425.224389015424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312744.24308400002</v>
      </c>
      <c r="F23" s="209"/>
      <c r="G23" s="207">
        <f t="shared" si="0"/>
        <v>312744.24308400002</v>
      </c>
    </row>
    <row r="24" spans="3:7">
      <c r="C24" s="195" t="s">
        <v>232</v>
      </c>
      <c r="D24" s="198"/>
      <c r="E24" s="199">
        <f>'Cost Calculation'!AH111</f>
        <v>39354.599803278688</v>
      </c>
      <c r="F24" s="209"/>
      <c r="G24" s="207">
        <f t="shared" si="0"/>
        <v>39354.599803278688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125718.58147679998</v>
      </c>
      <c r="F27" s="209"/>
      <c r="G27" s="207">
        <f t="shared" si="0"/>
        <v>125718.58147679998</v>
      </c>
    </row>
    <row r="28" spans="3:7">
      <c r="C28" s="195" t="s">
        <v>88</v>
      </c>
      <c r="D28" s="198"/>
      <c r="E28" s="199">
        <f>'Cost Calculation'!AN109</f>
        <v>100574.86518143999</v>
      </c>
      <c r="F28" s="209"/>
      <c r="G28" s="207">
        <f t="shared" si="0"/>
        <v>100574.86518143999</v>
      </c>
    </row>
    <row r="29" spans="3:7">
      <c r="C29" s="296" t="s">
        <v>382</v>
      </c>
      <c r="D29" s="297"/>
      <c r="E29" s="298">
        <f>SUM(E20:E28)</f>
        <v>1825165.8065355623</v>
      </c>
      <c r="F29" s="209"/>
      <c r="G29" s="207">
        <f>SUM(G20:G21,G24)</f>
        <v>1286128.1167933224</v>
      </c>
    </row>
    <row r="30" spans="3:7">
      <c r="C30" s="296" t="s">
        <v>383</v>
      </c>
      <c r="D30" s="297"/>
      <c r="E30" s="298">
        <f>E29/E33</f>
        <v>1451.786828244142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1607660.145991653</v>
      </c>
      <c r="F31" s="214">
        <f>'Changable Values'!D23</f>
        <v>1.25</v>
      </c>
      <c r="G31" s="207">
        <f>G29*F31</f>
        <v>1607660.145991653</v>
      </c>
    </row>
    <row r="32" spans="3:7">
      <c r="C32" s="293" t="s">
        <v>5</v>
      </c>
      <c r="D32" s="294"/>
      <c r="E32" s="295">
        <f>E31+E29</f>
        <v>3432825.9525272152</v>
      </c>
      <c r="F32" s="205"/>
      <c r="G32" s="207">
        <f>SUM(G25:G31,G22:G23)</f>
        <v>3432825.9525272152</v>
      </c>
    </row>
    <row r="33" spans="3:7">
      <c r="C33" s="303" t="s">
        <v>233</v>
      </c>
      <c r="D33" s="304"/>
      <c r="E33" s="311">
        <f>'Cost Calculation'!K109</f>
        <v>1257.185814768</v>
      </c>
      <c r="F33" s="210"/>
      <c r="G33" s="211">
        <f>E33</f>
        <v>1257.185814768</v>
      </c>
    </row>
    <row r="34" spans="3:7">
      <c r="C34" s="305" t="s">
        <v>9</v>
      </c>
      <c r="D34" s="306"/>
      <c r="E34" s="307">
        <f>QUOTATION!L116</f>
        <v>57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2730.5637020416953</v>
      </c>
      <c r="F35" s="212"/>
      <c r="G35" s="213">
        <f>G32/(G33)</f>
        <v>2730.5637020416953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2019-05-16T12:19:51Z</cp:lastPrinted>
  <dcterms:created xsi:type="dcterms:W3CDTF">2010-12-18T06:34:46Z</dcterms:created>
  <dcterms:modified xsi:type="dcterms:W3CDTF">2019-05-16T12:19:54Z</dcterms:modified>
</cp:coreProperties>
</file>