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Drawings!$C$2:$O$117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13" i="158" l="1"/>
  <c r="Q12" i="158"/>
  <c r="Q9" i="158"/>
  <c r="Q8" i="158"/>
  <c r="Q6" i="158"/>
  <c r="R4" i="158"/>
  <c r="S13" i="158"/>
  <c r="S12" i="158"/>
  <c r="K6" i="163"/>
  <c r="K7" i="163"/>
  <c r="K8" i="163"/>
  <c r="K5" i="163"/>
  <c r="A8" i="169" l="1"/>
  <c r="U3" i="169" l="1"/>
  <c r="U4" i="169"/>
  <c r="U5" i="169"/>
  <c r="U6" i="169"/>
  <c r="U7" i="169"/>
  <c r="U8" i="169"/>
  <c r="U9" i="169"/>
  <c r="U10" i="169"/>
  <c r="U11" i="169"/>
  <c r="U2" i="169"/>
  <c r="T3" i="169"/>
  <c r="T4" i="169"/>
  <c r="T5" i="169"/>
  <c r="T6" i="169"/>
  <c r="T7" i="169"/>
  <c r="T8" i="169"/>
  <c r="T9" i="169"/>
  <c r="T10" i="169"/>
  <c r="T11" i="169"/>
  <c r="T2" i="169"/>
  <c r="S2" i="169"/>
  <c r="S3" i="169"/>
  <c r="S4" i="169"/>
  <c r="S5" i="169"/>
  <c r="S6" i="169"/>
  <c r="S7" i="169"/>
  <c r="S8" i="169"/>
  <c r="S9" i="169"/>
  <c r="S10" i="169"/>
  <c r="S11" i="169"/>
  <c r="R2" i="169"/>
  <c r="R3" i="169"/>
  <c r="R4" i="169"/>
  <c r="R5" i="169"/>
  <c r="R6" i="169"/>
  <c r="R7" i="169"/>
  <c r="R8" i="169"/>
  <c r="R9" i="169"/>
  <c r="R10" i="169"/>
  <c r="R11" i="169"/>
  <c r="Q3" i="169"/>
  <c r="Q4" i="169"/>
  <c r="Q5" i="169"/>
  <c r="Q6" i="169"/>
  <c r="Q7" i="169"/>
  <c r="Q8" i="169"/>
  <c r="Q9" i="169"/>
  <c r="Q10" i="169"/>
  <c r="Q11" i="169"/>
  <c r="Q2" i="169"/>
  <c r="P3" i="169"/>
  <c r="P4" i="169"/>
  <c r="P5" i="169"/>
  <c r="P6" i="169"/>
  <c r="P7" i="169"/>
  <c r="P8" i="169"/>
  <c r="P9" i="169"/>
  <c r="P10" i="169"/>
  <c r="P11" i="169"/>
  <c r="P2" i="169"/>
  <c r="O2" i="169"/>
  <c r="O3" i="169"/>
  <c r="O4" i="169"/>
  <c r="O5" i="169"/>
  <c r="O6" i="169"/>
  <c r="O7" i="169"/>
  <c r="O8" i="169"/>
  <c r="O9" i="169"/>
  <c r="O10" i="169"/>
  <c r="O11" i="169"/>
  <c r="N3" i="169"/>
  <c r="N4" i="169"/>
  <c r="N5" i="169"/>
  <c r="N6" i="169"/>
  <c r="N7" i="169"/>
  <c r="N8" i="169"/>
  <c r="N9" i="169"/>
  <c r="N10" i="169"/>
  <c r="N11" i="169"/>
  <c r="N2" i="169"/>
  <c r="M3" i="169"/>
  <c r="M4" i="169"/>
  <c r="M5" i="169"/>
  <c r="M6" i="169"/>
  <c r="M7" i="169"/>
  <c r="M8" i="169"/>
  <c r="M9" i="169"/>
  <c r="M10" i="169"/>
  <c r="M11" i="169"/>
  <c r="M2" i="169"/>
  <c r="L3" i="169"/>
  <c r="L4" i="169"/>
  <c r="L5" i="169"/>
  <c r="L6" i="169"/>
  <c r="L7" i="169"/>
  <c r="L8" i="169"/>
  <c r="L9" i="169"/>
  <c r="L10" i="169"/>
  <c r="L11" i="169"/>
  <c r="L2" i="169"/>
  <c r="K2" i="169"/>
  <c r="K3" i="169"/>
  <c r="K4" i="169"/>
  <c r="K5" i="169"/>
  <c r="K6" i="169"/>
  <c r="K7" i="169"/>
  <c r="K8" i="169"/>
  <c r="K9" i="169"/>
  <c r="K10" i="169"/>
  <c r="K11" i="169"/>
  <c r="J3" i="169"/>
  <c r="J4" i="169"/>
  <c r="J5" i="169"/>
  <c r="J6" i="169"/>
  <c r="J7" i="169"/>
  <c r="J8" i="169"/>
  <c r="J9" i="169"/>
  <c r="J10" i="169"/>
  <c r="J11" i="169"/>
  <c r="J2" i="169"/>
  <c r="I3" i="169"/>
  <c r="I4" i="169"/>
  <c r="I5" i="169"/>
  <c r="I6" i="169"/>
  <c r="I7" i="169"/>
  <c r="I8" i="169"/>
  <c r="I9" i="169"/>
  <c r="I10" i="169"/>
  <c r="I11" i="169"/>
  <c r="I2" i="169"/>
  <c r="F3" i="169"/>
  <c r="F4" i="169"/>
  <c r="F5" i="169"/>
  <c r="F6" i="169"/>
  <c r="F7" i="169"/>
  <c r="F8" i="169"/>
  <c r="F9" i="169"/>
  <c r="F10" i="169"/>
  <c r="F11" i="169"/>
  <c r="F2" i="169"/>
  <c r="E3" i="169"/>
  <c r="E4" i="169"/>
  <c r="E5" i="169"/>
  <c r="E6" i="169"/>
  <c r="E7" i="169"/>
  <c r="E8" i="169"/>
  <c r="E9" i="169"/>
  <c r="E10" i="169"/>
  <c r="E11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A3" i="169"/>
  <c r="A4" i="169"/>
  <c r="A5" i="169"/>
  <c r="A6" i="169"/>
  <c r="A7" i="169"/>
  <c r="A9" i="169"/>
  <c r="A10" i="169"/>
  <c r="A11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M7" i="163"/>
  <c r="M6" i="163"/>
  <c r="M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37" i="160" l="1"/>
  <c r="M42" i="160"/>
  <c r="M45" i="160"/>
  <c r="M50" i="160"/>
  <c r="M41" i="160"/>
  <c r="M35" i="160"/>
  <c r="M26" i="160"/>
  <c r="M34" i="160"/>
  <c r="M25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9" i="159" l="1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<sst xmlns="http://schemas.openxmlformats.org/spreadsheetml/2006/main" count="1986" uniqueCount="458">
  <si>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</si>
  <si>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</si>
  <si>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</si>
  <si>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</si>
  <si>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</si>
  <si>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</si>
  <si>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</si>
  <si>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</si>
  <si>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</si>
  <si>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</si>
  <si>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</si>
  <si>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</si>
  <si>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</si>
  <si>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</si>
  <si>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</si>
  <si>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</si>
  <si>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</si>
  <si>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</si>
  <si>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</si>
  <si>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</si>
  <si>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</si>
  <si>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</si>
  <si>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</si>
  <si>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</si>
  <si>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</si>
  <si>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</si>
  <si>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</si>
  <si>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</si>
  <si>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</si>
  <si>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</si>
  <si>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</si>
  <si>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</si>
  <si>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</si>
  <si>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</si>
  <si>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</si>
  <si>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</si>
  <si>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</si>
  <si>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</si>
  <si>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</si>
  <si>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</si>
  <si>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</si>
  <si>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</si>
  <si>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</si>
  <si>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</si>
  <si>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</si>
  <si>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</si>
  <si>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</si>
  <si>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</si>
  <si>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</si>
  <si>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</si>
  <si>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</si>
  <si>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</si>
  <si>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</si>
  <si>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</si>
  <si>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</si>
  <si>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</si>
  <si>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</si>
  <si>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</si>
  <si>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</si>
  <si>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</si>
  <si>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</si>
  <si>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</si>
  <si>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</si>
  <si>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</si>
  <si>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</si>
  <si>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</si>
  <si>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</si>
  <si>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</si>
  <si>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</si>
  <si>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</si>
  <si>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</si>
  <si>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</si>
  <si>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</si>
  <si>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</si>
  <si>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</si>
  <si>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</si>
  <si>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</si>
  <si>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</si>
  <si>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</si>
  <si>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</si>
  <si>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</si>
  <si>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</si>
  <si>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</si>
  <si>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</si>
  <si>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</si>
  <si>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</si>
  <si>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</si>
  <si>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</si>
  <si>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</si>
  <si>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</si>
  <si>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</si>
  <si>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</si>
  <si>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</si>
  <si>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</si>
  <si>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</si>
  <si>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</si>
  <si>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</si>
  <si>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</si>
  <si>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</si>
  <si>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</si>
  <si>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</si>
  <si>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</si>
  <si>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</si>
  <si>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</si>
  <si>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</si>
  <si>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</si>
  <si>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</si>
  <si>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</si>
  <si>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</si>
  <si>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</si>
  <si>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</si>
  <si>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</si>
  <si>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</si>
  <si>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</si>
  <si>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</si>
  <si>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</si>
  <si>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</si>
  <si>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</si>
  <si>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</si>
  <si>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</si>
  <si>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</si>
  <si>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</si>
  <si>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</si>
  <si>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</si>
  <si>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</si>
  <si>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</si>
  <si>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</si>
  <si>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</si>
  <si>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</si>
  <si>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</si>
  <si>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</si>
  <si>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</si>
  <si>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</si>
  <si>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</si>
  <si>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</si>
  <si>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</si>
  <si>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</si>
  <si>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</si>
  <si>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</si>
  <si>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</si>
  <si>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</si>
  <si>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</si>
  <si>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</si>
  <si>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</si>
  <si>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</si>
  <si>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</si>
  <si>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</si>
  <si>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</si>
  <si>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</si>
  <si>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</si>
  <si>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</si>
  <si>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</si>
  <si>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</si>
  <si>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</si>
  <si>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</si>
  <si>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</si>
  <si>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</si>
  <si>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</si>
  <si>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</si>
  <si>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</si>
  <si>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</si>
  <si>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</si>
  <si>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</si>
  <si>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</si>
  <si>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</si>
  <si>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</si>
  <si>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</si>
  <si>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</si>
  <si>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</si>
  <si>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</si>
  <si>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</si>
  <si>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</si>
  <si>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</si>
  <si>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</si>
  <si>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</si>
  <si>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</si>
  <si>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</si>
  <si>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</si>
  <si>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</si>
  <si>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</si>
  <si>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</si>
  <si>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</si>
  <si>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</si>
  <si>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</si>
  <si>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</si>
  <si>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</si>
  <si>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</si>
  <si>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</si>
  <si>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</si>
  <si>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</si>
  <si>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</si>
  <si>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</si>
  <si>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</si>
  <si>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</si>
  <si>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</si>
  <si>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</si>
  <si>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</si>
  <si>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</si>
  <si>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</si>
  <si>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</si>
  <si>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</si>
  <si>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</si>
  <si>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</si>
  <si>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</si>
  <si>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</si>
  <si>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</si>
  <si>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</si>
  <si>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</si>
  <si>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</si>
  <si>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</si>
  <si>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</si>
  <si>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</si>
  <si>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</si>
  <si>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</si>
  <si>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</si>
  <si>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</si>
  <si>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</si>
  <si>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</si>
  <si>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</si>
  <si>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</si>
  <si>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</si>
  <si>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</si>
  <si>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</si>
  <si>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</si>
  <si>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</si>
  <si>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</si>
  <si>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</si>
  <si>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</si>
  <si>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</si>
  <si>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</si>
  <si>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</si>
  <si>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</si>
  <si>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</si>
  <si>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</si>
  <si>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</si>
  <si>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</si>
  <si>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</si>
  <si>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</si>
  <si>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</si>
  <si>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</si>
  <si>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</si>
  <si>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</si>
  <si>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</si>
  <si>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</si>
  <si>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</si>
  <si>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</si>
  <si>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</si>
  <si>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</si>
  <si>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</si>
  <si>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</si>
  <si>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</si>
  <si>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</si>
  <si>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</si>
  <si>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</si>
  <si>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</si>
  <si>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</si>
  <si>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</si>
  <si>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</si>
  <si>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</si>
  <si>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</si>
  <si>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</si>
  <si>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</si>
  <si>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</si>
  <si>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</si>
  <si>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</si>
  <si>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</si>
  <si>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</si>
  <si>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</si>
  <si>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</si>
  <si>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</si>
  <si>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</si>
  <si>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</si>
  <si>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</si>
  <si>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</si>
  <si>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</si>
  <si>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</si>
  <si>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</si>
  <si>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</si>
  <si>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</si>
  <si>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</si>
  <si>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</si>
  <si>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</si>
  <si>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</si>
  <si>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</si>
  <si>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</si>
  <si>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</si>
  <si>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</si>
  <si>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</si>
  <si>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</si>
  <si>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</si>
  <si>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</si>
  <si>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</si>
  <si>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</si>
  <si>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</si>
  <si>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</si>
  <si>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</si>
  <si>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</si>
  <si>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</si>
  <si>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</si>
  <si>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</si>
  <si>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</si>
  <si>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</si>
  <si>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</si>
  <si>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</si>
  <si>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</si>
  <si>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</si>
  <si>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</si>
  <si>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</si>
  <si>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</si>
  <si>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</si>
  <si>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</si>
  <si>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</si>
  <si>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</si>
  <si>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</si>
  <si>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</si>
  <si>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</si>
  <si>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</si>
  <si>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</si>
  <si>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</si>
  <si>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</si>
  <si>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</si>
  <si>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</si>
  <si>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</si>
  <si>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</si>
  <si>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</si>
  <si>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</si>
  <si>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</si>
  <si>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</si>
  <si>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</si>
  <si>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</si>
  <si>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</si>
  <si>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</si>
  <si>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</si>
  <si>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</si>
  <si>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</si>
  <si>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</si>
  <si>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</si>
  <si>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</si>
  <si>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</si>
  <si>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</si>
  <si>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</si>
  <si>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</si>
  <si>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</si>
  <si>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</si>
  <si>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</si>
  <si>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</si>
  <si>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</si>
  <si>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</si>
  <si>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</si>
  <si>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</si>
  <si>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</si>
  <si>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</si>
  <si>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</si>
  <si>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</si>
  <si>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</si>
  <si>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</si>
  <si>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</si>
  <si>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</si>
  <si>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</si>
  <si>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</si>
  <si>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</si>
  <si>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</si>
  <si>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</si>
  <si>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</si>
  <si>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</si>
  <si>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</si>
  <si>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</si>
  <si>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</si>
  <si>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</si>
  <si>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</si>
  <si>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</si>
  <si>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</si>
  <si>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</si>
  <si>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</si>
  <si>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</si>
  <si>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</si>
  <si>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</si>
  <si>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</si>
  <si>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</si>
  <si>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</si>
  <si>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</si>
  <si>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</si>
  <si>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</si>
  <si>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</si>
  <si>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</si>
  <si>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</si>
  <si>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</si>
  <si>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</si>
  <si>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</si>
  <si>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</si>
  <si>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</si>
  <si>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</si>
  <si>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</si>
  <si>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</si>
  <si>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</si>
  <si>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</si>
  <si>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</si>
  <si>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</si>
  <si>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</si>
  <si>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</si>
  <si>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</si>
  <si>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</si>
  <si>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</si>
  <si>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</si>
  <si>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</si>
  <si>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</si>
  <si>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</si>
  <si>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</si>
  <si>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</si>
  <si>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</si>
  <si>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</si>
  <si>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</si>
  <si>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</si>
  <si>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</si>
  <si>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</si>
  <si>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</si>
  <si>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</si>
  <si>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</si>
  <si>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ABPL-DE-19.20-2107</t>
  </si>
  <si>
    <t>1.5Kpa</t>
  </si>
  <si>
    <t>Mr. Arvind</t>
  </si>
  <si>
    <t>Hosur, Bangalore</t>
  </si>
  <si>
    <t>Anodized</t>
  </si>
  <si>
    <t>W01</t>
  </si>
  <si>
    <t>M15000</t>
  </si>
  <si>
    <t>SIDE HUNG WINDOW</t>
  </si>
  <si>
    <t>RETRACTABLE</t>
  </si>
  <si>
    <t>UTILITY</t>
  </si>
  <si>
    <t>W02</t>
  </si>
  <si>
    <t>FIXED GLASS</t>
  </si>
  <si>
    <t>NO</t>
  </si>
  <si>
    <t>STAIRS</t>
  </si>
  <si>
    <t>W03</t>
  </si>
  <si>
    <t>M14600</t>
  </si>
  <si>
    <t>3 TRACK 2 SHUTTER SLIDING WINDOW</t>
  </si>
  <si>
    <t>SS</t>
  </si>
  <si>
    <t>BEDROOMS</t>
  </si>
  <si>
    <t>W04</t>
  </si>
  <si>
    <t>HALL</t>
  </si>
  <si>
    <t>W05</t>
  </si>
  <si>
    <t>BEDROOM HALL</t>
  </si>
  <si>
    <t>KW1</t>
  </si>
  <si>
    <t>KITCHEN</t>
  </si>
  <si>
    <t>V1</t>
  </si>
  <si>
    <t>6MM (F)</t>
  </si>
  <si>
    <t>VENTILATOR 1</t>
  </si>
  <si>
    <t>V2</t>
  </si>
  <si>
    <t>VENTILATOR 2</t>
  </si>
  <si>
    <t>SD1</t>
  </si>
  <si>
    <t>3 TRACK 2 SHUTTER SLIDING DOOR</t>
  </si>
  <si>
    <t>BALCONY</t>
  </si>
  <si>
    <t>SD2</t>
  </si>
  <si>
    <t>HALL DOOR</t>
  </si>
  <si>
    <t>50 X 5</t>
  </si>
  <si>
    <t>INTERLOK REINFORCEMENT</t>
  </si>
  <si>
    <t>INTERLOK</t>
  </si>
  <si>
    <t>30 X 4</t>
  </si>
  <si>
    <t>6mm (F) :- 6mm Frosted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</si>
</sst>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5" fillId="0" borderId="0"/>
    <xf numFmtId="199" fontId="15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9" fontId="15" fillId="0" borderId="0" applyFill="0" applyBorder="0" applyAlignment="0" applyProtection="0"/>
    <xf numFmtId="166" fontId="15" fillId="0" borderId="0" applyFont="0" applyFill="0" applyBorder="0" applyAlignment="0" applyProtection="0"/>
    <xf numFmtId="199" fontId="23" fillId="0" borderId="0"/>
    <xf numFmtId="199" fontId="14" fillId="0" borderId="0"/>
    <xf numFmtId="199" fontId="24" fillId="0" borderId="0"/>
    <xf numFmtId="166" fontId="24" fillId="0" borderId="0" applyFont="0" applyFill="0" applyBorder="0" applyAlignment="0" applyProtection="0"/>
    <xf numFmtId="199" fontId="15" fillId="0" borderId="0"/>
    <xf numFmtId="199" fontId="14" fillId="0" borderId="0"/>
    <xf numFmtId="199" fontId="14" fillId="0" borderId="0"/>
    <xf numFmtId="199" fontId="2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3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199" fontId="26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3" fillId="0" borderId="0" applyFont="0" applyFill="0" applyBorder="0" applyAlignment="0" applyProtection="0"/>
    <xf numFmtId="199" fontId="12" fillId="0" borderId="0"/>
    <xf numFmtId="166" fontId="27" fillId="0" borderId="0" applyFont="0" applyFill="0" applyBorder="0" applyAlignment="0" applyProtection="0"/>
    <xf numFmtId="199" fontId="15" fillId="0" borderId="0"/>
    <xf numFmtId="172" fontId="29" fillId="0" borderId="0" applyFont="0" applyFill="0" applyBorder="0" applyAlignment="0" applyProtection="0"/>
    <xf numFmtId="173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199" fontId="31" fillId="0" borderId="0"/>
    <xf numFmtId="199" fontId="32" fillId="0" borderId="0"/>
    <xf numFmtId="199" fontId="15" fillId="0" borderId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99" fontId="39" fillId="0" borderId="0" applyNumberFormat="0" applyFill="0" applyBorder="0" applyAlignment="0" applyProtection="0"/>
    <xf numFmtId="174" fontId="40" fillId="0" borderId="0" applyFill="0" applyBorder="0" applyAlignment="0"/>
    <xf numFmtId="199" fontId="41" fillId="0" borderId="0"/>
    <xf numFmtId="199" fontId="42" fillId="0" borderId="0">
      <alignment vertical="center"/>
    </xf>
    <xf numFmtId="167" fontId="15" fillId="0" borderId="0" applyFill="0" applyBorder="0" applyAlignment="0" applyProtection="0"/>
    <xf numFmtId="166" fontId="24" fillId="0" borderId="0" applyFont="0" applyFill="0" applyBorder="0" applyAlignment="0" applyProtection="0"/>
    <xf numFmtId="175" fontId="43" fillId="0" borderId="0">
      <protection locked="0"/>
    </xf>
    <xf numFmtId="199" fontId="44" fillId="0" borderId="0" applyNumberFormat="0" applyAlignment="0">
      <alignment horizontal="left"/>
    </xf>
    <xf numFmtId="176" fontId="45" fillId="10" borderId="0" applyFill="0">
      <alignment horizontal="left" vertical="top"/>
      <protection locked="0"/>
    </xf>
    <xf numFmtId="177" fontId="15" fillId="0" borderId="0">
      <alignment horizontal="center"/>
    </xf>
    <xf numFmtId="178" fontId="43" fillId="0" borderId="0">
      <protection locked="0"/>
    </xf>
    <xf numFmtId="199" fontId="43" fillId="0" borderId="0">
      <protection locked="0"/>
    </xf>
    <xf numFmtId="179" fontId="46" fillId="0" borderId="0" applyFont="0" applyFill="0" applyBorder="0">
      <alignment horizontal="left" vertical="top" wrapText="1"/>
      <protection locked="0"/>
    </xf>
    <xf numFmtId="199" fontId="47" fillId="0" borderId="0" applyNumberFormat="0" applyAlignment="0">
      <alignment horizontal="left"/>
    </xf>
    <xf numFmtId="199" fontId="48" fillId="0" borderId="0" applyFont="0" applyFill="0" applyBorder="0" applyAlignment="0" applyProtection="0"/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1" fontId="43" fillId="0" borderId="0">
      <protection locked="0"/>
    </xf>
    <xf numFmtId="182" fontId="46" fillId="0" borderId="0" applyFont="0">
      <alignment horizontal="left"/>
      <protection locked="0"/>
    </xf>
    <xf numFmtId="38" fontId="49" fillId="9" borderId="0" applyNumberFormat="0" applyBorder="0" applyAlignment="0" applyProtection="0"/>
    <xf numFmtId="176" fontId="50" fillId="0" borderId="0">
      <alignment horizontal="left"/>
    </xf>
    <xf numFmtId="199" fontId="28" fillId="0" borderId="27" applyNumberFormat="0" applyAlignment="0" applyProtection="0">
      <alignment horizontal="left" vertical="center"/>
    </xf>
    <xf numFmtId="199" fontId="28" fillId="0" borderId="2">
      <alignment horizontal="left" vertical="center"/>
    </xf>
    <xf numFmtId="180" fontId="15" fillId="0" borderId="0">
      <protection locked="0"/>
    </xf>
    <xf numFmtId="180" fontId="15" fillId="0" borderId="0">
      <protection locked="0"/>
    </xf>
    <xf numFmtId="10" fontId="49" fillId="9" borderId="1" applyNumberFormat="0" applyBorder="0" applyAlignment="0" applyProtection="0"/>
    <xf numFmtId="176" fontId="46" fillId="0" borderId="0" applyFont="0">
      <alignment horizontal="left"/>
    </xf>
    <xf numFmtId="176" fontId="46" fillId="0" borderId="0" applyFont="0" applyFill="0" applyBorder="0">
      <alignment horizontal="left"/>
    </xf>
    <xf numFmtId="40" fontId="49" fillId="0" borderId="0" applyFont="0">
      <protection locked="0"/>
    </xf>
    <xf numFmtId="176" fontId="46" fillId="0" borderId="0" applyFont="0" applyFill="0" applyBorder="0">
      <alignment horizontal="left"/>
    </xf>
    <xf numFmtId="176" fontId="46" fillId="0" borderId="0" applyFont="0" applyFill="0" applyBorder="0">
      <alignment horizontal="left"/>
    </xf>
    <xf numFmtId="183" fontId="15" fillId="0" borderId="0"/>
    <xf numFmtId="179" fontId="51" fillId="0" borderId="0">
      <alignment horizontal="left" vertical="top"/>
      <protection locked="0"/>
    </xf>
    <xf numFmtId="179" fontId="49" fillId="0" borderId="0" applyFont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76" fontId="46" fillId="0" borderId="0" applyFont="0" applyFill="0" applyBorder="0">
      <alignment horizontal="left"/>
    </xf>
    <xf numFmtId="199" fontId="52" fillId="0" borderId="25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76" fontId="46" fillId="0" borderId="0" applyFont="0">
      <alignment horizontal="left"/>
    </xf>
    <xf numFmtId="188" fontId="53" fillId="0" borderId="0"/>
    <xf numFmtId="199" fontId="15" fillId="0" borderId="0"/>
    <xf numFmtId="199" fontId="27" fillId="0" borderId="0"/>
    <xf numFmtId="199" fontId="15" fillId="0" borderId="0"/>
    <xf numFmtId="182" fontId="49" fillId="0" borderId="0" applyFont="0">
      <protection locked="0"/>
    </xf>
    <xf numFmtId="189" fontId="15" fillId="0" borderId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0" fontId="46" fillId="0" borderId="0" applyFont="0">
      <protection locked="0"/>
    </xf>
    <xf numFmtId="40" fontId="50" fillId="0" borderId="0" applyFont="0">
      <protection locked="0"/>
    </xf>
    <xf numFmtId="190" fontId="54" fillId="0" borderId="0" applyNumberFormat="0" applyFill="0" applyBorder="0" applyAlignment="0" applyProtection="0">
      <alignment horizontal="left"/>
    </xf>
    <xf numFmtId="179" fontId="55" fillId="0" borderId="0" applyFont="0">
      <alignment horizontal="left"/>
    </xf>
    <xf numFmtId="191" fontId="15" fillId="0" borderId="0" applyFont="0" applyFill="0" applyBorder="0" applyAlignment="0" applyProtection="0"/>
    <xf numFmtId="179" fontId="56" fillId="0" borderId="0">
      <alignment horizontal="right" vertical="top"/>
      <protection locked="0"/>
    </xf>
    <xf numFmtId="199" fontId="52" fillId="0" borderId="0"/>
    <xf numFmtId="199" fontId="57" fillId="0" borderId="0" applyNumberFormat="0" applyProtection="0">
      <alignment wrapText="1"/>
      <protection locked="0"/>
    </xf>
    <xf numFmtId="192" fontId="58" fillId="0" borderId="28">
      <alignment vertical="center"/>
    </xf>
    <xf numFmtId="179" fontId="46" fillId="0" borderId="0" applyFont="0">
      <protection locked="0"/>
    </xf>
    <xf numFmtId="179" fontId="46" fillId="0" borderId="0" applyFill="0" applyProtection="0">
      <protection locked="0"/>
    </xf>
    <xf numFmtId="176" fontId="56" fillId="11" borderId="0" applyNumberFormat="0" applyAlignment="0">
      <alignment horizontal="left" vertical="top"/>
    </xf>
    <xf numFmtId="40" fontId="25" fillId="0" borderId="0"/>
    <xf numFmtId="176" fontId="59" fillId="0" borderId="26" applyNumberFormat="0" applyFill="0" applyProtection="0">
      <alignment horizontal="center"/>
    </xf>
    <xf numFmtId="179" fontId="50" fillId="0" borderId="0"/>
    <xf numFmtId="193" fontId="46" fillId="0" borderId="0" applyFill="0">
      <alignment horizontal="center"/>
    </xf>
    <xf numFmtId="179" fontId="46" fillId="0" borderId="0" applyFont="0">
      <alignment horizontal="center"/>
      <protection locked="0"/>
    </xf>
    <xf numFmtId="188" fontId="51" fillId="0" borderId="1">
      <alignment horizontal="center" vertical="center"/>
    </xf>
    <xf numFmtId="184" fontId="15" fillId="0" borderId="0" applyFont="0" applyFill="0" applyBorder="0" applyAlignment="0" applyProtection="0"/>
    <xf numFmtId="40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99" fontId="61" fillId="0" borderId="0"/>
    <xf numFmtId="173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99" fontId="11" fillId="0" borderId="0"/>
    <xf numFmtId="199" fontId="27" fillId="0" borderId="0"/>
    <xf numFmtId="199" fontId="27" fillId="0" borderId="0"/>
    <xf numFmtId="199" fontId="10" fillId="0" borderId="0"/>
    <xf numFmtId="199" fontId="9" fillId="0" borderId="0"/>
    <xf numFmtId="9" fontId="9" fillId="0" borderId="0" applyFont="0" applyFill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66" fontId="15" fillId="0" borderId="0" applyFont="0" applyFill="0" applyBorder="0" applyAlignment="0" applyProtection="0"/>
    <xf numFmtId="199" fontId="15" fillId="0" borderId="0" applyFill="0" applyBorder="0" applyAlignment="0" applyProtection="0"/>
    <xf numFmtId="169" fontId="15" fillId="0" borderId="0" applyFill="0" applyBorder="0" applyAlignment="0" applyProtection="0"/>
    <xf numFmtId="199" fontId="9" fillId="0" borderId="0" applyProtection="0">
      <alignment horizontal="center" vertical="center"/>
    </xf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8" fontId="9" fillId="2" borderId="0">
      <alignment horizontal="left" vertical="center" indent="1"/>
    </xf>
    <xf numFmtId="199" fontId="82" fillId="24" borderId="0" applyNumberFormat="0" applyBorder="0" applyAlignment="0" applyProtection="0"/>
    <xf numFmtId="199" fontId="68" fillId="12" borderId="0" applyNumberFormat="0" applyBorder="0" applyAlignment="0" applyProtection="0"/>
    <xf numFmtId="199" fontId="82" fillId="24" borderId="0" applyNumberFormat="0" applyBorder="0" applyAlignment="0" applyProtection="0"/>
    <xf numFmtId="199" fontId="82" fillId="24" borderId="0" applyNumberFormat="0" applyBorder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6" fillId="0" borderId="0" applyNumberFormat="0" applyFill="0" applyBorder="0" applyAlignment="0" applyProtection="0">
      <alignment vertical="top"/>
      <protection locked="0"/>
    </xf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90" fillId="0" borderId="0"/>
    <xf numFmtId="199" fontId="9" fillId="0" borderId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64" fontId="9" fillId="0" borderId="0" applyProtection="0">
      <alignment horizontal="right" vertical="center" indent="1"/>
    </xf>
    <xf numFmtId="199" fontId="9" fillId="0" borderId="0" applyProtection="0">
      <alignment horizontal="left" vertical="center" wrapText="1" indent="1"/>
    </xf>
    <xf numFmtId="199" fontId="9" fillId="0" borderId="0" applyProtection="0">
      <alignment horizontal="right" vertical="center" indent="1"/>
    </xf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66" fontId="100" fillId="0" borderId="0" applyFont="0" applyFill="0" applyBorder="0" applyAlignment="0" applyProtection="0"/>
    <xf numFmtId="199" fontId="8" fillId="0" borderId="0"/>
    <xf numFmtId="199" fontId="8" fillId="0" borderId="0"/>
    <xf numFmtId="199" fontId="102" fillId="0" borderId="0" applyNumberFormat="0" applyFill="0" applyBorder="0" applyAlignment="0" applyProtection="0"/>
    <xf numFmtId="199" fontId="24" fillId="0" borderId="0"/>
    <xf numFmtId="199" fontId="8" fillId="0" borderId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99" fontId="15" fillId="0" borderId="0">
      <alignment vertical="center"/>
    </xf>
    <xf numFmtId="199" fontId="103" fillId="0" borderId="0"/>
    <xf numFmtId="19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99" fontId="15" fillId="0" borderId="0"/>
    <xf numFmtId="199" fontId="8" fillId="0" borderId="0"/>
    <xf numFmtId="43" fontId="8" fillId="0" borderId="0" applyFont="0" applyFill="0" applyBorder="0" applyAlignment="0" applyProtection="0"/>
    <xf numFmtId="199" fontId="26" fillId="0" borderId="0"/>
    <xf numFmtId="199" fontId="24" fillId="0" borderId="0"/>
    <xf numFmtId="199" fontId="24" fillId="0" borderId="0"/>
    <xf numFmtId="199" fontId="8" fillId="0" borderId="0"/>
    <xf numFmtId="199" fontId="104" fillId="0" borderId="0"/>
    <xf numFmtId="199" fontId="86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99" fontId="15" fillId="0" borderId="0"/>
    <xf numFmtId="43" fontId="15" fillId="0" borderId="0" applyFont="0" applyFill="0" applyBorder="0" applyAlignment="0" applyProtection="0"/>
    <xf numFmtId="199" fontId="8" fillId="0" borderId="0"/>
    <xf numFmtId="19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199" fontId="8" fillId="0" borderId="0"/>
    <xf numFmtId="199" fontId="15" fillId="0" borderId="0">
      <alignment vertical="center"/>
    </xf>
    <xf numFmtId="199" fontId="15" fillId="0" borderId="0"/>
    <xf numFmtId="9" fontId="15" fillId="0" borderId="0" applyFont="0" applyFill="0" applyBorder="0" applyAlignment="0" applyProtection="0"/>
    <xf numFmtId="199" fontId="8" fillId="0" borderId="0"/>
    <xf numFmtId="43" fontId="24" fillId="0" borderId="0" applyFont="0" applyFill="0" applyBorder="0" applyAlignment="0" applyProtection="0"/>
    <xf numFmtId="0" fontId="6" fillId="0" borderId="0"/>
    <xf numFmtId="9" fontId="107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7" fillId="0" borderId="0"/>
    <xf numFmtId="0" fontId="2" fillId="0" borderId="0"/>
  </cellStyleXfs>
  <cellXfs count="556">
    <xf numFmtId="199" fontId="0" fillId="0" borderId="0" xfId="0"/>
    <xf numFmtId="199" fontId="17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9" fillId="4" borderId="10" xfId="4" applyNumberFormat="1" applyFont="1" applyFill="1" applyBorder="1" applyAlignment="1">
      <alignment horizontal="center" vertical="center"/>
    </xf>
    <xf numFmtId="199" fontId="19" fillId="4" borderId="10" xfId="0" applyFont="1" applyFill="1" applyBorder="1" applyAlignment="1">
      <alignment horizontal="center" vertical="center"/>
    </xf>
    <xf numFmtId="166" fontId="19" fillId="2" borderId="18" xfId="4" applyNumberFormat="1" applyFont="1" applyFill="1" applyBorder="1" applyAlignment="1">
      <alignment vertical="center"/>
    </xf>
    <xf numFmtId="166" fontId="20" fillId="2" borderId="18" xfId="4" applyNumberFormat="1" applyFont="1" applyFill="1" applyBorder="1" applyAlignment="1">
      <alignment vertical="center"/>
    </xf>
    <xf numFmtId="166" fontId="20" fillId="2" borderId="9" xfId="4" applyNumberFormat="1" applyFont="1" applyFill="1" applyBorder="1" applyAlignment="1">
      <alignment horizontal="center" vertical="center"/>
    </xf>
    <xf numFmtId="168" fontId="20" fillId="4" borderId="1" xfId="4" applyNumberFormat="1" applyFont="1" applyFill="1" applyBorder="1" applyAlignment="1">
      <alignment horizontal="center" vertical="center"/>
    </xf>
    <xf numFmtId="166" fontId="20" fillId="4" borderId="1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vertical="center"/>
    </xf>
    <xf numFmtId="166" fontId="20" fillId="2" borderId="14" xfId="4" applyNumberFormat="1" applyFont="1" applyFill="1" applyBorder="1" applyAlignment="1">
      <alignment horizontal="center" vertical="center"/>
    </xf>
    <xf numFmtId="199" fontId="20" fillId="2" borderId="3" xfId="0" applyFont="1" applyFill="1" applyBorder="1" applyAlignment="1">
      <alignment vertical="center"/>
    </xf>
    <xf numFmtId="199" fontId="21" fillId="5" borderId="20" xfId="0" applyFont="1" applyFill="1" applyBorder="1" applyAlignment="1">
      <alignment horizontal="center" vertical="center"/>
    </xf>
    <xf numFmtId="199" fontId="21" fillId="5" borderId="1" xfId="0" applyFont="1" applyFill="1" applyBorder="1" applyAlignment="1">
      <alignment horizontal="center" vertical="center"/>
    </xf>
    <xf numFmtId="166" fontId="21" fillId="5" borderId="1" xfId="4" applyNumberFormat="1" applyFont="1" applyFill="1" applyBorder="1" applyAlignment="1">
      <alignment horizontal="center" vertical="center"/>
    </xf>
    <xf numFmtId="166" fontId="21" fillId="5" borderId="1" xfId="7" applyFont="1" applyFill="1" applyBorder="1" applyAlignment="1">
      <alignment horizontal="center" vertical="center"/>
    </xf>
    <xf numFmtId="166" fontId="21" fillId="5" borderId="21" xfId="7" applyFont="1" applyFill="1" applyBorder="1" applyAlignment="1">
      <alignment horizontal="center" vertical="center"/>
    </xf>
    <xf numFmtId="199" fontId="17" fillId="6" borderId="20" xfId="0" applyFont="1" applyFill="1" applyBorder="1" applyAlignment="1">
      <alignment horizontal="center" vertical="center"/>
    </xf>
    <xf numFmtId="199" fontId="17" fillId="6" borderId="1" xfId="0" applyFont="1" applyFill="1" applyBorder="1" applyAlignment="1">
      <alignment horizontal="left" vertical="center"/>
    </xf>
    <xf numFmtId="199" fontId="17" fillId="6" borderId="1" xfId="0" applyFont="1" applyFill="1" applyBorder="1" applyAlignment="1">
      <alignment horizontal="center" vertical="center"/>
    </xf>
    <xf numFmtId="199" fontId="20" fillId="2" borderId="20" xfId="0" applyFont="1" applyFill="1" applyBorder="1" applyAlignment="1">
      <alignment horizontal="center" vertical="center"/>
    </xf>
    <xf numFmtId="199" fontId="17" fillId="2" borderId="1" xfId="0" applyFont="1" applyFill="1" applyBorder="1" applyAlignment="1">
      <alignment horizontal="left" vertical="center"/>
    </xf>
    <xf numFmtId="199" fontId="20" fillId="2" borderId="1" xfId="0" applyFont="1" applyFill="1" applyBorder="1" applyAlignment="1">
      <alignment horizontal="center" vertical="center"/>
    </xf>
    <xf numFmtId="199" fontId="20" fillId="2" borderId="7" xfId="0" applyFont="1" applyFill="1" applyBorder="1" applyAlignment="1">
      <alignment horizontal="center" vertical="center"/>
    </xf>
    <xf numFmtId="168" fontId="20" fillId="2" borderId="7" xfId="4" applyNumberFormat="1" applyFont="1" applyFill="1" applyBorder="1" applyAlignment="1">
      <alignment horizontal="center" vertical="center"/>
    </xf>
    <xf numFmtId="166" fontId="20" fillId="2" borderId="1" xfId="4" applyNumberFormat="1" applyFont="1" applyFill="1" applyBorder="1" applyAlignment="1">
      <alignment horizontal="center" vertical="center"/>
    </xf>
    <xf numFmtId="1" fontId="18" fillId="3" borderId="21" xfId="0" applyNumberFormat="1" applyFont="1" applyFill="1" applyBorder="1" applyAlignment="1">
      <alignment horizontal="center" vertical="center"/>
    </xf>
    <xf numFmtId="9" fontId="22" fillId="4" borderId="1" xfId="0" applyNumberFormat="1" applyFont="1" applyFill="1" applyBorder="1" applyAlignment="1">
      <alignment vertical="center"/>
    </xf>
    <xf numFmtId="199" fontId="22" fillId="4" borderId="23" xfId="0" applyFont="1" applyFill="1" applyBorder="1" applyAlignment="1">
      <alignment vertical="center"/>
    </xf>
    <xf numFmtId="199" fontId="22" fillId="4" borderId="24" xfId="0" applyFont="1" applyFill="1" applyBorder="1" applyAlignment="1">
      <alignment vertical="center"/>
    </xf>
    <xf numFmtId="1" fontId="18" fillId="7" borderId="12" xfId="0" applyNumberFormat="1" applyFont="1" applyFill="1" applyBorder="1" applyAlignment="1">
      <alignment horizontal="center" vertical="center"/>
    </xf>
    <xf numFmtId="1" fontId="18" fillId="6" borderId="21" xfId="0" applyNumberFormat="1" applyFont="1" applyFill="1" applyBorder="1" applyAlignment="1">
      <alignment horizontal="right" vertical="center"/>
    </xf>
    <xf numFmtId="1" fontId="18" fillId="2" borderId="21" xfId="0" applyNumberFormat="1" applyFont="1" applyFill="1" applyBorder="1" applyAlignment="1">
      <alignment horizontal="right" vertical="center"/>
    </xf>
    <xf numFmtId="167" fontId="17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7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7" fillId="8" borderId="1" xfId="0" applyFont="1" applyFill="1" applyBorder="1" applyAlignment="1">
      <alignment horizontal="left" vertical="center"/>
    </xf>
    <xf numFmtId="199" fontId="17" fillId="8" borderId="1" xfId="0" applyFont="1" applyFill="1" applyBorder="1" applyAlignment="1">
      <alignment horizontal="center" vertical="center"/>
    </xf>
    <xf numFmtId="1" fontId="18" fillId="8" borderId="21" xfId="0" applyNumberFormat="1" applyFont="1" applyFill="1" applyBorder="1" applyAlignment="1">
      <alignment horizontal="right" vertical="center"/>
    </xf>
    <xf numFmtId="199" fontId="20" fillId="2" borderId="1" xfId="0" applyFont="1" applyFill="1" applyBorder="1" applyAlignment="1">
      <alignment horizontal="center" vertical="center" wrapText="1"/>
    </xf>
    <xf numFmtId="2" fontId="17" fillId="6" borderId="1" xfId="0" applyNumberFormat="1" applyFont="1" applyFill="1" applyBorder="1" applyAlignment="1">
      <alignment horizontal="right" vertical="center"/>
    </xf>
    <xf numFmtId="199" fontId="27" fillId="0" borderId="0" xfId="130"/>
    <xf numFmtId="199" fontId="62" fillId="9" borderId="0" xfId="129" applyFont="1" applyFill="1" applyBorder="1" applyProtection="1"/>
    <xf numFmtId="199" fontId="70" fillId="2" borderId="0" xfId="132" applyFont="1" applyFill="1"/>
    <xf numFmtId="199" fontId="70" fillId="2" borderId="0" xfId="132" applyFont="1" applyFill="1" applyAlignment="1">
      <alignment horizontal="center"/>
    </xf>
    <xf numFmtId="10" fontId="71" fillId="14" borderId="11" xfId="132" applyNumberFormat="1" applyFont="1" applyFill="1" applyBorder="1" applyAlignment="1">
      <alignment horizontal="center"/>
    </xf>
    <xf numFmtId="9" fontId="71" fillId="14" borderId="11" xfId="132" applyNumberFormat="1" applyFont="1" applyFill="1" applyBorder="1" applyAlignment="1">
      <alignment horizontal="center"/>
    </xf>
    <xf numFmtId="195" fontId="71" fillId="14" borderId="11" xfId="132" applyNumberFormat="1" applyFont="1" applyFill="1" applyBorder="1" applyAlignment="1">
      <alignment horizontal="center"/>
    </xf>
    <xf numFmtId="199" fontId="71" fillId="2" borderId="47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 wrapText="1"/>
    </xf>
    <xf numFmtId="199" fontId="71" fillId="2" borderId="48" xfId="132" applyFont="1" applyFill="1" applyBorder="1" applyAlignment="1">
      <alignment horizontal="left" vertical="center"/>
    </xf>
    <xf numFmtId="10" fontId="71" fillId="2" borderId="48" xfId="132" applyNumberFormat="1" applyFont="1" applyFill="1" applyBorder="1" applyAlignment="1">
      <alignment horizontal="center"/>
    </xf>
    <xf numFmtId="9" fontId="71" fillId="2" borderId="48" xfId="132" applyNumberFormat="1" applyFont="1" applyFill="1" applyBorder="1" applyAlignment="1">
      <alignment horizontal="center"/>
    </xf>
    <xf numFmtId="9" fontId="71" fillId="2" borderId="48" xfId="133" applyFont="1" applyFill="1" applyBorder="1" applyAlignment="1">
      <alignment horizontal="center"/>
    </xf>
    <xf numFmtId="199" fontId="72" fillId="2" borderId="48" xfId="132" applyFont="1" applyFill="1" applyBorder="1" applyAlignment="1">
      <alignment horizontal="center" vertical="center"/>
    </xf>
    <xf numFmtId="199" fontId="71" fillId="16" borderId="45" xfId="132" applyFont="1" applyFill="1" applyBorder="1" applyAlignment="1">
      <alignment horizontal="center" vertical="center"/>
    </xf>
    <xf numFmtId="199" fontId="71" fillId="16" borderId="44" xfId="132" applyFont="1" applyFill="1" applyBorder="1" applyAlignment="1">
      <alignment horizontal="center" vertical="center"/>
    </xf>
    <xf numFmtId="199" fontId="71" fillId="2" borderId="49" xfId="132" applyFont="1" applyFill="1" applyBorder="1" applyAlignment="1">
      <alignment horizontal="center" vertical="center" wrapText="1"/>
    </xf>
    <xf numFmtId="199" fontId="71" fillId="2" borderId="13" xfId="132" applyFont="1" applyFill="1" applyBorder="1" applyAlignment="1">
      <alignment horizontal="center" vertical="center" wrapText="1"/>
    </xf>
    <xf numFmtId="199" fontId="71" fillId="2" borderId="14" xfId="132" applyFont="1" applyFill="1" applyBorder="1" applyAlignment="1">
      <alignment horizontal="center" vertical="center" wrapText="1"/>
    </xf>
    <xf numFmtId="199" fontId="70" fillId="2" borderId="50" xfId="132" applyFont="1" applyFill="1" applyBorder="1"/>
    <xf numFmtId="196" fontId="15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6" fontId="15" fillId="20" borderId="53" xfId="12" applyNumberFormat="1" applyFont="1" applyFill="1" applyBorder="1" applyAlignment="1">
      <alignment horizontal="center" vertical="center" wrapText="1"/>
    </xf>
    <xf numFmtId="194" fontId="74" fillId="15" borderId="54" xfId="132" applyNumberFormat="1" applyFont="1" applyFill="1" applyBorder="1" applyAlignment="1">
      <alignment horizontal="center"/>
    </xf>
    <xf numFmtId="2" fontId="73" fillId="15" borderId="54" xfId="132" applyNumberFormat="1" applyFont="1" applyFill="1" applyBorder="1" applyAlignment="1">
      <alignment horizontal="center"/>
    </xf>
    <xf numFmtId="197" fontId="15" fillId="20" borderId="53" xfId="12" applyNumberFormat="1" applyFont="1" applyFill="1" applyBorder="1" applyAlignment="1">
      <alignment horizontal="left" vertical="center" wrapText="1"/>
    </xf>
    <xf numFmtId="2" fontId="75" fillId="15" borderId="54" xfId="132" applyNumberFormat="1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99" fontId="75" fillId="15" borderId="54" xfId="132" applyFont="1" applyFill="1" applyBorder="1" applyAlignment="1">
      <alignment horizontal="center"/>
    </xf>
    <xf numFmtId="1" fontId="75" fillId="15" borderId="54" xfId="132" applyNumberFormat="1" applyFont="1" applyFill="1" applyBorder="1" applyAlignment="1">
      <alignment horizontal="center"/>
    </xf>
    <xf numFmtId="2" fontId="73" fillId="15" borderId="55" xfId="132" applyNumberFormat="1" applyFont="1" applyFill="1" applyBorder="1" applyAlignment="1">
      <alignment horizontal="center"/>
    </xf>
    <xf numFmtId="195" fontId="70" fillId="15" borderId="0" xfId="133" applyNumberFormat="1" applyFont="1" applyFill="1" applyAlignment="1">
      <alignment horizontal="center" vertical="center"/>
    </xf>
    <xf numFmtId="2" fontId="72" fillId="15" borderId="35" xfId="132" applyNumberFormat="1" applyFont="1" applyFill="1" applyBorder="1" applyAlignment="1">
      <alignment horizontal="center"/>
    </xf>
    <xf numFmtId="2" fontId="74" fillId="15" borderId="56" xfId="132" applyNumberFormat="1" applyFont="1" applyFill="1" applyBorder="1" applyAlignment="1">
      <alignment horizontal="center"/>
    </xf>
    <xf numFmtId="199" fontId="70" fillId="15" borderId="0" xfId="132" applyFont="1" applyFill="1" applyAlignment="1">
      <alignment horizontal="center"/>
    </xf>
    <xf numFmtId="2" fontId="70" fillId="15" borderId="42" xfId="132" applyNumberFormat="1" applyFont="1" applyFill="1" applyBorder="1" applyAlignment="1">
      <alignment horizontal="center"/>
    </xf>
    <xf numFmtId="2" fontId="70" fillId="2" borderId="0" xfId="132" applyNumberFormat="1" applyFont="1" applyFill="1"/>
    <xf numFmtId="199" fontId="70" fillId="2" borderId="0" xfId="132" applyFont="1" applyFill="1" applyBorder="1"/>
    <xf numFmtId="194" fontId="70" fillId="2" borderId="0" xfId="132" applyNumberFormat="1" applyFont="1" applyFill="1"/>
    <xf numFmtId="2" fontId="71" fillId="7" borderId="61" xfId="132" applyNumberFormat="1" applyFont="1" applyFill="1" applyBorder="1" applyAlignment="1">
      <alignment horizontal="center" vertical="center"/>
    </xf>
    <xf numFmtId="2" fontId="71" fillId="14" borderId="61" xfId="132" applyNumberFormat="1" applyFont="1" applyFill="1" applyBorder="1" applyAlignment="1">
      <alignment horizontal="center" vertical="center"/>
    </xf>
    <xf numFmtId="194" fontId="71" fillId="7" borderId="61" xfId="132" applyNumberFormat="1" applyFont="1" applyFill="1" applyBorder="1" applyAlignment="1">
      <alignment horizontal="center" vertical="center"/>
    </xf>
    <xf numFmtId="199" fontId="70" fillId="14" borderId="61" xfId="132" applyFont="1" applyFill="1" applyBorder="1" applyAlignment="1">
      <alignment horizontal="center"/>
    </xf>
    <xf numFmtId="2" fontId="70" fillId="14" borderId="63" xfId="132" applyNumberFormat="1" applyFont="1" applyFill="1" applyBorder="1" applyAlignment="1">
      <alignment horizontal="center"/>
    </xf>
    <xf numFmtId="195" fontId="70" fillId="2" borderId="0" xfId="132" applyNumberFormat="1" applyFont="1" applyFill="1" applyAlignment="1">
      <alignment horizontal="center"/>
    </xf>
    <xf numFmtId="199" fontId="96" fillId="2" borderId="0" xfId="132" applyFont="1" applyFill="1" applyAlignment="1">
      <alignment vertical="center"/>
    </xf>
    <xf numFmtId="199" fontId="96" fillId="2" borderId="0" xfId="132" applyFont="1" applyFill="1" applyAlignment="1">
      <alignment horizontal="left" vertical="center"/>
    </xf>
    <xf numFmtId="2" fontId="96" fillId="2" borderId="0" xfId="132" applyNumberFormat="1" applyFont="1" applyFill="1" applyAlignment="1">
      <alignment horizontal="left" vertical="center"/>
    </xf>
    <xf numFmtId="1" fontId="96" fillId="2" borderId="0" xfId="132" applyNumberFormat="1" applyFont="1" applyFill="1" applyAlignment="1">
      <alignment vertical="center"/>
    </xf>
    <xf numFmtId="199" fontId="96" fillId="2" borderId="0" xfId="132" applyFont="1" applyFill="1" applyAlignment="1">
      <alignment horizontal="center" vertical="center"/>
    </xf>
    <xf numFmtId="199" fontId="96" fillId="0" borderId="0" xfId="132" applyFont="1" applyAlignment="1">
      <alignment vertical="center"/>
    </xf>
    <xf numFmtId="199" fontId="96" fillId="0" borderId="0" xfId="132" applyFont="1" applyAlignment="1">
      <alignment horizontal="center" vertical="center"/>
    </xf>
    <xf numFmtId="2" fontId="74" fillId="15" borderId="85" xfId="132" applyNumberFormat="1" applyFont="1" applyFill="1" applyBorder="1" applyAlignment="1">
      <alignment horizontal="center"/>
    </xf>
    <xf numFmtId="3" fontId="76" fillId="45" borderId="54" xfId="132" applyNumberFormat="1" applyFont="1" applyFill="1" applyBorder="1" applyAlignment="1">
      <alignment horizontal="center"/>
    </xf>
    <xf numFmtId="199" fontId="66" fillId="0" borderId="86" xfId="129" applyFont="1" applyFill="1" applyBorder="1" applyAlignment="1" applyProtection="1">
      <alignment horizontal="center" vertical="center"/>
    </xf>
    <xf numFmtId="1" fontId="67" fillId="0" borderId="86" xfId="36" applyNumberFormat="1" applyFont="1" applyFill="1" applyBorder="1" applyAlignment="1">
      <alignment horizontal="center" vertical="center"/>
    </xf>
    <xf numFmtId="199" fontId="27" fillId="0" borderId="0" xfId="130" applyBorder="1"/>
    <xf numFmtId="199" fontId="8" fillId="0" borderId="86" xfId="270" applyBorder="1" applyAlignment="1">
      <alignment horizontal="center" vertical="center"/>
    </xf>
    <xf numFmtId="9" fontId="8" fillId="0" borderId="86" xfId="270" applyNumberFormat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2" fontId="8" fillId="16" borderId="86" xfId="270" applyNumberFormat="1" applyFill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2" fontId="8" fillId="47" borderId="86" xfId="270" applyNumberFormat="1" applyFill="1" applyBorder="1" applyAlignment="1">
      <alignment horizontal="center" vertical="center"/>
    </xf>
    <xf numFmtId="199" fontId="8" fillId="47" borderId="86" xfId="270" applyFill="1" applyBorder="1" applyAlignment="1">
      <alignment horizontal="center" vertical="center"/>
    </xf>
    <xf numFmtId="1" fontId="62" fillId="9" borderId="0" xfId="129" applyNumberFormat="1" applyFont="1" applyFill="1" applyBorder="1" applyProtection="1"/>
    <xf numFmtId="1" fontId="62" fillId="0" borderId="89" xfId="129" applyNumberFormat="1" applyFont="1" applyFill="1" applyBorder="1" applyAlignment="1" applyProtection="1">
      <alignment horizontal="center" vertical="center"/>
    </xf>
    <xf numFmtId="1" fontId="27" fillId="0" borderId="0" xfId="130" applyNumberFormat="1"/>
    <xf numFmtId="1" fontId="66" fillId="0" borderId="86" xfId="129" applyNumberFormat="1" applyFont="1" applyFill="1" applyBorder="1" applyAlignment="1" applyProtection="1">
      <alignment horizontal="center" vertical="center"/>
    </xf>
    <xf numFmtId="1" fontId="67" fillId="0" borderId="86" xfId="129" applyNumberFormat="1" applyFont="1" applyFill="1" applyBorder="1" applyAlignment="1">
      <alignment horizontal="center" vertical="center" wrapText="1"/>
    </xf>
    <xf numFmtId="1" fontId="66" fillId="0" borderId="5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/>
    </xf>
    <xf numFmtId="1" fontId="67" fillId="0" borderId="5" xfId="129" applyNumberFormat="1" applyFont="1" applyFill="1" applyBorder="1" applyAlignment="1">
      <alignment horizontal="center" vertical="center" wrapText="1"/>
    </xf>
    <xf numFmtId="1" fontId="66" fillId="0" borderId="86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 wrapText="1"/>
    </xf>
    <xf numFmtId="1" fontId="96" fillId="0" borderId="0" xfId="132" applyNumberFormat="1" applyFont="1" applyAlignment="1">
      <alignment vertical="center"/>
    </xf>
    <xf numFmtId="2" fontId="67" fillId="0" borderId="91" xfId="36" applyNumberFormat="1" applyFont="1" applyFill="1" applyBorder="1" applyAlignment="1">
      <alignment horizontal="center" vertical="center" wrapText="1"/>
    </xf>
    <xf numFmtId="199" fontId="8" fillId="0" borderId="86" xfId="270" applyBorder="1" applyAlignment="1">
      <alignment horizontal="center" vertical="center"/>
    </xf>
    <xf numFmtId="199" fontId="66" fillId="0" borderId="5" xfId="129" applyFont="1" applyFill="1" applyBorder="1" applyAlignment="1" applyProtection="1">
      <alignment horizontal="center" vertical="center" wrapText="1"/>
    </xf>
    <xf numFmtId="199" fontId="7" fillId="0" borderId="86" xfId="270" applyFont="1" applyBorder="1" applyAlignment="1">
      <alignment horizontal="center" vertical="center"/>
    </xf>
    <xf numFmtId="1" fontId="71" fillId="16" borderId="43" xfId="132" applyNumberFormat="1" applyFont="1" applyFill="1" applyBorder="1" applyAlignment="1">
      <alignment horizontal="center" vertical="center"/>
    </xf>
    <xf numFmtId="3" fontId="76" fillId="0" borderId="54" xfId="132" applyNumberFormat="1" applyFont="1" applyFill="1" applyBorder="1" applyAlignment="1">
      <alignment horizontal="center"/>
    </xf>
    <xf numFmtId="1" fontId="73" fillId="15" borderId="51" xfId="132" applyNumberFormat="1" applyFont="1" applyFill="1" applyBorder="1" applyAlignment="1">
      <alignment horizontal="center"/>
    </xf>
    <xf numFmtId="1" fontId="74" fillId="15" borderId="52" xfId="132" applyNumberFormat="1" applyFont="1" applyFill="1" applyBorder="1" applyAlignment="1">
      <alignment horizontal="center" vertical="center" wrapText="1"/>
    </xf>
    <xf numFmtId="1" fontId="40" fillId="8" borderId="53" xfId="12" applyNumberFormat="1" applyFont="1" applyFill="1" applyBorder="1" applyAlignment="1">
      <alignment horizontal="center" vertical="center" wrapText="1"/>
    </xf>
    <xf numFmtId="1" fontId="74" fillId="15" borderId="52" xfId="132" applyNumberFormat="1" applyFont="1" applyFill="1" applyBorder="1" applyAlignment="1">
      <alignment horizontal="center" vertical="center"/>
    </xf>
    <xf numFmtId="199" fontId="101" fillId="9" borderId="86" xfId="129" applyFont="1" applyFill="1" applyBorder="1" applyAlignment="1" applyProtection="1"/>
    <xf numFmtId="199" fontId="101" fillId="9" borderId="86" xfId="129" applyFont="1" applyFill="1" applyBorder="1" applyAlignment="1" applyProtection="1">
      <alignment wrapText="1"/>
    </xf>
    <xf numFmtId="0" fontId="101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2" fontId="96" fillId="4" borderId="0" xfId="132" applyNumberFormat="1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199" fontId="97" fillId="4" borderId="0" xfId="132" applyFont="1" applyFill="1" applyAlignment="1">
      <alignment vertical="center"/>
    </xf>
    <xf numFmtId="0" fontId="6" fillId="0" borderId="0" xfId="307"/>
    <xf numFmtId="0" fontId="6" fillId="0" borderId="86" xfId="307" applyBorder="1" applyAlignment="1">
      <alignment horizontal="center" vertical="center" wrapText="1"/>
    </xf>
    <xf numFmtId="2" fontId="6" fillId="0" borderId="0" xfId="307" applyNumberFormat="1"/>
    <xf numFmtId="199" fontId="71" fillId="14" borderId="1" xfId="132" applyFont="1" applyFill="1" applyBorder="1" applyAlignment="1">
      <alignment horizontal="center" vertical="center"/>
    </xf>
    <xf numFmtId="199" fontId="71" fillId="14" borderId="1" xfId="132" applyFont="1" applyFill="1" applyBorder="1" applyAlignment="1">
      <alignment horizontal="center" vertical="center" wrapText="1"/>
    </xf>
    <xf numFmtId="199" fontId="71" fillId="16" borderId="43" xfId="132" applyFont="1" applyFill="1" applyBorder="1" applyAlignment="1">
      <alignment horizontal="center" vertical="center"/>
    </xf>
    <xf numFmtId="199" fontId="72" fillId="14" borderId="17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66" fillId="0" borderId="34" xfId="129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62" fillId="0" borderId="0" xfId="130" applyFont="1"/>
    <xf numFmtId="1" fontId="27" fillId="0" borderId="0" xfId="130" applyNumberFormat="1" applyAlignment="1">
      <alignment wrapText="1"/>
    </xf>
    <xf numFmtId="199" fontId="62" fillId="9" borderId="0" xfId="129" applyFont="1" applyFill="1" applyBorder="1" applyAlignment="1" applyProtection="1">
      <alignment wrapText="1"/>
    </xf>
    <xf numFmtId="199" fontId="27" fillId="0" borderId="0" xfId="130" applyAlignment="1">
      <alignment wrapText="1"/>
    </xf>
    <xf numFmtId="195" fontId="71" fillId="14" borderId="11" xfId="133" applyNumberFormat="1" applyFont="1" applyFill="1" applyBorder="1" applyAlignment="1">
      <alignment horizontal="center"/>
    </xf>
    <xf numFmtId="199" fontId="71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6" fillId="0" borderId="86" xfId="129" applyNumberFormat="1" applyFont="1" applyFill="1" applyBorder="1" applyAlignment="1" applyProtection="1">
      <alignment vertical="center" wrapText="1"/>
    </xf>
    <xf numFmtId="0" fontId="64" fillId="8" borderId="86" xfId="129" applyNumberFormat="1" applyFont="1" applyFill="1" applyBorder="1" applyAlignment="1" applyProtection="1">
      <alignment horizontal="left"/>
    </xf>
    <xf numFmtId="0" fontId="64" fillId="9" borderId="86" xfId="129" applyNumberFormat="1" applyFont="1" applyFill="1" applyBorder="1" applyAlignment="1" applyProtection="1"/>
    <xf numFmtId="0" fontId="65" fillId="9" borderId="86" xfId="129" applyNumberFormat="1" applyFont="1" applyFill="1" applyBorder="1" applyAlignment="1" applyProtection="1"/>
    <xf numFmtId="0" fontId="64" fillId="8" borderId="87" xfId="129" applyNumberFormat="1" applyFont="1" applyFill="1" applyBorder="1" applyAlignment="1" applyProtection="1"/>
    <xf numFmtId="14" fontId="64" fillId="8" borderId="87" xfId="129" applyNumberFormat="1" applyFont="1" applyFill="1" applyBorder="1" applyAlignment="1" applyProtection="1"/>
    <xf numFmtId="0" fontId="62" fillId="8" borderId="88" xfId="129" applyNumberFormat="1" applyFont="1" applyFill="1" applyBorder="1" applyAlignment="1" applyProtection="1"/>
    <xf numFmtId="1" fontId="27" fillId="0" borderId="0" xfId="130" applyNumberFormat="1" applyAlignment="1">
      <alignment horizontal="center" vertical="center"/>
    </xf>
    <xf numFmtId="1" fontId="93" fillId="0" borderId="86" xfId="130" applyNumberFormat="1" applyFont="1" applyBorder="1" applyAlignment="1">
      <alignment horizontal="center" vertical="center" wrapText="1"/>
    </xf>
    <xf numFmtId="1" fontId="93" fillId="0" borderId="86" xfId="130" applyNumberFormat="1" applyFont="1" applyBorder="1" applyAlignment="1">
      <alignment horizontal="center" vertical="center"/>
    </xf>
    <xf numFmtId="1" fontId="27" fillId="0" borderId="86" xfId="130" applyNumberFormat="1" applyBorder="1" applyAlignment="1">
      <alignment horizontal="center" vertical="center"/>
    </xf>
    <xf numFmtId="1" fontId="27" fillId="49" borderId="86" xfId="130" applyNumberFormat="1" applyFill="1" applyBorder="1" applyAlignment="1">
      <alignment horizontal="center" vertical="center"/>
    </xf>
    <xf numFmtId="1" fontId="27" fillId="50" borderId="86" xfId="130" applyNumberFormat="1" applyFill="1" applyBorder="1" applyAlignment="1">
      <alignment horizontal="center" vertical="center"/>
    </xf>
    <xf numFmtId="199" fontId="70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9" fontId="116" fillId="2" borderId="47" xfId="132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center" vertical="center"/>
    </xf>
    <xf numFmtId="1" fontId="116" fillId="2" borderId="48" xfId="132" applyNumberFormat="1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left" vertical="center"/>
    </xf>
    <xf numFmtId="199" fontId="116" fillId="2" borderId="92" xfId="132" applyFont="1" applyFill="1" applyBorder="1" applyAlignment="1">
      <alignment horizontal="left" vertical="center"/>
    </xf>
    <xf numFmtId="1" fontId="27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200" fontId="108" fillId="2" borderId="63" xfId="269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4" fontId="115" fillId="48" borderId="120" xfId="9" applyNumberFormat="1" applyFont="1" applyFill="1" applyBorder="1" applyAlignment="1">
      <alignment horizontal="center" vertical="center" wrapText="1"/>
    </xf>
    <xf numFmtId="199" fontId="67" fillId="51" borderId="129" xfId="0" applyFont="1" applyFill="1" applyBorder="1" applyAlignment="1">
      <alignment horizontal="center" vertical="center"/>
    </xf>
    <xf numFmtId="199" fontId="15" fillId="51" borderId="129" xfId="0" applyFont="1" applyFill="1" applyBorder="1"/>
    <xf numFmtId="199" fontId="0" fillId="51" borderId="129" xfId="0" applyFill="1" applyBorder="1"/>
    <xf numFmtId="199" fontId="15" fillId="51" borderId="129" xfId="0" applyFont="1" applyFill="1" applyBorder="1" applyAlignment="1">
      <alignment wrapText="1"/>
    </xf>
    <xf numFmtId="199" fontId="67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7" fillId="14" borderId="133" xfId="0" applyFont="1" applyFill="1" applyBorder="1" applyAlignment="1">
      <alignment horizontal="center" vertical="center"/>
    </xf>
    <xf numFmtId="202" fontId="67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7" fillId="52" borderId="131" xfId="0" applyNumberFormat="1" applyFont="1" applyFill="1" applyBorder="1" applyAlignment="1">
      <alignment horizontal="center" vertical="center"/>
    </xf>
    <xf numFmtId="202" fontId="67" fillId="52" borderId="132" xfId="0" applyNumberFormat="1" applyFont="1" applyFill="1" applyBorder="1" applyAlignment="1">
      <alignment horizontal="center" vertical="center"/>
    </xf>
    <xf numFmtId="203" fontId="67" fillId="52" borderId="133" xfId="0" applyNumberFormat="1" applyFont="1" applyFill="1" applyBorder="1" applyAlignment="1">
      <alignment horizontal="center" vertical="center"/>
    </xf>
    <xf numFmtId="202" fontId="67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5" fillId="0" borderId="0" xfId="0" applyNumberFormat="1" applyFont="1"/>
    <xf numFmtId="0" fontId="0" fillId="0" borderId="0" xfId="0" applyNumberFormat="1" applyAlignment="1">
      <alignment horizontal="right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8" fillId="0" borderId="32" xfId="270" applyFill="1" applyBorder="1" applyAlignment="1">
      <alignment horizontal="center" vertical="center"/>
    </xf>
    <xf numFmtId="9" fontId="8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" fontId="62" fillId="0" borderId="89" xfId="129" applyNumberFormat="1" applyFont="1" applyFill="1" applyBorder="1" applyAlignment="1" applyProtection="1">
      <alignment horizontal="center" vertical="center" wrapText="1"/>
    </xf>
    <xf numFmtId="199" fontId="4" fillId="0" borderId="86" xfId="270" applyFont="1" applyBorder="1" applyAlignment="1">
      <alignment horizontal="center" vertical="center"/>
    </xf>
    <xf numFmtId="199" fontId="15" fillId="0" borderId="0" xfId="0" applyFont="1"/>
    <xf numFmtId="199" fontId="8" fillId="0" borderId="33" xfId="270" applyFill="1" applyBorder="1" applyAlignment="1">
      <alignment horizontal="center" vertical="center"/>
    </xf>
    <xf numFmtId="0" fontId="4" fillId="0" borderId="0" xfId="307" applyFont="1"/>
    <xf numFmtId="0" fontId="4" fillId="0" borderId="1" xfId="307" applyFont="1" applyBorder="1" applyAlignment="1">
      <alignment horizontal="center" vertical="center" wrapText="1"/>
    </xf>
    <xf numFmtId="1" fontId="27" fillId="0" borderId="1" xfId="130" applyNumberFormat="1" applyBorder="1" applyAlignment="1">
      <alignment horizontal="center" vertical="center"/>
    </xf>
    <xf numFmtId="1" fontId="27" fillId="49" borderId="1" xfId="130" applyNumberFormat="1" applyFill="1" applyBorder="1" applyAlignment="1">
      <alignment horizontal="center" vertical="center"/>
    </xf>
    <xf numFmtId="1" fontId="93" fillId="0" borderId="1" xfId="130" applyNumberFormat="1" applyFont="1" applyBorder="1" applyAlignment="1">
      <alignment horizontal="center" vertical="center" wrapText="1"/>
    </xf>
    <xf numFmtId="199" fontId="15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3" fillId="0" borderId="0" xfId="309" applyFont="1" applyFill="1"/>
    <xf numFmtId="0" fontId="118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 wrapText="1"/>
    </xf>
    <xf numFmtId="0" fontId="118" fillId="0" borderId="0" xfId="309" applyFont="1" applyFill="1" applyAlignment="1">
      <alignment horizontal="center" vertical="center" wrapText="1"/>
    </xf>
    <xf numFmtId="0" fontId="3" fillId="0" borderId="0" xfId="309" applyFont="1"/>
    <xf numFmtId="9" fontId="119" fillId="4" borderId="0" xfId="309" applyNumberFormat="1" applyFont="1" applyFill="1" applyBorder="1" applyAlignment="1">
      <alignment horizontal="center" vertical="center"/>
    </xf>
    <xf numFmtId="9" fontId="119" fillId="4" borderId="0" xfId="309" applyNumberFormat="1" applyFont="1" applyFill="1" applyBorder="1" applyAlignment="1">
      <alignment horizontal="center" vertical="center" wrapText="1"/>
    </xf>
    <xf numFmtId="0" fontId="118" fillId="4" borderId="0" xfId="309" applyFont="1" applyFill="1" applyBorder="1" applyAlignment="1">
      <alignment horizontal="center" vertical="center" wrapText="1"/>
    </xf>
    <xf numFmtId="44" fontId="120" fillId="47" borderId="0" xfId="310" applyFont="1" applyFill="1"/>
    <xf numFmtId="207" fontId="120" fillId="0" borderId="0" xfId="309" applyNumberFormat="1" applyFont="1" applyFill="1" applyAlignment="1">
      <alignment horizontal="center" vertical="center"/>
    </xf>
    <xf numFmtId="44" fontId="3" fillId="0" borderId="0" xfId="309" applyNumberFormat="1" applyFont="1" applyFill="1"/>
    <xf numFmtId="0" fontId="118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20" fillId="0" borderId="0" xfId="310" applyFont="1" applyFill="1"/>
    <xf numFmtId="195" fontId="121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1" fillId="0" borderId="0" xfId="309" applyNumberFormat="1" applyFont="1" applyFill="1" applyAlignment="1">
      <alignment horizontal="center"/>
    </xf>
    <xf numFmtId="9" fontId="121" fillId="0" borderId="0" xfId="309" applyNumberFormat="1" applyFont="1" applyFill="1" applyAlignment="1">
      <alignment horizontal="center" vertical="center"/>
    </xf>
    <xf numFmtId="0" fontId="122" fillId="54" borderId="0" xfId="309" applyFont="1" applyFill="1" applyBorder="1" applyAlignment="1">
      <alignment vertical="center"/>
    </xf>
    <xf numFmtId="0" fontId="122" fillId="55" borderId="0" xfId="309" applyFont="1" applyFill="1" applyBorder="1" applyAlignment="1">
      <alignment horizontal="center" vertical="center"/>
    </xf>
    <xf numFmtId="0" fontId="122" fillId="56" borderId="0" xfId="309" applyFont="1" applyFill="1" applyBorder="1" applyAlignment="1">
      <alignment horizontal="center" vertical="center"/>
    </xf>
    <xf numFmtId="0" fontId="122" fillId="54" borderId="0" xfId="309" applyFont="1" applyFill="1" applyBorder="1" applyAlignment="1">
      <alignment horizontal="center" vertical="center"/>
    </xf>
    <xf numFmtId="0" fontId="123" fillId="0" borderId="0" xfId="311" applyFont="1"/>
    <xf numFmtId="0" fontId="124" fillId="57" borderId="0" xfId="309" applyFont="1" applyFill="1" applyBorder="1" applyAlignment="1">
      <alignment horizontal="center"/>
    </xf>
    <xf numFmtId="0" fontId="17" fillId="15" borderId="0" xfId="309" applyFont="1" applyFill="1" applyBorder="1" applyAlignment="1">
      <alignment horizontal="center"/>
    </xf>
    <xf numFmtId="0" fontId="17" fillId="4" borderId="0" xfId="309" applyFont="1" applyFill="1" applyBorder="1" applyAlignment="1">
      <alignment horizontal="center"/>
    </xf>
    <xf numFmtId="0" fontId="17" fillId="0" borderId="0" xfId="309" applyFont="1" applyBorder="1"/>
    <xf numFmtId="0" fontId="125" fillId="0" borderId="0" xfId="311" applyFont="1" applyAlignment="1">
      <alignment horizontal="left"/>
    </xf>
    <xf numFmtId="2" fontId="126" fillId="0" borderId="0" xfId="311" applyNumberFormat="1" applyFont="1" applyBorder="1" applyAlignment="1">
      <alignment horizontal="center" vertical="center" wrapText="1"/>
    </xf>
    <xf numFmtId="0" fontId="17" fillId="0" borderId="0" xfId="309" applyFont="1" applyBorder="1" applyAlignment="1">
      <alignment horizontal="center"/>
    </xf>
    <xf numFmtId="0" fontId="17" fillId="0" borderId="0" xfId="309" applyFont="1" applyBorder="1" applyAlignment="1">
      <alignment horizontal="center" vertical="center"/>
    </xf>
    <xf numFmtId="0" fontId="17" fillId="0" borderId="0" xfId="309" applyFont="1" applyBorder="1" applyAlignment="1">
      <alignment horizontal="left"/>
    </xf>
    <xf numFmtId="3" fontId="3" fillId="0" borderId="0" xfId="309" applyNumberFormat="1" applyFont="1" applyAlignment="1">
      <alignment horizontal="center" vertical="center"/>
    </xf>
    <xf numFmtId="0" fontId="17" fillId="0" borderId="0" xfId="309" applyFont="1" applyFill="1" applyBorder="1" applyAlignment="1">
      <alignment horizontal="center"/>
    </xf>
    <xf numFmtId="0" fontId="128" fillId="0" borderId="0" xfId="309" applyFont="1" applyBorder="1" applyAlignment="1">
      <alignment horizontal="center"/>
    </xf>
    <xf numFmtId="0" fontId="3" fillId="0" borderId="0" xfId="309" applyFont="1" applyFill="1" applyAlignment="1"/>
    <xf numFmtId="0" fontId="3" fillId="0" borderId="0" xfId="309" applyFont="1" applyFill="1" applyAlignment="1">
      <alignment horizontal="center"/>
    </xf>
    <xf numFmtId="0" fontId="3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7" fillId="52" borderId="141" xfId="0" applyNumberFormat="1" applyFont="1" applyFill="1" applyBorder="1" applyAlignment="1">
      <alignment horizontal="center" vertical="center"/>
    </xf>
    <xf numFmtId="202" fontId="67" fillId="52" borderId="135" xfId="0" applyNumberFormat="1" applyFont="1" applyFill="1" applyBorder="1" applyAlignment="1">
      <alignment horizontal="center" vertical="center"/>
    </xf>
    <xf numFmtId="199" fontId="67" fillId="6" borderId="129" xfId="0" applyFont="1" applyFill="1" applyBorder="1" applyAlignment="1">
      <alignment horizontal="center" vertical="center"/>
    </xf>
    <xf numFmtId="199" fontId="67" fillId="6" borderId="131" xfId="0" applyFont="1" applyFill="1" applyBorder="1" applyAlignment="1">
      <alignment horizontal="center" vertical="center"/>
    </xf>
    <xf numFmtId="199" fontId="67" fillId="6" borderId="140" xfId="0" applyFont="1" applyFill="1" applyBorder="1" applyAlignment="1">
      <alignment horizontal="center" vertical="center"/>
    </xf>
    <xf numFmtId="199" fontId="67" fillId="6" borderId="141" xfId="0" applyFont="1" applyFill="1" applyBorder="1" applyAlignment="1">
      <alignment horizontal="center" vertical="center"/>
    </xf>
    <xf numFmtId="0" fontId="67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7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3" fillId="0" borderId="3" xfId="130" applyNumberFormat="1" applyFont="1" applyBorder="1" applyAlignment="1">
      <alignment horizontal="center" vertical="center"/>
    </xf>
    <xf numFmtId="1" fontId="27" fillId="0" borderId="3" xfId="130" applyNumberFormat="1" applyBorder="1" applyAlignment="1">
      <alignment horizontal="center" vertical="center"/>
    </xf>
    <xf numFmtId="1" fontId="27" fillId="49" borderId="3" xfId="130" applyNumberFormat="1" applyFill="1" applyBorder="1" applyAlignment="1">
      <alignment horizontal="center" vertical="center"/>
    </xf>
    <xf numFmtId="1" fontId="27" fillId="3" borderId="1" xfId="130" applyNumberFormat="1" applyFill="1" applyBorder="1"/>
    <xf numFmtId="1" fontId="27" fillId="3" borderId="1" xfId="130" applyNumberFormat="1" applyFill="1" applyBorder="1" applyAlignment="1">
      <alignment horizontal="center" vertical="center"/>
    </xf>
    <xf numFmtId="0" fontId="131" fillId="59" borderId="0" xfId="312" applyFont="1" applyFill="1" applyBorder="1" applyAlignment="1">
      <alignment horizontal="center" vertical="center"/>
    </xf>
    <xf numFmtId="1" fontId="132" fillId="59" borderId="1" xfId="130" applyNumberFormat="1" applyFont="1" applyFill="1" applyBorder="1" applyAlignment="1">
      <alignment horizontal="center" vertical="center" wrapText="1"/>
    </xf>
    <xf numFmtId="0" fontId="2" fillId="0" borderId="0" xfId="312" applyBorder="1"/>
    <xf numFmtId="1" fontId="2" fillId="0" borderId="0" xfId="312" applyNumberFormat="1" applyBorder="1"/>
    <xf numFmtId="2" fontId="2" fillId="0" borderId="0" xfId="312" applyNumberFormat="1" applyBorder="1"/>
    <xf numFmtId="0" fontId="1" fillId="0" borderId="0" xfId="307" applyFont="1"/>
    <xf numFmtId="0" fontId="0" fillId="0" borderId="86" xfId="0" applyNumberFormat="1" applyBorder="1" applyAlignment="1">
      <alignment horizontal="center"/>
    </xf>
    <xf numFmtId="1" fontId="63" fillId="9" borderId="86" xfId="129" applyNumberFormat="1" applyFont="1" applyFill="1" applyBorder="1" applyAlignment="1" applyProtection="1">
      <alignment horizontal="center"/>
    </xf>
    <xf numFmtId="0" fontId="62" fillId="9" borderId="87" xfId="129" applyNumberFormat="1" applyFont="1" applyFill="1" applyBorder="1" applyAlignment="1" applyProtection="1">
      <alignment horizontal="left"/>
    </xf>
    <xf numFmtId="0" fontId="62" fillId="9" borderId="88" xfId="129" applyNumberFormat="1" applyFont="1" applyFill="1" applyBorder="1" applyAlignment="1" applyProtection="1">
      <alignment horizontal="left"/>
    </xf>
    <xf numFmtId="199" fontId="66" fillId="0" borderId="103" xfId="129" applyFont="1" applyFill="1" applyBorder="1" applyAlignment="1" applyProtection="1">
      <alignment horizontal="center" vertical="center" wrapText="1"/>
    </xf>
    <xf numFmtId="199" fontId="66" fillId="0" borderId="31" xfId="129" applyFont="1" applyFill="1" applyBorder="1" applyAlignment="1" applyProtection="1">
      <alignment horizontal="center" vertical="center" wrapText="1"/>
    </xf>
    <xf numFmtId="199" fontId="65" fillId="9" borderId="86" xfId="129" applyFont="1" applyFill="1" applyBorder="1" applyAlignment="1" applyProtection="1">
      <alignment horizontal="center"/>
    </xf>
    <xf numFmtId="1" fontId="66" fillId="0" borderId="102" xfId="129" applyNumberFormat="1" applyFont="1" applyFill="1" applyBorder="1" applyAlignment="1" applyProtection="1">
      <alignment horizontal="center" vertical="center" wrapText="1"/>
    </xf>
    <xf numFmtId="1" fontId="66" fillId="0" borderId="30" xfId="129" applyNumberFormat="1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15" fillId="0" borderId="5" xfId="0" applyFont="1" applyBorder="1"/>
    <xf numFmtId="1" fontId="65" fillId="9" borderId="29" xfId="129" applyNumberFormat="1" applyFont="1" applyFill="1" applyBorder="1" applyAlignment="1" applyProtection="1">
      <alignment horizontal="left"/>
    </xf>
    <xf numFmtId="1" fontId="65" fillId="9" borderId="0" xfId="129" applyNumberFormat="1" applyFont="1" applyFill="1" applyBorder="1" applyAlignment="1" applyProtection="1">
      <alignment horizontal="left"/>
    </xf>
    <xf numFmtId="1" fontId="93" fillId="3" borderId="1" xfId="130" applyNumberFormat="1" applyFont="1" applyFill="1" applyBorder="1" applyAlignment="1">
      <alignment horizontal="center" vertical="center"/>
    </xf>
    <xf numFmtId="0" fontId="118" fillId="0" borderId="138" xfId="309" applyFont="1" applyFill="1" applyBorder="1" applyAlignment="1">
      <alignment horizontal="left" vertical="center"/>
    </xf>
    <xf numFmtId="0" fontId="118" fillId="49" borderId="139" xfId="309" applyFont="1" applyFill="1" applyBorder="1" applyAlignment="1">
      <alignment horizontal="left" vertical="center"/>
    </xf>
    <xf numFmtId="0" fontId="118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7" fillId="58" borderId="0" xfId="309" applyFont="1" applyFill="1" applyBorder="1" applyAlignment="1">
      <alignment horizontal="center"/>
    </xf>
    <xf numFmtId="199" fontId="71" fillId="14" borderId="107" xfId="132" applyFont="1" applyFill="1" applyBorder="1" applyAlignment="1">
      <alignment horizontal="center" vertical="center" wrapText="1"/>
    </xf>
    <xf numFmtId="199" fontId="71" fillId="14" borderId="5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5" xfId="132" applyFont="1" applyFill="1" applyBorder="1" applyAlignment="1">
      <alignment horizontal="center" vertical="center"/>
    </xf>
    <xf numFmtId="194" fontId="75" fillId="15" borderId="62" xfId="132" applyNumberFormat="1" applyFont="1" applyFill="1" applyBorder="1" applyAlignment="1">
      <alignment horizontal="center"/>
    </xf>
    <xf numFmtId="194" fontId="75" fillId="15" borderId="60" xfId="132" applyNumberFormat="1" applyFont="1" applyFill="1" applyBorder="1" applyAlignment="1">
      <alignment horizontal="center"/>
    </xf>
    <xf numFmtId="199" fontId="69" fillId="13" borderId="33" xfId="132" applyFont="1" applyFill="1" applyBorder="1" applyAlignment="1">
      <alignment horizontal="center" vertical="center"/>
    </xf>
    <xf numFmtId="199" fontId="69" fillId="13" borderId="0" xfId="132" applyFont="1" applyFill="1" applyBorder="1" applyAlignment="1">
      <alignment horizontal="center" vertical="center"/>
    </xf>
    <xf numFmtId="199" fontId="71" fillId="14" borderId="39" xfId="132" applyFont="1" applyFill="1" applyBorder="1" applyAlignment="1">
      <alignment horizontal="center" vertical="center"/>
    </xf>
    <xf numFmtId="199" fontId="71" fillId="14" borderId="41" xfId="132" applyFont="1" applyFill="1" applyBorder="1" applyAlignment="1">
      <alignment horizontal="center" vertical="center"/>
    </xf>
    <xf numFmtId="199" fontId="71" fillId="14" borderId="45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 wrapText="1"/>
    </xf>
    <xf numFmtId="199" fontId="71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1" fillId="16" borderId="107" xfId="132" applyFont="1" applyFill="1" applyBorder="1" applyAlignment="1">
      <alignment horizontal="center" vertical="center" wrapText="1"/>
    </xf>
    <xf numFmtId="199" fontId="71" fillId="16" borderId="5" xfId="132" applyFont="1" applyFill="1" applyBorder="1" applyAlignment="1">
      <alignment horizontal="center" vertical="center" wrapText="1"/>
    </xf>
    <xf numFmtId="199" fontId="72" fillId="14" borderId="36" xfId="132" applyFont="1" applyFill="1" applyBorder="1" applyAlignment="1">
      <alignment horizontal="center" vertical="center"/>
    </xf>
    <xf numFmtId="199" fontId="72" fillId="14" borderId="37" xfId="132" applyFont="1" applyFill="1" applyBorder="1" applyAlignment="1">
      <alignment horizontal="center" vertical="center"/>
    </xf>
    <xf numFmtId="199" fontId="72" fillId="14" borderId="38" xfId="132" applyFont="1" applyFill="1" applyBorder="1" applyAlignment="1">
      <alignment horizontal="center" vertical="center"/>
    </xf>
    <xf numFmtId="199" fontId="71" fillId="15" borderId="107" xfId="132" applyFont="1" applyFill="1" applyBorder="1" applyAlignment="1">
      <alignment horizontal="center" vertical="center" wrapText="1"/>
    </xf>
    <xf numFmtId="199" fontId="71" fillId="15" borderId="32" xfId="132" applyFont="1" applyFill="1" applyBorder="1" applyAlignment="1">
      <alignment horizontal="center" vertical="center" wrapText="1"/>
    </xf>
    <xf numFmtId="199" fontId="71" fillId="15" borderId="43" xfId="132" applyFont="1" applyFill="1" applyBorder="1" applyAlignment="1">
      <alignment horizontal="center" vertical="center" wrapText="1"/>
    </xf>
    <xf numFmtId="199" fontId="71" fillId="14" borderId="90" xfId="132" applyFont="1" applyFill="1" applyBorder="1" applyAlignment="1">
      <alignment horizontal="center" vertical="center" wrapText="1"/>
    </xf>
    <xf numFmtId="199" fontId="72" fillId="14" borderId="107" xfId="132" applyFont="1" applyFill="1" applyBorder="1" applyAlignment="1">
      <alignment horizontal="center" vertical="center"/>
    </xf>
    <xf numFmtId="199" fontId="72" fillId="14" borderId="32" xfId="132" applyFont="1" applyFill="1" applyBorder="1" applyAlignment="1">
      <alignment horizontal="center" vertical="center"/>
    </xf>
    <xf numFmtId="199" fontId="72" fillId="14" borderId="43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/>
    </xf>
    <xf numFmtId="2" fontId="71" fillId="14" borderId="107" xfId="132" applyNumberFormat="1" applyFont="1" applyFill="1" applyBorder="1" applyAlignment="1">
      <alignment horizontal="center" vertical="center"/>
    </xf>
    <xf numFmtId="2" fontId="71" fillId="14" borderId="32" xfId="132" applyNumberFormat="1" applyFont="1" applyFill="1" applyBorder="1" applyAlignment="1">
      <alignment horizontal="center" vertical="center"/>
    </xf>
    <xf numFmtId="2" fontId="71" fillId="14" borderId="43" xfId="132" applyNumberFormat="1" applyFont="1" applyFill="1" applyBorder="1" applyAlignment="1">
      <alignment horizontal="center" vertical="center"/>
    </xf>
    <xf numFmtId="199" fontId="70" fillId="8" borderId="42" xfId="132" applyFont="1" applyFill="1" applyBorder="1" applyAlignment="1">
      <alignment horizontal="center" vertical="center"/>
    </xf>
    <xf numFmtId="199" fontId="70" fillId="8" borderId="46" xfId="132" applyFont="1" applyFill="1" applyBorder="1" applyAlignment="1">
      <alignment horizontal="center" vertical="center"/>
    </xf>
    <xf numFmtId="199" fontId="71" fillId="16" borderId="62" xfId="132" applyFont="1" applyFill="1" applyBorder="1" applyAlignment="1">
      <alignment horizontal="center" vertical="center"/>
    </xf>
    <xf numFmtId="199" fontId="71" fillId="16" borderId="60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 wrapText="1"/>
    </xf>
    <xf numFmtId="199" fontId="71" fillId="17" borderId="32" xfId="132" applyFont="1" applyFill="1" applyBorder="1" applyAlignment="1">
      <alignment horizontal="center" vertical="center" wrapText="1"/>
    </xf>
    <xf numFmtId="199" fontId="71" fillId="17" borderId="43" xfId="132" applyFont="1" applyFill="1" applyBorder="1" applyAlignment="1">
      <alignment horizontal="center" vertical="center" wrapText="1"/>
    </xf>
    <xf numFmtId="199" fontId="71" fillId="18" borderId="107" xfId="132" applyFont="1" applyFill="1" applyBorder="1" applyAlignment="1">
      <alignment horizontal="center" vertical="center"/>
    </xf>
    <xf numFmtId="199" fontId="71" fillId="18" borderId="32" xfId="132" applyFont="1" applyFill="1" applyBorder="1" applyAlignment="1">
      <alignment horizontal="center" vertical="center"/>
    </xf>
    <xf numFmtId="199" fontId="71" fillId="18" borderId="43" xfId="132" applyFont="1" applyFill="1" applyBorder="1" applyAlignment="1">
      <alignment horizontal="center" vertical="center"/>
    </xf>
    <xf numFmtId="199" fontId="71" fillId="17" borderId="110" xfId="132" applyFont="1" applyFill="1" applyBorder="1" applyAlignment="1">
      <alignment horizontal="center" vertical="center" wrapText="1"/>
    </xf>
    <xf numFmtId="199" fontId="71" fillId="17" borderId="40" xfId="132" applyFont="1" applyFill="1" applyBorder="1" applyAlignment="1">
      <alignment horizontal="center" vertical="center" wrapText="1"/>
    </xf>
    <xf numFmtId="199" fontId="71" fillId="17" borderId="44" xfId="132" applyFont="1" applyFill="1" applyBorder="1" applyAlignment="1">
      <alignment horizontal="center" vertical="center" wrapText="1"/>
    </xf>
    <xf numFmtId="199" fontId="71" fillId="8" borderId="39" xfId="132" applyFont="1" applyFill="1" applyBorder="1" applyAlignment="1">
      <alignment horizontal="center" vertical="center" wrapText="1"/>
    </xf>
    <xf numFmtId="199" fontId="71" fillId="8" borderId="41" xfId="132" applyFont="1" applyFill="1" applyBorder="1" applyAlignment="1">
      <alignment horizontal="center" vertical="center" wrapText="1"/>
    </xf>
    <xf numFmtId="199" fontId="71" fillId="8" borderId="45" xfId="132" applyFont="1" applyFill="1" applyBorder="1" applyAlignment="1">
      <alignment horizontal="center" vertical="center" wrapText="1"/>
    </xf>
    <xf numFmtId="199" fontId="71" fillId="19" borderId="110" xfId="132" applyFont="1" applyFill="1" applyBorder="1" applyAlignment="1">
      <alignment horizontal="center" vertical="center" wrapText="1"/>
    </xf>
    <xf numFmtId="199" fontId="71" fillId="19" borderId="40" xfId="132" applyFont="1" applyFill="1" applyBorder="1" applyAlignment="1">
      <alignment horizontal="center" vertical="center" wrapText="1"/>
    </xf>
    <xf numFmtId="199" fontId="71" fillId="19" borderId="44" xfId="132" applyFont="1" applyFill="1" applyBorder="1" applyAlignment="1">
      <alignment horizontal="center" vertical="center" wrapText="1"/>
    </xf>
    <xf numFmtId="199" fontId="71" fillId="17" borderId="107" xfId="132" applyFont="1" applyFill="1" applyBorder="1" applyAlignment="1">
      <alignment horizontal="center" vertical="center"/>
    </xf>
    <xf numFmtId="199" fontId="71" fillId="17" borderId="32" xfId="132" applyFont="1" applyFill="1" applyBorder="1" applyAlignment="1">
      <alignment horizontal="center" vertical="center"/>
    </xf>
    <xf numFmtId="199" fontId="71" fillId="17" borderId="43" xfId="132" applyFont="1" applyFill="1" applyBorder="1" applyAlignment="1">
      <alignment horizontal="center" vertical="center"/>
    </xf>
    <xf numFmtId="199" fontId="71" fillId="16" borderId="108" xfId="132" applyFont="1" applyFill="1" applyBorder="1" applyAlignment="1">
      <alignment horizontal="center" vertical="center"/>
    </xf>
    <xf numFmtId="199" fontId="71" fillId="16" borderId="109" xfId="132" applyFont="1" applyFill="1" applyBorder="1" applyAlignment="1">
      <alignment horizontal="center" vertical="center"/>
    </xf>
    <xf numFmtId="199" fontId="71" fillId="16" borderId="34" xfId="132" applyFont="1" applyFill="1" applyBorder="1" applyAlignment="1">
      <alignment horizontal="center" vertical="center"/>
    </xf>
    <xf numFmtId="199" fontId="71" fillId="16" borderId="15" xfId="132" applyFont="1" applyFill="1" applyBorder="1" applyAlignment="1">
      <alignment horizontal="center" vertical="center"/>
    </xf>
    <xf numFmtId="199" fontId="71" fillId="17" borderId="116" xfId="132" applyFont="1" applyFill="1" applyBorder="1" applyAlignment="1">
      <alignment horizontal="center" wrapText="1"/>
    </xf>
    <xf numFmtId="194" fontId="75" fillId="15" borderId="36" xfId="132" applyNumberFormat="1" applyFont="1" applyFill="1" applyBorder="1" applyAlignment="1">
      <alignment horizontal="center"/>
    </xf>
    <xf numFmtId="194" fontId="75" fillId="15" borderId="38" xfId="132" applyNumberFormat="1" applyFont="1" applyFill="1" applyBorder="1" applyAlignment="1">
      <alignment horizontal="center"/>
    </xf>
    <xf numFmtId="199" fontId="71" fillId="14" borderId="57" xfId="132" applyFont="1" applyFill="1" applyBorder="1" applyAlignment="1">
      <alignment horizontal="left" vertical="center" indent="13"/>
    </xf>
    <xf numFmtId="199" fontId="71" fillId="14" borderId="58" xfId="132" applyFont="1" applyFill="1" applyBorder="1" applyAlignment="1">
      <alignment horizontal="left" vertical="center" indent="13"/>
    </xf>
    <xf numFmtId="199" fontId="71" fillId="14" borderId="59" xfId="132" applyFont="1" applyFill="1" applyBorder="1" applyAlignment="1">
      <alignment horizontal="left" vertical="center" indent="13"/>
    </xf>
    <xf numFmtId="2" fontId="71" fillId="14" borderId="62" xfId="132" applyNumberFormat="1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2" fillId="2" borderId="94" xfId="132" applyFont="1" applyFill="1" applyBorder="1" applyAlignment="1">
      <alignment horizontal="left" vertical="center"/>
    </xf>
    <xf numFmtId="199" fontId="112" fillId="2" borderId="95" xfId="132" applyFont="1" applyFill="1" applyBorder="1" applyAlignment="1">
      <alignment horizontal="left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7" fillId="0" borderId="61" xfId="132" applyNumberFormat="1" applyFont="1" applyFill="1" applyBorder="1" applyAlignment="1">
      <alignment horizontal="center" vertical="center"/>
    </xf>
    <xf numFmtId="199" fontId="108" fillId="2" borderId="104" xfId="132" applyFont="1" applyFill="1" applyBorder="1" applyAlignment="1">
      <alignment horizontal="center" vertical="center"/>
    </xf>
    <xf numFmtId="199" fontId="108" fillId="2" borderId="105" xfId="132" applyFont="1" applyFill="1" applyBorder="1" applyAlignment="1">
      <alignment horizontal="center" vertical="center"/>
    </xf>
    <xf numFmtId="199" fontId="108" fillId="2" borderId="109" xfId="132" applyFont="1" applyFill="1" applyBorder="1" applyAlignment="1">
      <alignment horizontal="center" vertical="center"/>
    </xf>
    <xf numFmtId="199" fontId="115" fillId="48" borderId="57" xfId="9" applyFont="1" applyFill="1" applyBorder="1" applyAlignment="1">
      <alignment horizontal="right" vertical="center" wrapText="1"/>
    </xf>
    <xf numFmtId="199" fontId="115" fillId="48" borderId="58" xfId="9" applyFont="1" applyFill="1" applyBorder="1" applyAlignment="1">
      <alignment horizontal="right" vertical="center" wrapText="1"/>
    </xf>
    <xf numFmtId="199" fontId="115" fillId="48" borderId="59" xfId="9" applyFont="1" applyFill="1" applyBorder="1" applyAlignment="1">
      <alignment horizontal="right" vertical="center" wrapText="1"/>
    </xf>
    <xf numFmtId="199" fontId="109" fillId="4" borderId="114" xfId="132" applyFont="1" applyFill="1" applyBorder="1" applyAlignment="1">
      <alignment horizontal="left" vertical="center"/>
    </xf>
    <xf numFmtId="199" fontId="110" fillId="0" borderId="76" xfId="0" applyFont="1" applyBorder="1"/>
    <xf numFmtId="199" fontId="110" fillId="0" borderId="77" xfId="0" applyFont="1" applyBorder="1"/>
    <xf numFmtId="199" fontId="108" fillId="0" borderId="93" xfId="132" applyFont="1" applyFill="1" applyBorder="1" applyAlignment="1">
      <alignment horizontal="right" vertical="center"/>
    </xf>
    <xf numFmtId="199" fontId="108" fillId="0" borderId="94" xfId="132" applyFont="1" applyFill="1" applyBorder="1" applyAlignment="1">
      <alignment horizontal="right" vertical="center"/>
    </xf>
    <xf numFmtId="199" fontId="108" fillId="0" borderId="123" xfId="132" applyFont="1" applyFill="1" applyBorder="1" applyAlignment="1">
      <alignment horizontal="right" vertical="center"/>
    </xf>
    <xf numFmtId="199" fontId="108" fillId="0" borderId="97" xfId="132" applyFont="1" applyFill="1" applyBorder="1" applyAlignment="1">
      <alignment horizontal="right" vertical="center"/>
    </xf>
    <xf numFmtId="0" fontId="130" fillId="0" borderId="111" xfId="132" applyNumberFormat="1" applyFont="1" applyFill="1" applyBorder="1" applyAlignment="1">
      <alignment horizontal="left" vertical="center"/>
    </xf>
    <xf numFmtId="0" fontId="130" fillId="0" borderId="113" xfId="132" applyNumberFormat="1" applyFont="1" applyFill="1" applyBorder="1" applyAlignment="1">
      <alignment horizontal="left" vertical="center"/>
    </xf>
    <xf numFmtId="201" fontId="114" fillId="0" borderId="94" xfId="132" applyNumberFormat="1" applyFont="1" applyFill="1" applyBorder="1" applyAlignment="1">
      <alignment horizontal="left" vertical="center"/>
    </xf>
    <xf numFmtId="201" fontId="114" fillId="0" borderId="95" xfId="132" applyNumberFormat="1" applyFont="1" applyFill="1" applyBorder="1" applyAlignment="1">
      <alignment horizontal="left" vertical="center"/>
    </xf>
    <xf numFmtId="1" fontId="117" fillId="0" borderId="61" xfId="132" applyNumberFormat="1" applyFont="1" applyFill="1" applyBorder="1" applyAlignment="1">
      <alignment horizontal="center" vertical="center" wrapText="1"/>
    </xf>
    <xf numFmtId="199" fontId="108" fillId="0" borderId="126" xfId="132" applyFont="1" applyFill="1" applyBorder="1" applyAlignment="1">
      <alignment horizontal="right" vertical="center"/>
    </xf>
    <xf numFmtId="199" fontId="129" fillId="0" borderId="127" xfId="132" applyFont="1" applyFill="1" applyBorder="1" applyAlignment="1">
      <alignment horizontal="right" vertical="center"/>
    </xf>
    <xf numFmtId="199" fontId="129" fillId="0" borderId="97" xfId="132" applyFont="1" applyFill="1" applyBorder="1" applyAlignment="1">
      <alignment horizontal="right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9" fontId="113" fillId="0" borderId="98" xfId="132" applyFont="1" applyFill="1" applyBorder="1" applyAlignment="1">
      <alignment horizontal="left" vertical="center"/>
    </xf>
    <xf numFmtId="199" fontId="113" fillId="0" borderId="99" xfId="132" applyFont="1" applyFill="1" applyBorder="1" applyAlignment="1">
      <alignment horizontal="left" vertical="center"/>
    </xf>
    <xf numFmtId="199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9" fontId="108" fillId="0" borderId="125" xfId="132" applyFont="1" applyFill="1" applyBorder="1" applyAlignment="1">
      <alignment horizontal="right" vertical="center"/>
    </xf>
    <xf numFmtId="199" fontId="108" fillId="0" borderId="99" xfId="132" applyFont="1" applyFill="1" applyBorder="1" applyAlignment="1">
      <alignment horizontal="right" vertical="center"/>
    </xf>
    <xf numFmtId="199" fontId="109" fillId="4" borderId="73" xfId="132" applyFont="1" applyFill="1" applyBorder="1" applyAlignment="1">
      <alignment horizontal="left" vertical="center"/>
    </xf>
    <xf numFmtId="199" fontId="110" fillId="0" borderId="74" xfId="0" applyFont="1" applyBorder="1"/>
    <xf numFmtId="199" fontId="110" fillId="0" borderId="75" xfId="0" applyFont="1" applyBorder="1"/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115" xfId="132" applyNumberFormat="1" applyFont="1" applyFill="1" applyBorder="1" applyAlignment="1">
      <alignment horizontal="center" vertical="center"/>
    </xf>
    <xf numFmtId="199" fontId="111" fillId="2" borderId="76" xfId="132" applyFont="1" applyFill="1" applyBorder="1" applyAlignment="1">
      <alignment horizontal="left" vertical="center"/>
    </xf>
    <xf numFmtId="199" fontId="111" fillId="2" borderId="77" xfId="132" applyFont="1" applyFill="1" applyBorder="1" applyAlignment="1">
      <alignment horizontal="left" vertical="center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9" fontId="117" fillId="0" borderId="12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 wrapText="1"/>
    </xf>
    <xf numFmtId="199" fontId="117" fillId="0" borderId="63" xfId="132" applyFont="1" applyFill="1" applyBorder="1" applyAlignment="1">
      <alignment horizontal="center" vertical="center" wrapText="1"/>
    </xf>
    <xf numFmtId="199" fontId="99" fillId="48" borderId="79" xfId="132" applyFont="1" applyFill="1" applyBorder="1" applyAlignment="1">
      <alignment horizontal="center" vertical="center"/>
    </xf>
    <xf numFmtId="199" fontId="99" fillId="48" borderId="80" xfId="132" applyFont="1" applyFill="1" applyBorder="1" applyAlignment="1">
      <alignment horizontal="center" vertical="center"/>
    </xf>
    <xf numFmtId="199" fontId="99" fillId="48" borderId="51" xfId="132" applyFont="1" applyFill="1" applyBorder="1" applyAlignment="1">
      <alignment horizontal="center" vertical="center"/>
    </xf>
    <xf numFmtId="199" fontId="99" fillId="48" borderId="54" xfId="132" applyFont="1" applyFill="1" applyBorder="1" applyAlignment="1">
      <alignment horizontal="center" vertical="center"/>
    </xf>
    <xf numFmtId="199" fontId="99" fillId="48" borderId="55" xfId="132" applyFont="1" applyFill="1" applyBorder="1" applyAlignment="1">
      <alignment horizontal="center" vertical="center"/>
    </xf>
    <xf numFmtId="199" fontId="99" fillId="48" borderId="78" xfId="132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vertical="center"/>
    </xf>
    <xf numFmtId="199" fontId="111" fillId="2" borderId="95" xfId="132" applyFont="1" applyFill="1" applyBorder="1" applyAlignment="1">
      <alignment vertical="center"/>
    </xf>
    <xf numFmtId="199" fontId="99" fillId="48" borderId="81" xfId="132" applyFont="1" applyFill="1" applyBorder="1" applyAlignment="1">
      <alignment horizontal="center" vertical="center"/>
    </xf>
    <xf numFmtId="199" fontId="99" fillId="48" borderId="74" xfId="132" applyFont="1" applyFill="1" applyBorder="1" applyAlignment="1">
      <alignment horizontal="center" vertical="center"/>
    </xf>
    <xf numFmtId="199" fontId="99" fillId="48" borderId="117" xfId="132" applyFont="1" applyFill="1" applyBorder="1" applyAlignment="1">
      <alignment horizontal="center" vertical="center"/>
    </xf>
    <xf numFmtId="199" fontId="99" fillId="48" borderId="82" xfId="132" applyFont="1" applyFill="1" applyBorder="1" applyAlignment="1">
      <alignment horizontal="center" vertical="center"/>
    </xf>
    <xf numFmtId="199" fontId="99" fillId="48" borderId="112" xfId="132" applyFont="1" applyFill="1" applyBorder="1" applyAlignment="1">
      <alignment horizontal="center" vertical="center"/>
    </xf>
    <xf numFmtId="199" fontId="99" fillId="48" borderId="118" xfId="132" applyFont="1" applyFill="1" applyBorder="1" applyAlignment="1">
      <alignment horizontal="center" vertical="center"/>
    </xf>
    <xf numFmtId="1" fontId="98" fillId="2" borderId="83" xfId="132" applyNumberFormat="1" applyFont="1" applyFill="1" applyBorder="1" applyAlignment="1">
      <alignment horizontal="center" vertical="center"/>
    </xf>
    <xf numFmtId="1" fontId="98" fillId="2" borderId="28" xfId="132" applyNumberFormat="1" applyFont="1" applyFill="1" applyBorder="1" applyAlignment="1">
      <alignment horizontal="center" vertical="center"/>
    </xf>
    <xf numFmtId="1" fontId="98" fillId="2" borderId="84" xfId="132" applyNumberFormat="1" applyFont="1" applyFill="1" applyBorder="1" applyAlignment="1">
      <alignment horizontal="center" vertical="center"/>
    </xf>
    <xf numFmtId="1" fontId="98" fillId="2" borderId="13" xfId="132" applyNumberFormat="1" applyFont="1" applyFill="1" applyBorder="1" applyAlignment="1">
      <alignment horizontal="center" vertical="center"/>
    </xf>
    <xf numFmtId="1" fontId="98" fillId="2" borderId="0" xfId="132" applyNumberFormat="1" applyFont="1" applyFill="1" applyBorder="1" applyAlignment="1">
      <alignment horizontal="center" vertical="center"/>
    </xf>
    <xf numFmtId="1" fontId="98" fillId="2" borderId="14" xfId="132" applyNumberFormat="1" applyFont="1" applyFill="1" applyBorder="1" applyAlignment="1">
      <alignment horizontal="center" vertical="center"/>
    </xf>
    <xf numFmtId="1" fontId="98" fillId="2" borderId="47" xfId="132" applyNumberFormat="1" applyFont="1" applyFill="1" applyBorder="1" applyAlignment="1">
      <alignment horizontal="center" vertical="center"/>
    </xf>
    <xf numFmtId="1" fontId="98" fillId="2" borderId="48" xfId="132" applyNumberFormat="1" applyFont="1" applyFill="1" applyBorder="1" applyAlignment="1">
      <alignment horizontal="center" vertical="center"/>
    </xf>
    <xf numFmtId="1" fontId="98" fillId="2" borderId="92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9" fontId="111" fillId="2" borderId="96" xfId="132" applyFont="1" applyFill="1" applyBorder="1" applyAlignment="1">
      <alignment vertical="center" wrapText="1"/>
    </xf>
    <xf numFmtId="199" fontId="111" fillId="2" borderId="76" xfId="132" applyFont="1" applyFill="1" applyBorder="1" applyAlignment="1">
      <alignment vertical="center" wrapText="1"/>
    </xf>
    <xf numFmtId="199" fontId="111" fillId="2" borderId="77" xfId="132" applyFont="1" applyFill="1" applyBorder="1" applyAlignment="1">
      <alignment vertical="center" wrapText="1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9" fontId="111" fillId="2" borderId="96" xfId="132" applyFont="1" applyFill="1" applyBorder="1" applyAlignment="1">
      <alignment horizontal="left" vertical="center" wrapText="1"/>
    </xf>
    <xf numFmtId="199" fontId="111" fillId="2" borderId="76" xfId="132" applyFont="1" applyFill="1" applyBorder="1" applyAlignment="1">
      <alignment horizontal="left" vertical="center" wrapText="1"/>
    </xf>
    <xf numFmtId="199" fontId="111" fillId="2" borderId="77" xfId="132" applyFont="1" applyFill="1" applyBorder="1" applyAlignment="1">
      <alignment horizontal="left" vertical="center" wrapText="1"/>
    </xf>
    <xf numFmtId="199" fontId="95" fillId="0" borderId="104" xfId="132" applyFont="1" applyFill="1" applyBorder="1" applyAlignment="1">
      <alignment horizontal="center" vertical="center"/>
    </xf>
    <xf numFmtId="199" fontId="95" fillId="0" borderId="105" xfId="132" applyFont="1" applyFill="1" applyBorder="1" applyAlignment="1">
      <alignment horizontal="center" vertical="center"/>
    </xf>
    <xf numFmtId="199" fontId="95" fillId="0" borderId="106" xfId="132" applyFont="1" applyFill="1" applyBorder="1" applyAlignment="1">
      <alignment horizontal="center" vertical="center"/>
    </xf>
    <xf numFmtId="199" fontId="95" fillId="0" borderId="13" xfId="132" applyFont="1" applyFill="1" applyBorder="1" applyAlignment="1">
      <alignment horizontal="center" vertical="center"/>
    </xf>
    <xf numFmtId="199" fontId="95" fillId="0" borderId="0" xfId="132" applyFont="1" applyFill="1" applyBorder="1" applyAlignment="1">
      <alignment horizontal="center" vertical="center"/>
    </xf>
    <xf numFmtId="199" fontId="95" fillId="0" borderId="14" xfId="132" applyFont="1" applyFill="1" applyBorder="1" applyAlignment="1">
      <alignment horizontal="center" vertical="center"/>
    </xf>
    <xf numFmtId="199" fontId="108" fillId="0" borderId="13" xfId="132" applyFont="1" applyFill="1" applyBorder="1" applyAlignment="1">
      <alignment horizontal="center" vertical="center" wrapText="1"/>
    </xf>
    <xf numFmtId="199" fontId="108" fillId="0" borderId="0" xfId="132" applyFont="1" applyFill="1" applyBorder="1" applyAlignment="1">
      <alignment horizontal="center" vertical="center" wrapText="1"/>
    </xf>
    <xf numFmtId="199" fontId="108" fillId="0" borderId="14" xfId="132" applyFont="1" applyFill="1" applyBorder="1" applyAlignment="1">
      <alignment horizontal="center" vertical="center" wrapText="1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9" fontId="67" fillId="14" borderId="131" xfId="0" applyFont="1" applyFill="1" applyBorder="1" applyAlignment="1">
      <alignment horizontal="center"/>
    </xf>
    <xf numFmtId="199" fontId="67" fillId="14" borderId="132" xfId="0" applyFont="1" applyFill="1" applyBorder="1" applyAlignment="1">
      <alignment horizontal="center"/>
    </xf>
    <xf numFmtId="199" fontId="67" fillId="52" borderId="131" xfId="0" applyFont="1" applyFill="1" applyBorder="1" applyAlignment="1">
      <alignment horizontal="center"/>
    </xf>
    <xf numFmtId="199" fontId="67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2" fillId="4" borderId="22" xfId="0" applyFont="1" applyFill="1" applyBorder="1" applyAlignment="1">
      <alignment horizontal="right" vertical="center" indent="2"/>
    </xf>
    <xf numFmtId="199" fontId="22" fillId="4" borderId="2" xfId="0" applyFont="1" applyFill="1" applyBorder="1" applyAlignment="1">
      <alignment horizontal="right" vertical="center" indent="2"/>
    </xf>
    <xf numFmtId="199" fontId="22" fillId="4" borderId="4" xfId="0" applyFont="1" applyFill="1" applyBorder="1" applyAlignment="1">
      <alignment horizontal="right" vertical="center" indent="2"/>
    </xf>
    <xf numFmtId="199" fontId="18" fillId="7" borderId="11" xfId="0" applyFont="1" applyFill="1" applyBorder="1" applyAlignment="1">
      <alignment horizontal="center" vertical="center"/>
    </xf>
    <xf numFmtId="199" fontId="16" fillId="2" borderId="8" xfId="0" applyFont="1" applyFill="1" applyBorder="1" applyAlignment="1">
      <alignment horizontal="center" vertical="center"/>
    </xf>
    <xf numFmtId="199" fontId="16" fillId="2" borderId="16" xfId="0" applyFont="1" applyFill="1" applyBorder="1" applyAlignment="1">
      <alignment horizontal="center" vertical="center"/>
    </xf>
    <xf numFmtId="199" fontId="19" fillId="4" borderId="17" xfId="0" applyFont="1" applyFill="1" applyBorder="1" applyAlignment="1">
      <alignment horizontal="center" vertical="center" wrapText="1"/>
    </xf>
    <xf numFmtId="199" fontId="19" fillId="4" borderId="5" xfId="0" applyFont="1" applyFill="1" applyBorder="1" applyAlignment="1">
      <alignment horizontal="center" vertical="center" wrapText="1"/>
    </xf>
    <xf numFmtId="199" fontId="19" fillId="2" borderId="13" xfId="0" applyFont="1" applyFill="1" applyBorder="1" applyAlignment="1">
      <alignment horizontal="center" vertical="center"/>
    </xf>
    <xf numFmtId="199" fontId="19" fillId="2" borderId="6" xfId="0" applyFont="1" applyFill="1" applyBorder="1" applyAlignment="1">
      <alignment horizontal="center" vertical="center"/>
    </xf>
    <xf numFmtId="199" fontId="19" fillId="2" borderId="19" xfId="0" applyFont="1" applyFill="1" applyBorder="1" applyAlignment="1">
      <alignment horizontal="center" vertical="center"/>
    </xf>
    <xf numFmtId="199" fontId="19" fillId="2" borderId="15" xfId="0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5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0" fontId="8" fillId="21" borderId="86" xfId="270" applyNumberFormat="1" applyFill="1" applyBorder="1" applyAlignment="1">
      <alignment horizontal="center" vertical="center" wrapText="1"/>
    </xf>
    <xf numFmtId="199" fontId="8" fillId="21" borderId="86" xfId="270" applyFill="1" applyBorder="1" applyAlignment="1">
      <alignment horizontal="center" vertical="center" wrapText="1"/>
    </xf>
    <xf numFmtId="199" fontId="8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1496291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646043</xdr:colOff>
      <xdr:row>8</xdr:row>
      <xdr:rowOff>99391</xdr:rowOff>
    </xdr:from>
    <xdr:to>
      <xdr:col>6</xdr:col>
      <xdr:colOff>24848</xdr:colOff>
      <xdr:row>16</xdr:row>
      <xdr:rowOff>130226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4043" y="1573695"/>
          <a:ext cx="1358348" cy="25487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621195</xdr:colOff>
      <xdr:row>19</xdr:row>
      <xdr:rowOff>173934</xdr:rowOff>
    </xdr:from>
    <xdr:to>
      <xdr:col>5</xdr:col>
      <xdr:colOff>1954695</xdr:colOff>
      <xdr:row>27</xdr:row>
      <xdr:rowOff>158145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9195" y="4961282"/>
          <a:ext cx="1333500" cy="25021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306456</xdr:colOff>
      <xdr:row>30</xdr:row>
      <xdr:rowOff>57977</xdr:rowOff>
    </xdr:from>
    <xdr:to>
      <xdr:col>6</xdr:col>
      <xdr:colOff>132522</xdr:colOff>
      <xdr:row>38</xdr:row>
      <xdr:rowOff>202091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456" y="8158368"/>
          <a:ext cx="1805609" cy="26620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670891</xdr:colOff>
      <xdr:row>41</xdr:row>
      <xdr:rowOff>215347</xdr:rowOff>
    </xdr:from>
    <xdr:to>
      <xdr:col>6</xdr:col>
      <xdr:colOff>248479</xdr:colOff>
      <xdr:row>49</xdr:row>
      <xdr:rowOff>105280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3152" y="11628782"/>
          <a:ext cx="2252870" cy="2407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480390</xdr:colOff>
      <xdr:row>52</xdr:row>
      <xdr:rowOff>82826</xdr:rowOff>
    </xdr:from>
    <xdr:to>
      <xdr:col>6</xdr:col>
      <xdr:colOff>331304</xdr:colOff>
      <xdr:row>60</xdr:row>
      <xdr:rowOff>199899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651" y="14809304"/>
          <a:ext cx="2526196" cy="2634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679173</xdr:colOff>
      <xdr:row>63</xdr:row>
      <xdr:rowOff>99392</xdr:rowOff>
    </xdr:from>
    <xdr:to>
      <xdr:col>6</xdr:col>
      <xdr:colOff>107674</xdr:colOff>
      <xdr:row>71</xdr:row>
      <xdr:rowOff>224095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1434" y="18138914"/>
          <a:ext cx="2103783" cy="26426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554933</xdr:colOff>
      <xdr:row>76</xdr:row>
      <xdr:rowOff>41412</xdr:rowOff>
    </xdr:from>
    <xdr:to>
      <xdr:col>5</xdr:col>
      <xdr:colOff>1847020</xdr:colOff>
      <xdr:row>80</xdr:row>
      <xdr:rowOff>74542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2933" y="22023455"/>
          <a:ext cx="1292087" cy="1292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538368</xdr:colOff>
      <xdr:row>86</xdr:row>
      <xdr:rowOff>49695</xdr:rowOff>
    </xdr:from>
    <xdr:to>
      <xdr:col>5</xdr:col>
      <xdr:colOff>1913281</xdr:colOff>
      <xdr:row>92</xdr:row>
      <xdr:rowOff>53633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6368" y="25030043"/>
          <a:ext cx="1374913" cy="18923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538369</xdr:colOff>
      <xdr:row>96</xdr:row>
      <xdr:rowOff>49696</xdr:rowOff>
    </xdr:from>
    <xdr:to>
      <xdr:col>7</xdr:col>
      <xdr:colOff>0</xdr:colOff>
      <xdr:row>104</xdr:row>
      <xdr:rowOff>238769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0630" y="28028348"/>
          <a:ext cx="2526196" cy="2706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107</xdr:row>
      <xdr:rowOff>66261</xdr:rowOff>
    </xdr:from>
    <xdr:to>
      <xdr:col>8</xdr:col>
      <xdr:colOff>215348</xdr:colOff>
      <xdr:row>115</xdr:row>
      <xdr:rowOff>222002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357957"/>
          <a:ext cx="2849218" cy="26736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F14" sqref="F1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1.5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P8" sqref="P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49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ABPL-DE-19.20-2107</v>
      </c>
      <c r="O2" s="540"/>
      <c r="P2" s="219" t="s">
        <v>256</v>
      </c>
    </row>
    <row r="3" spans="2:16">
      <c r="B3" s="218"/>
      <c r="C3" s="539" t="s">
        <v>126</v>
      </c>
      <c r="D3" s="539"/>
      <c r="E3" s="539"/>
      <c r="F3" s="540" t="str">
        <f>QUOTATION!F7</f>
        <v>Mr. Arvind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43651</v>
      </c>
      <c r="O3" s="547"/>
      <c r="P3" s="219" t="s">
        <v>256</v>
      </c>
    </row>
    <row r="4" spans="2:16">
      <c r="B4" s="218"/>
      <c r="C4" s="539" t="s">
        <v>127</v>
      </c>
      <c r="D4" s="539"/>
      <c r="E4" s="539"/>
      <c r="F4" s="285" t="str">
        <f>QUOTATION!F8</f>
        <v>Hosur, Bangalore</v>
      </c>
      <c r="G4" s="539"/>
      <c r="H4" s="539"/>
      <c r="I4" s="541" t="s">
        <v>180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43651</v>
      </c>
    </row>
    <row r="5" spans="2:16">
      <c r="B5" s="218"/>
      <c r="C5" s="539" t="s">
        <v>169</v>
      </c>
      <c r="D5" s="539"/>
      <c r="E5" s="539"/>
      <c r="F5" s="540" t="str">
        <f>QUOTATION!F9</f>
        <v>Mr. Prasanth : 9591855724</v>
      </c>
      <c r="G5" s="540"/>
      <c r="H5" s="540"/>
      <c r="I5" s="540"/>
      <c r="J5" s="540"/>
      <c r="K5" s="540"/>
      <c r="L5" s="540"/>
      <c r="M5" s="284" t="s">
        <v>179</v>
      </c>
      <c r="N5" s="540" t="str">
        <f>QUOTATION!M9</f>
        <v>Bal Kumari</v>
      </c>
      <c r="O5" s="540"/>
    </row>
    <row r="6" spans="2:16">
      <c r="B6" s="218"/>
      <c r="C6" s="539" t="s">
        <v>177</v>
      </c>
      <c r="D6" s="539"/>
      <c r="E6" s="539"/>
      <c r="F6" s="285" t="str">
        <f>QUOTATION!F10</f>
        <v>Anodized</v>
      </c>
      <c r="G6" s="539"/>
      <c r="H6" s="539"/>
      <c r="I6" s="541" t="s">
        <v>178</v>
      </c>
      <c r="J6" s="541"/>
      <c r="K6" s="540" t="str">
        <f>QUOTATION!I10</f>
        <v>Silver</v>
      </c>
      <c r="L6" s="540"/>
      <c r="M6" s="284"/>
      <c r="N6" s="541"/>
      <c r="O6" s="541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254</v>
      </c>
      <c r="D8" s="539"/>
      <c r="E8" s="286" t="str">
        <f>'BD Team'!B9</f>
        <v>W01</v>
      </c>
      <c r="F8" s="288" t="s">
        <v>255</v>
      </c>
      <c r="G8" s="540" t="str">
        <f>'BD Team'!D9</f>
        <v>SIDE HUNG WINDOW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UTILITY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247</v>
      </c>
      <c r="M10" s="539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178</v>
      </c>
      <c r="M11" s="539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248</v>
      </c>
      <c r="M12" s="539"/>
      <c r="N12" s="545" t="s">
        <v>256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249</v>
      </c>
      <c r="M13" s="539"/>
      <c r="N13" s="540" t="str">
        <f>CONCATENATE('BD Team'!H9," X ",'BD Team'!I9)</f>
        <v>610 X 1346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250</v>
      </c>
      <c r="M14" s="539"/>
      <c r="N14" s="543">
        <f>'BD Team'!J9</f>
        <v>2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251</v>
      </c>
      <c r="M15" s="539"/>
      <c r="N15" s="540" t="str">
        <f>'BD Team'!C9</f>
        <v>M15000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252</v>
      </c>
      <c r="M16" s="539"/>
      <c r="N16" s="540" t="str">
        <f>'BD Team'!E9</f>
        <v>24MM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253</v>
      </c>
      <c r="M17" s="539"/>
      <c r="N17" s="540" t="str">
        <f>'BD Team'!F9</f>
        <v>RETRACTABLE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254</v>
      </c>
      <c r="D19" s="539"/>
      <c r="E19" s="286" t="str">
        <f>'BD Team'!B10</f>
        <v>W02</v>
      </c>
      <c r="F19" s="288" t="s">
        <v>255</v>
      </c>
      <c r="G19" s="540" t="str">
        <f>'BD Team'!D10</f>
        <v>FIXED GLASS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STAIRS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247</v>
      </c>
      <c r="M21" s="539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178</v>
      </c>
      <c r="M22" s="539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248</v>
      </c>
      <c r="M23" s="539"/>
      <c r="N23" s="542" t="s">
        <v>256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249</v>
      </c>
      <c r="M24" s="539"/>
      <c r="N24" s="540" t="str">
        <f>CONCATENATE('BD Team'!H10," X ",'BD Team'!I10)</f>
        <v>610 X 1346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250</v>
      </c>
      <c r="M25" s="539"/>
      <c r="N25" s="543">
        <f>'BD Team'!J10</f>
        <v>4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251</v>
      </c>
      <c r="M26" s="539"/>
      <c r="N26" s="540" t="str">
        <f>'BD Team'!C10</f>
        <v>M15000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252</v>
      </c>
      <c r="M27" s="539"/>
      <c r="N27" s="540" t="str">
        <f>'BD Team'!E10</f>
        <v>24MM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253</v>
      </c>
      <c r="M28" s="539"/>
      <c r="N28" s="540" t="str">
        <f>'BD Team'!F10</f>
        <v>NO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254</v>
      </c>
      <c r="D30" s="539"/>
      <c r="E30" s="286" t="str">
        <f>'BD Team'!B11</f>
        <v>W03</v>
      </c>
      <c r="F30" s="288" t="s">
        <v>255</v>
      </c>
      <c r="G30" s="540" t="str">
        <f>'BD Team'!D11</f>
        <v>3 TRACK 2 SHUTTER SLIDING WINDOW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 t="str">
        <f>'BD Team'!G11</f>
        <v>BEDROOMS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247</v>
      </c>
      <c r="M32" s="539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178</v>
      </c>
      <c r="M33" s="539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248</v>
      </c>
      <c r="M34" s="539"/>
      <c r="N34" s="542" t="s">
        <v>256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249</v>
      </c>
      <c r="M35" s="539"/>
      <c r="N35" s="540" t="str">
        <f>CONCATENATE('BD Team'!H11," X ",'BD Team'!I11)</f>
        <v>1219 X 1346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250</v>
      </c>
      <c r="M36" s="539"/>
      <c r="N36" s="543">
        <f>'BD Team'!J11</f>
        <v>4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251</v>
      </c>
      <c r="M37" s="539"/>
      <c r="N37" s="540" t="str">
        <f>'BD Team'!C11</f>
        <v>M14600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252</v>
      </c>
      <c r="M38" s="539"/>
      <c r="N38" s="540" t="str">
        <f>'BD Team'!E11</f>
        <v>24MM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253</v>
      </c>
      <c r="M39" s="539"/>
      <c r="N39" s="540" t="str">
        <f>'BD Team'!F11</f>
        <v>SS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254</v>
      </c>
      <c r="D41" s="539"/>
      <c r="E41" s="286" t="str">
        <f>'BD Team'!B12</f>
        <v>W04</v>
      </c>
      <c r="F41" s="288" t="s">
        <v>255</v>
      </c>
      <c r="G41" s="540" t="str">
        <f>'BD Team'!D12</f>
        <v>FIXED GLASS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 t="str">
        <f>'BD Team'!G12</f>
        <v>HALL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247</v>
      </c>
      <c r="M43" s="539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178</v>
      </c>
      <c r="M44" s="539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248</v>
      </c>
      <c r="M45" s="539"/>
      <c r="N45" s="542" t="s">
        <v>256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249</v>
      </c>
      <c r="M46" s="539"/>
      <c r="N46" s="540" t="str">
        <f>CONCATENATE('BD Team'!H12," X ",'BD Team'!I12)</f>
        <v>1829 X 1956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250</v>
      </c>
      <c r="M47" s="539"/>
      <c r="N47" s="543">
        <f>'BD Team'!J12</f>
        <v>1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251</v>
      </c>
      <c r="M48" s="539"/>
      <c r="N48" s="540" t="str">
        <f>'BD Team'!C12</f>
        <v>M15000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252</v>
      </c>
      <c r="M49" s="539"/>
      <c r="N49" s="540" t="str">
        <f>'BD Team'!E12</f>
        <v>24MM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253</v>
      </c>
      <c r="M50" s="539"/>
      <c r="N50" s="540" t="str">
        <f>'BD Team'!F12</f>
        <v>NO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254</v>
      </c>
      <c r="D52" s="539"/>
      <c r="E52" s="286" t="str">
        <f>'BD Team'!B13</f>
        <v>W05</v>
      </c>
      <c r="F52" s="288" t="s">
        <v>255</v>
      </c>
      <c r="G52" s="540" t="str">
        <f>'BD Team'!D13</f>
        <v>3 TRACK 2 SHUTTER SLIDING WINDOW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 t="str">
        <f>'BD Team'!G13</f>
        <v>BEDROOM HALL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247</v>
      </c>
      <c r="M54" s="539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178</v>
      </c>
      <c r="M55" s="539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248</v>
      </c>
      <c r="M56" s="539"/>
      <c r="N56" s="542" t="s">
        <v>256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249</v>
      </c>
      <c r="M57" s="539"/>
      <c r="N57" s="540" t="str">
        <f>CONCATENATE('BD Team'!H13," X ",'BD Team'!I13)</f>
        <v>1829 X 1346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250</v>
      </c>
      <c r="M58" s="539"/>
      <c r="N58" s="543">
        <f>'BD Team'!J13</f>
        <v>6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251</v>
      </c>
      <c r="M59" s="539"/>
      <c r="N59" s="540" t="str">
        <f>'BD Team'!C13</f>
        <v>M14600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252</v>
      </c>
      <c r="M60" s="539"/>
      <c r="N60" s="540" t="str">
        <f>'BD Team'!E13</f>
        <v>24MM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253</v>
      </c>
      <c r="M61" s="539"/>
      <c r="N61" s="540" t="str">
        <f>'BD Team'!F13</f>
        <v>SS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254</v>
      </c>
      <c r="D63" s="539"/>
      <c r="E63" s="286" t="str">
        <f>'BD Team'!B14</f>
        <v>KW1</v>
      </c>
      <c r="F63" s="288" t="s">
        <v>255</v>
      </c>
      <c r="G63" s="540" t="str">
        <f>'BD Team'!D14</f>
        <v>3 TRACK 2 SHUTTER SLIDING WINDOW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 t="str">
        <f>'BD Team'!G14</f>
        <v>KITCHEN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247</v>
      </c>
      <c r="M65" s="539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178</v>
      </c>
      <c r="M66" s="539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248</v>
      </c>
      <c r="M67" s="539"/>
      <c r="N67" s="542" t="s">
        <v>256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249</v>
      </c>
      <c r="M68" s="539"/>
      <c r="N68" s="540" t="str">
        <f>CONCATENATE('BD Team'!H14," X ",'BD Team'!I14)</f>
        <v>1219 X 1041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250</v>
      </c>
      <c r="M69" s="539"/>
      <c r="N69" s="543">
        <f>'BD Team'!J14</f>
        <v>1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251</v>
      </c>
      <c r="M70" s="539"/>
      <c r="N70" s="540" t="str">
        <f>'BD Team'!C14</f>
        <v>M14600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252</v>
      </c>
      <c r="M71" s="539"/>
      <c r="N71" s="540" t="str">
        <f>'BD Team'!E14</f>
        <v>24MM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253</v>
      </c>
      <c r="M72" s="539"/>
      <c r="N72" s="540" t="str">
        <f>'BD Team'!F14</f>
        <v>SS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254</v>
      </c>
      <c r="D74" s="539"/>
      <c r="E74" s="286" t="str">
        <f>'BD Team'!B15</f>
        <v>V1</v>
      </c>
      <c r="F74" s="288" t="s">
        <v>255</v>
      </c>
      <c r="G74" s="540" t="str">
        <f>'BD Team'!D15</f>
        <v>FIXED GLASS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 t="str">
        <f>'BD Team'!G15</f>
        <v>VENTILATOR 1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247</v>
      </c>
      <c r="M76" s="539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178</v>
      </c>
      <c r="M77" s="539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248</v>
      </c>
      <c r="M78" s="539"/>
      <c r="N78" s="542" t="s">
        <v>256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249</v>
      </c>
      <c r="M79" s="539"/>
      <c r="N79" s="540" t="str">
        <f>CONCATENATE('BD Team'!H15," X ",'BD Team'!I15)</f>
        <v>610 X 610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250</v>
      </c>
      <c r="M80" s="539"/>
      <c r="N80" s="543">
        <f>'BD Team'!J15</f>
        <v>3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251</v>
      </c>
      <c r="M81" s="539"/>
      <c r="N81" s="540" t="str">
        <f>'BD Team'!C15</f>
        <v>M15000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252</v>
      </c>
      <c r="M82" s="539"/>
      <c r="N82" s="540" t="str">
        <f>'BD Team'!E15</f>
        <v>6MM (F)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253</v>
      </c>
      <c r="M83" s="539"/>
      <c r="N83" s="540" t="str">
        <f>'BD Team'!F15</f>
        <v>NO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254</v>
      </c>
      <c r="D85" s="539"/>
      <c r="E85" s="286" t="str">
        <f>'BD Team'!B16</f>
        <v>V2</v>
      </c>
      <c r="F85" s="288" t="s">
        <v>255</v>
      </c>
      <c r="G85" s="540" t="str">
        <f>'BD Team'!D16</f>
        <v>FIXED GLASS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 t="str">
        <f>'BD Team'!G16</f>
        <v>VENTILATOR 2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247</v>
      </c>
      <c r="M87" s="539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178</v>
      </c>
      <c r="M88" s="539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248</v>
      </c>
      <c r="M89" s="539"/>
      <c r="N89" s="542" t="s">
        <v>256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249</v>
      </c>
      <c r="M90" s="539"/>
      <c r="N90" s="540" t="str">
        <f>CONCATENATE('BD Team'!H16," X ",'BD Team'!I16)</f>
        <v>610 X 914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250</v>
      </c>
      <c r="M91" s="539"/>
      <c r="N91" s="543">
        <f>'BD Team'!J16</f>
        <v>1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251</v>
      </c>
      <c r="M92" s="539"/>
      <c r="N92" s="540" t="str">
        <f>'BD Team'!C16</f>
        <v>M15000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252</v>
      </c>
      <c r="M93" s="539"/>
      <c r="N93" s="540" t="str">
        <f>'BD Team'!E16</f>
        <v>6MM (F)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253</v>
      </c>
      <c r="M94" s="539"/>
      <c r="N94" s="540" t="str">
        <f>'BD Team'!F16</f>
        <v>NO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254</v>
      </c>
      <c r="D96" s="539"/>
      <c r="E96" s="286" t="str">
        <f>'BD Team'!B17</f>
        <v>SD1</v>
      </c>
      <c r="F96" s="288" t="s">
        <v>255</v>
      </c>
      <c r="G96" s="540" t="str">
        <f>'BD Team'!D17</f>
        <v>3 TRACK 2 SHUTTER SLIDING DOOR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 t="str">
        <f>'BD Team'!G17</f>
        <v>BALCONY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247</v>
      </c>
      <c r="M98" s="539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178</v>
      </c>
      <c r="M99" s="539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248</v>
      </c>
      <c r="M100" s="539"/>
      <c r="N100" s="542" t="s">
        <v>256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249</v>
      </c>
      <c r="M101" s="539"/>
      <c r="N101" s="540" t="str">
        <f>CONCATENATE('BD Team'!H17," X ",'BD Team'!I17)</f>
        <v>3353 X 3048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250</v>
      </c>
      <c r="M102" s="539"/>
      <c r="N102" s="543">
        <f>'BD Team'!J17</f>
        <v>1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251</v>
      </c>
      <c r="M103" s="539"/>
      <c r="N103" s="540" t="str">
        <f>'BD Team'!C17</f>
        <v>M14600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252</v>
      </c>
      <c r="M104" s="539"/>
      <c r="N104" s="540" t="str">
        <f>'BD Team'!E17</f>
        <v>24MM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253</v>
      </c>
      <c r="M105" s="539"/>
      <c r="N105" s="540" t="str">
        <f>'BD Team'!F17</f>
        <v>SS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254</v>
      </c>
      <c r="D107" s="539"/>
      <c r="E107" s="286" t="str">
        <f>'BD Team'!B18</f>
        <v>SD2</v>
      </c>
      <c r="F107" s="288" t="s">
        <v>255</v>
      </c>
      <c r="G107" s="540" t="str">
        <f>'BD Team'!D18</f>
        <v>3 TRACK 2 SHUTTER SLIDING DOOR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 t="str">
        <f>'BD Team'!G18</f>
        <v>HALL DOOR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247</v>
      </c>
      <c r="M109" s="539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178</v>
      </c>
      <c r="M110" s="539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248</v>
      </c>
      <c r="M111" s="539"/>
      <c r="N111" s="542" t="s">
        <v>256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249</v>
      </c>
      <c r="M112" s="539"/>
      <c r="N112" s="540" t="str">
        <f>CONCATENATE('BD Team'!H18," X ",'BD Team'!I18)</f>
        <v>3353 X 2565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250</v>
      </c>
      <c r="M113" s="539"/>
      <c r="N113" s="543">
        <f>'BD Team'!J18</f>
        <v>1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251</v>
      </c>
      <c r="M114" s="539"/>
      <c r="N114" s="540" t="str">
        <f>'BD Team'!C18</f>
        <v>M14600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252</v>
      </c>
      <c r="M115" s="539"/>
      <c r="N115" s="540" t="str">
        <f>'BD Team'!E18</f>
        <v>24MM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253</v>
      </c>
      <c r="M116" s="539"/>
      <c r="N116" s="540" t="str">
        <f>'BD Team'!F18</f>
        <v>SS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254</v>
      </c>
      <c r="D118" s="539"/>
      <c r="E118" s="286">
        <f>'BD Team'!B19</f>
        <v>0</v>
      </c>
      <c r="F118" s="288" t="s">
        <v>255</v>
      </c>
      <c r="G118" s="540">
        <f>'BD Team'!D19</f>
        <v>0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>
        <f>'BD Team'!G19</f>
        <v>0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247</v>
      </c>
      <c r="M120" s="539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178</v>
      </c>
      <c r="M121" s="539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248</v>
      </c>
      <c r="M122" s="539"/>
      <c r="N122" s="542" t="s">
        <v>256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249</v>
      </c>
      <c r="M123" s="539"/>
      <c r="N123" s="540" t="str">
        <f>CONCATENATE('BD Team'!H19," X ",'BD Team'!I19)</f>
        <v xml:space="preserve"> X 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250</v>
      </c>
      <c r="M124" s="539"/>
      <c r="N124" s="543">
        <f>'BD Team'!J19</f>
        <v>0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251</v>
      </c>
      <c r="M125" s="539"/>
      <c r="N125" s="540">
        <f>'BD Team'!C19</f>
        <v>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252</v>
      </c>
      <c r="M126" s="539"/>
      <c r="N126" s="540">
        <f>'BD Team'!E19</f>
        <v>0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253</v>
      </c>
      <c r="M127" s="539"/>
      <c r="N127" s="540">
        <f>'BD Team'!F19</f>
        <v>0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254</v>
      </c>
      <c r="D129" s="539"/>
      <c r="E129" s="286">
        <f>'BD Team'!B20</f>
        <v>0</v>
      </c>
      <c r="F129" s="288" t="s">
        <v>255</v>
      </c>
      <c r="G129" s="540">
        <f>'BD Team'!D20</f>
        <v>0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>
        <f>'BD Team'!G20</f>
        <v>0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247</v>
      </c>
      <c r="M131" s="539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178</v>
      </c>
      <c r="M132" s="539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248</v>
      </c>
      <c r="M133" s="539"/>
      <c r="N133" s="542" t="s">
        <v>256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249</v>
      </c>
      <c r="M134" s="539"/>
      <c r="N134" s="540" t="str">
        <f>CONCATENATE('BD Team'!H20," X ",'BD Team'!I20)</f>
        <v xml:space="preserve"> X 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250</v>
      </c>
      <c r="M135" s="539"/>
      <c r="N135" s="543">
        <f>'BD Team'!J20</f>
        <v>0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251</v>
      </c>
      <c r="M136" s="539"/>
      <c r="N136" s="540">
        <f>'BD Team'!C20</f>
        <v>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252</v>
      </c>
      <c r="M137" s="539"/>
      <c r="N137" s="540">
        <f>'BD Team'!E20</f>
        <v>0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253</v>
      </c>
      <c r="M138" s="539"/>
      <c r="N138" s="540">
        <f>'BD Team'!F20</f>
        <v>0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254</v>
      </c>
      <c r="D140" s="539"/>
      <c r="E140" s="286">
        <f>'BD Team'!B21</f>
        <v>0</v>
      </c>
      <c r="F140" s="288" t="s">
        <v>255</v>
      </c>
      <c r="G140" s="540">
        <f>'BD Team'!D21</f>
        <v>0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>
        <f>'BD Team'!G21</f>
        <v>0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247</v>
      </c>
      <c r="M142" s="539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178</v>
      </c>
      <c r="M143" s="539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248</v>
      </c>
      <c r="M144" s="539"/>
      <c r="N144" s="542" t="s">
        <v>256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249</v>
      </c>
      <c r="M145" s="539"/>
      <c r="N145" s="540" t="str">
        <f>CONCATENATE('BD Team'!H21," X ",'BD Team'!I21)</f>
        <v xml:space="preserve"> X 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250</v>
      </c>
      <c r="M146" s="539"/>
      <c r="N146" s="543">
        <f>'BD Team'!J21</f>
        <v>0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251</v>
      </c>
      <c r="M147" s="539"/>
      <c r="N147" s="540">
        <f>'BD Team'!C21</f>
        <v>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252</v>
      </c>
      <c r="M148" s="539"/>
      <c r="N148" s="540">
        <f>'BD Team'!E21</f>
        <v>0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253</v>
      </c>
      <c r="M149" s="539"/>
      <c r="N149" s="540">
        <f>'BD Team'!F21</f>
        <v>0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254</v>
      </c>
      <c r="D151" s="539"/>
      <c r="E151" s="286">
        <f>'BD Team'!B22</f>
        <v>0</v>
      </c>
      <c r="F151" s="288" t="s">
        <v>255</v>
      </c>
      <c r="G151" s="540">
        <f>'BD Team'!D22</f>
        <v>0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>
        <f>'BD Team'!G22</f>
        <v>0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247</v>
      </c>
      <c r="M153" s="539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178</v>
      </c>
      <c r="M154" s="539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248</v>
      </c>
      <c r="M155" s="539"/>
      <c r="N155" s="542" t="s">
        <v>256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249</v>
      </c>
      <c r="M156" s="539"/>
      <c r="N156" s="540" t="str">
        <f>CONCATENATE('BD Team'!H22," X ",'BD Team'!I22)</f>
        <v xml:space="preserve"> X 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250</v>
      </c>
      <c r="M157" s="539"/>
      <c r="N157" s="543">
        <f>'BD Team'!J22</f>
        <v>0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251</v>
      </c>
      <c r="M158" s="539"/>
      <c r="N158" s="540">
        <f>'BD Team'!C22</f>
        <v>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252</v>
      </c>
      <c r="M159" s="539"/>
      <c r="N159" s="540">
        <f>'BD Team'!E22</f>
        <v>0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253</v>
      </c>
      <c r="M160" s="539"/>
      <c r="N160" s="540">
        <f>'BD Team'!F22</f>
        <v>0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254</v>
      </c>
      <c r="D162" s="539"/>
      <c r="E162" s="286">
        <f>'BD Team'!B23</f>
        <v>0</v>
      </c>
      <c r="F162" s="288" t="s">
        <v>255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>
        <f>'BD Team'!G23</f>
        <v>0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247</v>
      </c>
      <c r="M164" s="539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178</v>
      </c>
      <c r="M165" s="539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248</v>
      </c>
      <c r="M166" s="539"/>
      <c r="N166" s="542" t="s">
        <v>256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249</v>
      </c>
      <c r="M167" s="539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250</v>
      </c>
      <c r="M168" s="539"/>
      <c r="N168" s="543">
        <f>'BD Team'!J23</f>
        <v>0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251</v>
      </c>
      <c r="M169" s="539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252</v>
      </c>
      <c r="M170" s="539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253</v>
      </c>
      <c r="M171" s="539"/>
      <c r="N171" s="540">
        <f>'BD Team'!F23</f>
        <v>0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254</v>
      </c>
      <c r="D173" s="539"/>
      <c r="E173" s="286">
        <f>'BD Team'!B24</f>
        <v>0</v>
      </c>
      <c r="F173" s="288" t="s">
        <v>255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>
        <f>'BD Team'!G24</f>
        <v>0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247</v>
      </c>
      <c r="M175" s="539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178</v>
      </c>
      <c r="M176" s="539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248</v>
      </c>
      <c r="M177" s="539"/>
      <c r="N177" s="542" t="s">
        <v>256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249</v>
      </c>
      <c r="M178" s="539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250</v>
      </c>
      <c r="M179" s="539"/>
      <c r="N179" s="543">
        <f>'BD Team'!J24</f>
        <v>0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251</v>
      </c>
      <c r="M180" s="539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252</v>
      </c>
      <c r="M181" s="539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253</v>
      </c>
      <c r="M182" s="539"/>
      <c r="N182" s="540">
        <f>'BD Team'!F24</f>
        <v>0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254</v>
      </c>
      <c r="D184" s="539"/>
      <c r="E184" s="286">
        <f>'BD Team'!B25</f>
        <v>0</v>
      </c>
      <c r="F184" s="288" t="s">
        <v>255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>
        <f>'BD Team'!G25</f>
        <v>0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247</v>
      </c>
      <c r="M186" s="539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178</v>
      </c>
      <c r="M187" s="539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248</v>
      </c>
      <c r="M188" s="539"/>
      <c r="N188" s="542" t="s">
        <v>256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249</v>
      </c>
      <c r="M189" s="539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250</v>
      </c>
      <c r="M190" s="539"/>
      <c r="N190" s="543">
        <f>'BD Team'!J25</f>
        <v>0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251</v>
      </c>
      <c r="M191" s="539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252</v>
      </c>
      <c r="M192" s="539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253</v>
      </c>
      <c r="M193" s="539"/>
      <c r="N193" s="540">
        <f>'BD Team'!F25</f>
        <v>0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254</v>
      </c>
      <c r="D195" s="539"/>
      <c r="E195" s="286">
        <f>'BD Team'!B26</f>
        <v>0</v>
      </c>
      <c r="F195" s="288" t="s">
        <v>255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>
        <f>'BD Team'!G26</f>
        <v>0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247</v>
      </c>
      <c r="M197" s="539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178</v>
      </c>
      <c r="M198" s="539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248</v>
      </c>
      <c r="M199" s="539"/>
      <c r="N199" s="542" t="s">
        <v>256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249</v>
      </c>
      <c r="M200" s="539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250</v>
      </c>
      <c r="M201" s="539"/>
      <c r="N201" s="543">
        <f>'BD Team'!J26</f>
        <v>0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251</v>
      </c>
      <c r="M202" s="539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252</v>
      </c>
      <c r="M203" s="539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253</v>
      </c>
      <c r="M204" s="539"/>
      <c r="N204" s="540">
        <f>'BD Team'!F26</f>
        <v>0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254</v>
      </c>
      <c r="D206" s="539"/>
      <c r="E206" s="286">
        <f>'BD Team'!B27</f>
        <v>0</v>
      </c>
      <c r="F206" s="288" t="s">
        <v>255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>
        <f>'BD Team'!G27</f>
        <v>0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247</v>
      </c>
      <c r="M208" s="539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178</v>
      </c>
      <c r="M209" s="539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248</v>
      </c>
      <c r="M210" s="539"/>
      <c r="N210" s="542" t="s">
        <v>256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249</v>
      </c>
      <c r="M211" s="539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250</v>
      </c>
      <c r="M212" s="539"/>
      <c r="N212" s="543">
        <f>'BD Team'!J27</f>
        <v>0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251</v>
      </c>
      <c r="M213" s="539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252</v>
      </c>
      <c r="M214" s="539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253</v>
      </c>
      <c r="M215" s="539"/>
      <c r="N215" s="540">
        <f>'BD Team'!F27</f>
        <v>0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254</v>
      </c>
      <c r="D217" s="539"/>
      <c r="E217" s="286">
        <f>'BD Team'!B28</f>
        <v>0</v>
      </c>
      <c r="F217" s="288" t="s">
        <v>255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>
        <f>'BD Team'!G28</f>
        <v>0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247</v>
      </c>
      <c r="M219" s="539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178</v>
      </c>
      <c r="M220" s="539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248</v>
      </c>
      <c r="M221" s="539"/>
      <c r="N221" s="542" t="s">
        <v>256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249</v>
      </c>
      <c r="M222" s="539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250</v>
      </c>
      <c r="M223" s="539"/>
      <c r="N223" s="543">
        <f>'BD Team'!J28</f>
        <v>0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251</v>
      </c>
      <c r="M224" s="539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252</v>
      </c>
      <c r="M225" s="539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253</v>
      </c>
      <c r="M226" s="539"/>
      <c r="N226" s="540">
        <f>'BD Team'!F28</f>
        <v>0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254</v>
      </c>
      <c r="D228" s="539"/>
      <c r="E228" s="286">
        <f>'BD Team'!B29</f>
        <v>0</v>
      </c>
      <c r="F228" s="288" t="s">
        <v>255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>
        <f>'BD Team'!G29</f>
        <v>0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247</v>
      </c>
      <c r="M230" s="539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178</v>
      </c>
      <c r="M231" s="539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248</v>
      </c>
      <c r="M232" s="539"/>
      <c r="N232" s="542" t="s">
        <v>256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249</v>
      </c>
      <c r="M233" s="539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250</v>
      </c>
      <c r="M234" s="539"/>
      <c r="N234" s="543">
        <f>'BD Team'!J29</f>
        <v>0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251</v>
      </c>
      <c r="M235" s="539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252</v>
      </c>
      <c r="M236" s="539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253</v>
      </c>
      <c r="M237" s="539"/>
      <c r="N237" s="540">
        <f>'BD Team'!F29</f>
        <v>0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254</v>
      </c>
      <c r="D239" s="539"/>
      <c r="E239" s="286">
        <f>'BD Team'!B30</f>
        <v>0</v>
      </c>
      <c r="F239" s="288" t="s">
        <v>255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>
        <f>'BD Team'!G30</f>
        <v>0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247</v>
      </c>
      <c r="M241" s="539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178</v>
      </c>
      <c r="M242" s="539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248</v>
      </c>
      <c r="M243" s="539"/>
      <c r="N243" s="542" t="s">
        <v>256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249</v>
      </c>
      <c r="M244" s="539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250</v>
      </c>
      <c r="M245" s="539"/>
      <c r="N245" s="543">
        <f>'BD Team'!J30</f>
        <v>0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251</v>
      </c>
      <c r="M246" s="539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252</v>
      </c>
      <c r="M247" s="539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253</v>
      </c>
      <c r="M248" s="539"/>
      <c r="N248" s="540">
        <f>'BD Team'!F30</f>
        <v>0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254</v>
      </c>
      <c r="D250" s="539"/>
      <c r="E250" s="286">
        <f>'BD Team'!B31</f>
        <v>0</v>
      </c>
      <c r="F250" s="288" t="s">
        <v>255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>
        <f>'BD Team'!G31</f>
        <v>0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247</v>
      </c>
      <c r="M252" s="539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178</v>
      </c>
      <c r="M253" s="539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248</v>
      </c>
      <c r="M254" s="539"/>
      <c r="N254" s="542" t="s">
        <v>256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249</v>
      </c>
      <c r="M255" s="539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250</v>
      </c>
      <c r="M256" s="539"/>
      <c r="N256" s="543">
        <f>'BD Team'!J31</f>
        <v>0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251</v>
      </c>
      <c r="M257" s="539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252</v>
      </c>
      <c r="M258" s="539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253</v>
      </c>
      <c r="M259" s="539"/>
      <c r="N259" s="540">
        <f>'BD Team'!F31</f>
        <v>0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254</v>
      </c>
      <c r="D261" s="539"/>
      <c r="E261" s="286">
        <f>'BD Team'!B32</f>
        <v>0</v>
      </c>
      <c r="F261" s="288" t="s">
        <v>255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>
        <f>'BD Team'!G32</f>
        <v>0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247</v>
      </c>
      <c r="M263" s="539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178</v>
      </c>
      <c r="M264" s="539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248</v>
      </c>
      <c r="M265" s="539"/>
      <c r="N265" s="542" t="s">
        <v>256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249</v>
      </c>
      <c r="M266" s="539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250</v>
      </c>
      <c r="M267" s="539"/>
      <c r="N267" s="543">
        <f>'BD Team'!J32</f>
        <v>0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251</v>
      </c>
      <c r="M268" s="539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252</v>
      </c>
      <c r="M269" s="539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253</v>
      </c>
      <c r="M270" s="539"/>
      <c r="N270" s="540">
        <f>'BD Team'!F32</f>
        <v>0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254</v>
      </c>
      <c r="D272" s="539"/>
      <c r="E272" s="286">
        <f>'BD Team'!B33</f>
        <v>0</v>
      </c>
      <c r="F272" s="288" t="s">
        <v>255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>
        <f>'BD Team'!G33</f>
        <v>0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247</v>
      </c>
      <c r="M274" s="539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178</v>
      </c>
      <c r="M275" s="539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248</v>
      </c>
      <c r="M276" s="539"/>
      <c r="N276" s="542" t="s">
        <v>256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249</v>
      </c>
      <c r="M277" s="539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250</v>
      </c>
      <c r="M278" s="539"/>
      <c r="N278" s="543">
        <f>'BD Team'!J33</f>
        <v>0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251</v>
      </c>
      <c r="M279" s="539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252</v>
      </c>
      <c r="M280" s="539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253</v>
      </c>
      <c r="M281" s="539"/>
      <c r="N281" s="540">
        <f>'BD Team'!F33</f>
        <v>0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254</v>
      </c>
      <c r="D283" s="539"/>
      <c r="E283" s="286">
        <f>'BD Team'!B34</f>
        <v>0</v>
      </c>
      <c r="F283" s="288" t="s">
        <v>255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>
        <f>'BD Team'!G34</f>
        <v>0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247</v>
      </c>
      <c r="M285" s="539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178</v>
      </c>
      <c r="M286" s="539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248</v>
      </c>
      <c r="M287" s="539"/>
      <c r="N287" s="542" t="s">
        <v>256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249</v>
      </c>
      <c r="M288" s="539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250</v>
      </c>
      <c r="M289" s="539"/>
      <c r="N289" s="543">
        <f>'BD Team'!J34</f>
        <v>0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251</v>
      </c>
      <c r="M290" s="539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252</v>
      </c>
      <c r="M291" s="539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253</v>
      </c>
      <c r="M292" s="539"/>
      <c r="N292" s="540">
        <f>'BD Team'!F34</f>
        <v>0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254</v>
      </c>
      <c r="D294" s="539"/>
      <c r="E294" s="286">
        <f>'BD Team'!B35</f>
        <v>0</v>
      </c>
      <c r="F294" s="288" t="s">
        <v>255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>
        <f>'BD Team'!G35</f>
        <v>0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247</v>
      </c>
      <c r="M296" s="539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178</v>
      </c>
      <c r="M297" s="539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248</v>
      </c>
      <c r="M298" s="539"/>
      <c r="N298" s="542" t="s">
        <v>256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249</v>
      </c>
      <c r="M299" s="539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250</v>
      </c>
      <c r="M300" s="539"/>
      <c r="N300" s="543">
        <f>'BD Team'!J35</f>
        <v>0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251</v>
      </c>
      <c r="M301" s="539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252</v>
      </c>
      <c r="M302" s="539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253</v>
      </c>
      <c r="M303" s="539"/>
      <c r="N303" s="540">
        <f>'BD Team'!F35</f>
        <v>0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254</v>
      </c>
      <c r="D305" s="539"/>
      <c r="E305" s="286">
        <f>'BD Team'!B36</f>
        <v>0</v>
      </c>
      <c r="F305" s="288" t="s">
        <v>255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>
        <f>'BD Team'!G36</f>
        <v>0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247</v>
      </c>
      <c r="M307" s="539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178</v>
      </c>
      <c r="M308" s="539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248</v>
      </c>
      <c r="M309" s="539"/>
      <c r="N309" s="542" t="s">
        <v>256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249</v>
      </c>
      <c r="M310" s="539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250</v>
      </c>
      <c r="M311" s="539"/>
      <c r="N311" s="543">
        <f>'BD Team'!J36</f>
        <v>0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251</v>
      </c>
      <c r="M312" s="539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252</v>
      </c>
      <c r="M313" s="539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253</v>
      </c>
      <c r="M314" s="539"/>
      <c r="N314" s="540">
        <f>'BD Team'!F36</f>
        <v>0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254</v>
      </c>
      <c r="D316" s="539"/>
      <c r="E316" s="286">
        <f>'BD Team'!B37</f>
        <v>0</v>
      </c>
      <c r="F316" s="288" t="s">
        <v>255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>
        <f>'BD Team'!G37</f>
        <v>0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247</v>
      </c>
      <c r="M318" s="539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178</v>
      </c>
      <c r="M319" s="539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248</v>
      </c>
      <c r="M320" s="539"/>
      <c r="N320" s="542" t="s">
        <v>256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249</v>
      </c>
      <c r="M321" s="539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250</v>
      </c>
      <c r="M322" s="539"/>
      <c r="N322" s="543">
        <f>'BD Team'!J37</f>
        <v>0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251</v>
      </c>
      <c r="M323" s="539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252</v>
      </c>
      <c r="M324" s="539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253</v>
      </c>
      <c r="M325" s="539"/>
      <c r="N325" s="540">
        <f>'BD Team'!F37</f>
        <v>0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254</v>
      </c>
      <c r="D327" s="539"/>
      <c r="E327" s="286">
        <f>'BD Team'!B38</f>
        <v>0</v>
      </c>
      <c r="F327" s="288" t="s">
        <v>255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>
        <f>'BD Team'!G38</f>
        <v>0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247</v>
      </c>
      <c r="M329" s="539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178</v>
      </c>
      <c r="M330" s="539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248</v>
      </c>
      <c r="M331" s="539"/>
      <c r="N331" s="542" t="s">
        <v>256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249</v>
      </c>
      <c r="M332" s="539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250</v>
      </c>
      <c r="M333" s="539"/>
      <c r="N333" s="543">
        <f>'BD Team'!J38</f>
        <v>0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251</v>
      </c>
      <c r="M334" s="539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252</v>
      </c>
      <c r="M335" s="539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253</v>
      </c>
      <c r="M336" s="539"/>
      <c r="N336" s="540">
        <f>'BD Team'!F38</f>
        <v>0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254</v>
      </c>
      <c r="D338" s="539"/>
      <c r="E338" s="286">
        <f>'BD Team'!B39</f>
        <v>0</v>
      </c>
      <c r="F338" s="288" t="s">
        <v>255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>
        <f>'BD Team'!G39</f>
        <v>0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247</v>
      </c>
      <c r="M340" s="539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178</v>
      </c>
      <c r="M341" s="539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248</v>
      </c>
      <c r="M342" s="539"/>
      <c r="N342" s="542" t="s">
        <v>256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249</v>
      </c>
      <c r="M343" s="539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250</v>
      </c>
      <c r="M344" s="539"/>
      <c r="N344" s="543">
        <f>'BD Team'!J39</f>
        <v>0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251</v>
      </c>
      <c r="M345" s="539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252</v>
      </c>
      <c r="M346" s="539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253</v>
      </c>
      <c r="M347" s="539"/>
      <c r="N347" s="540">
        <f>'BD Team'!F39</f>
        <v>0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254</v>
      </c>
      <c r="D349" s="539"/>
      <c r="E349" s="286">
        <f>'BD Team'!B40</f>
        <v>0</v>
      </c>
      <c r="F349" s="288" t="s">
        <v>255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>
        <f>'BD Team'!G40</f>
        <v>0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247</v>
      </c>
      <c r="M351" s="539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178</v>
      </c>
      <c r="M352" s="539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248</v>
      </c>
      <c r="M353" s="539"/>
      <c r="N353" s="542" t="s">
        <v>256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249</v>
      </c>
      <c r="M354" s="539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250</v>
      </c>
      <c r="M355" s="539"/>
      <c r="N355" s="543">
        <f>'BD Team'!J40</f>
        <v>0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251</v>
      </c>
      <c r="M356" s="539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252</v>
      </c>
      <c r="M357" s="539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253</v>
      </c>
      <c r="M358" s="539"/>
      <c r="N358" s="540">
        <f>'BD Team'!F40</f>
        <v>0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254</v>
      </c>
      <c r="D360" s="539"/>
      <c r="E360" s="286">
        <f>'BD Team'!B41</f>
        <v>0</v>
      </c>
      <c r="F360" s="288" t="s">
        <v>255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>
        <f>'BD Team'!G41</f>
        <v>0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247</v>
      </c>
      <c r="M362" s="539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178</v>
      </c>
      <c r="M363" s="539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248</v>
      </c>
      <c r="M364" s="539"/>
      <c r="N364" s="542" t="s">
        <v>256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249</v>
      </c>
      <c r="M365" s="539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250</v>
      </c>
      <c r="M366" s="539"/>
      <c r="N366" s="543">
        <f>'BD Team'!J41</f>
        <v>0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251</v>
      </c>
      <c r="M367" s="539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252</v>
      </c>
      <c r="M368" s="539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253</v>
      </c>
      <c r="M369" s="539"/>
      <c r="N369" s="540">
        <f>'BD Team'!F41</f>
        <v>0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254</v>
      </c>
      <c r="D371" s="539"/>
      <c r="E371" s="286">
        <f>'BD Team'!B42</f>
        <v>0</v>
      </c>
      <c r="F371" s="288" t="s">
        <v>255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>
        <f>'BD Team'!G42</f>
        <v>0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247</v>
      </c>
      <c r="M373" s="539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178</v>
      </c>
      <c r="M374" s="539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248</v>
      </c>
      <c r="M375" s="539"/>
      <c r="N375" s="542" t="s">
        <v>256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249</v>
      </c>
      <c r="M376" s="539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250</v>
      </c>
      <c r="M377" s="539"/>
      <c r="N377" s="543">
        <f>'BD Team'!J42</f>
        <v>0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251</v>
      </c>
      <c r="M378" s="539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252</v>
      </c>
      <c r="M379" s="539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253</v>
      </c>
      <c r="M380" s="539"/>
      <c r="N380" s="540">
        <f>'BD Team'!F42</f>
        <v>0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254</v>
      </c>
      <c r="D382" s="539"/>
      <c r="E382" s="286">
        <f>'BD Team'!B43</f>
        <v>0</v>
      </c>
      <c r="F382" s="288" t="s">
        <v>255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>
        <f>'BD Team'!G43</f>
        <v>0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247</v>
      </c>
      <c r="M384" s="539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178</v>
      </c>
      <c r="M385" s="539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248</v>
      </c>
      <c r="M386" s="539"/>
      <c r="N386" s="542" t="s">
        <v>256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249</v>
      </c>
      <c r="M387" s="539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250</v>
      </c>
      <c r="M388" s="539"/>
      <c r="N388" s="543">
        <f>'BD Team'!J43</f>
        <v>0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251</v>
      </c>
      <c r="M389" s="539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252</v>
      </c>
      <c r="M390" s="539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253</v>
      </c>
      <c r="M391" s="539"/>
      <c r="N391" s="540">
        <f>'BD Team'!F43</f>
        <v>0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254</v>
      </c>
      <c r="D393" s="539"/>
      <c r="E393" s="286">
        <f>'BD Team'!B44</f>
        <v>0</v>
      </c>
      <c r="F393" s="288" t="s">
        <v>255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247</v>
      </c>
      <c r="M395" s="539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178</v>
      </c>
      <c r="M396" s="539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248</v>
      </c>
      <c r="M397" s="539"/>
      <c r="N397" s="542" t="s">
        <v>256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249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250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251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252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253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254</v>
      </c>
      <c r="D404" s="539"/>
      <c r="E404" s="286">
        <f>'BD Team'!B45</f>
        <v>0</v>
      </c>
      <c r="F404" s="288" t="s">
        <v>255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247</v>
      </c>
      <c r="M406" s="539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178</v>
      </c>
      <c r="M407" s="539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248</v>
      </c>
      <c r="M408" s="539"/>
      <c r="N408" s="542" t="s">
        <v>256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249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250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251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252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253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254</v>
      </c>
      <c r="D415" s="539"/>
      <c r="E415" s="286">
        <f>'BD Team'!B46</f>
        <v>0</v>
      </c>
      <c r="F415" s="288" t="s">
        <v>255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247</v>
      </c>
      <c r="M417" s="539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178</v>
      </c>
      <c r="M418" s="539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248</v>
      </c>
      <c r="M419" s="539"/>
      <c r="N419" s="542" t="s">
        <v>256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249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250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251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252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253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254</v>
      </c>
      <c r="D426" s="539"/>
      <c r="E426" s="286">
        <f>'BD Team'!B47</f>
        <v>0</v>
      </c>
      <c r="F426" s="288" t="s">
        <v>255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247</v>
      </c>
      <c r="M428" s="539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178</v>
      </c>
      <c r="M429" s="539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248</v>
      </c>
      <c r="M430" s="539"/>
      <c r="N430" s="542" t="s">
        <v>256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249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250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251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252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253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254</v>
      </c>
      <c r="D437" s="539"/>
      <c r="E437" s="286">
        <f>'BD Team'!B48</f>
        <v>0</v>
      </c>
      <c r="F437" s="288" t="s">
        <v>255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247</v>
      </c>
      <c r="M439" s="539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178</v>
      </c>
      <c r="M440" s="539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248</v>
      </c>
      <c r="M441" s="539"/>
      <c r="N441" s="542" t="s">
        <v>256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249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250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251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252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253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254</v>
      </c>
      <c r="D448" s="539"/>
      <c r="E448" s="286">
        <f>'BD Team'!B49</f>
        <v>0</v>
      </c>
      <c r="F448" s="288" t="s">
        <v>255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247</v>
      </c>
      <c r="M450" s="539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178</v>
      </c>
      <c r="M451" s="539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248</v>
      </c>
      <c r="M452" s="539"/>
      <c r="N452" s="542" t="s">
        <v>256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249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250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251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252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253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254</v>
      </c>
      <c r="D459" s="539"/>
      <c r="E459" s="286">
        <f>'BD Team'!B50</f>
        <v>0</v>
      </c>
      <c r="F459" s="288" t="s">
        <v>255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247</v>
      </c>
      <c r="M461" s="539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178</v>
      </c>
      <c r="M462" s="539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248</v>
      </c>
      <c r="M463" s="539"/>
      <c r="N463" s="542" t="s">
        <v>256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249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250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251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252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253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254</v>
      </c>
      <c r="D470" s="539"/>
      <c r="E470" s="286">
        <f>'BD Team'!B51</f>
        <v>0</v>
      </c>
      <c r="F470" s="288" t="s">
        <v>255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247</v>
      </c>
      <c r="M472" s="539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178</v>
      </c>
      <c r="M473" s="539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248</v>
      </c>
      <c r="M474" s="539"/>
      <c r="N474" s="542" t="s">
        <v>256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249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250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251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252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253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254</v>
      </c>
      <c r="D481" s="539"/>
      <c r="E481" s="286">
        <f>'BD Team'!B52</f>
        <v>0</v>
      </c>
      <c r="F481" s="288" t="s">
        <v>255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247</v>
      </c>
      <c r="M483" s="539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178</v>
      </c>
      <c r="M484" s="539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248</v>
      </c>
      <c r="M485" s="539"/>
      <c r="N485" s="542" t="s">
        <v>256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249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250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251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252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253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254</v>
      </c>
      <c r="D492" s="539"/>
      <c r="E492" s="286">
        <f>'BD Team'!B53</f>
        <v>0</v>
      </c>
      <c r="F492" s="288" t="s">
        <v>255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247</v>
      </c>
      <c r="M494" s="539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178</v>
      </c>
      <c r="M495" s="539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248</v>
      </c>
      <c r="M496" s="539"/>
      <c r="N496" s="542" t="s">
        <v>256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249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250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251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252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253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254</v>
      </c>
      <c r="D503" s="539"/>
      <c r="E503" s="286">
        <f>'BD Team'!B54</f>
        <v>0</v>
      </c>
      <c r="F503" s="288" t="s">
        <v>255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247</v>
      </c>
      <c r="M505" s="539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178</v>
      </c>
      <c r="M506" s="539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248</v>
      </c>
      <c r="M507" s="539"/>
      <c r="N507" s="542" t="s">
        <v>256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249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250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251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252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253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254</v>
      </c>
      <c r="D514" s="539"/>
      <c r="E514" s="286">
        <f>'BD Team'!B55</f>
        <v>0</v>
      </c>
      <c r="F514" s="288" t="s">
        <v>255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247</v>
      </c>
      <c r="M516" s="539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178</v>
      </c>
      <c r="M517" s="539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248</v>
      </c>
      <c r="M518" s="539"/>
      <c r="N518" s="542" t="s">
        <v>256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249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250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251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252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253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254</v>
      </c>
      <c r="D525" s="539"/>
      <c r="E525" s="286">
        <f>'BD Team'!B56</f>
        <v>0</v>
      </c>
      <c r="F525" s="288" t="s">
        <v>255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247</v>
      </c>
      <c r="M527" s="539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178</v>
      </c>
      <c r="M528" s="539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248</v>
      </c>
      <c r="M529" s="539"/>
      <c r="N529" s="542" t="s">
        <v>256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249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250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251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252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253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254</v>
      </c>
      <c r="D536" s="539"/>
      <c r="E536" s="286">
        <f>'BD Team'!B57</f>
        <v>0</v>
      </c>
      <c r="F536" s="288" t="s">
        <v>255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247</v>
      </c>
      <c r="M538" s="539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178</v>
      </c>
      <c r="M539" s="539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248</v>
      </c>
      <c r="M540" s="539"/>
      <c r="N540" s="542" t="s">
        <v>256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249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250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251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252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253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254</v>
      </c>
      <c r="D547" s="539"/>
      <c r="E547" s="286">
        <f>'BD Team'!B58</f>
        <v>0</v>
      </c>
      <c r="F547" s="288" t="s">
        <v>255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247</v>
      </c>
      <c r="M549" s="539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178</v>
      </c>
      <c r="M550" s="539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248</v>
      </c>
      <c r="M551" s="539"/>
      <c r="N551" s="542" t="s">
        <v>256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249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250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251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252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253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254</v>
      </c>
      <c r="D558" s="539"/>
      <c r="E558" s="289">
        <f>'BD Team'!B59</f>
        <v>0</v>
      </c>
      <c r="F558" s="288" t="s">
        <v>255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48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247</v>
      </c>
      <c r="M560" s="539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178</v>
      </c>
      <c r="M561" s="539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248</v>
      </c>
      <c r="M562" s="539"/>
      <c r="N562" s="542" t="s">
        <v>256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249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250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251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252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253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254</v>
      </c>
      <c r="D569" s="539"/>
      <c r="E569" s="289">
        <f>'BD Team'!B60</f>
        <v>0</v>
      </c>
      <c r="F569" s="288" t="s">
        <v>255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48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247</v>
      </c>
      <c r="M571" s="539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178</v>
      </c>
      <c r="M572" s="539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248</v>
      </c>
      <c r="M573" s="539"/>
      <c r="N573" s="542" t="s">
        <v>256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249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250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251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252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253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254</v>
      </c>
      <c r="D580" s="539"/>
      <c r="E580" s="289">
        <f>'BD Team'!B61</f>
        <v>0</v>
      </c>
      <c r="F580" s="288" t="s">
        <v>255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48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247</v>
      </c>
      <c r="M582" s="539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178</v>
      </c>
      <c r="M583" s="539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248</v>
      </c>
      <c r="M584" s="539"/>
      <c r="N584" s="542" t="s">
        <v>256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249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250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251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252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253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254</v>
      </c>
      <c r="D591" s="539"/>
      <c r="E591" s="289">
        <f>'BD Team'!B62</f>
        <v>0</v>
      </c>
      <c r="F591" s="288" t="s">
        <v>255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48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247</v>
      </c>
      <c r="M593" s="539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178</v>
      </c>
      <c r="M594" s="539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248</v>
      </c>
      <c r="M595" s="539"/>
      <c r="N595" s="542" t="s">
        <v>256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249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250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251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252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253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254</v>
      </c>
      <c r="D602" s="539"/>
      <c r="E602" s="289">
        <f>'BD Team'!B63</f>
        <v>0</v>
      </c>
      <c r="F602" s="288" t="s">
        <v>255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48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247</v>
      </c>
      <c r="M604" s="539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178</v>
      </c>
      <c r="M605" s="539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248</v>
      </c>
      <c r="M606" s="539"/>
      <c r="N606" s="542" t="s">
        <v>256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249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250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251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252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253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254</v>
      </c>
      <c r="D613" s="539"/>
      <c r="E613" s="289">
        <f>'BD Team'!B64</f>
        <v>0</v>
      </c>
      <c r="F613" s="288" t="s">
        <v>255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48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247</v>
      </c>
      <c r="M615" s="539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178</v>
      </c>
      <c r="M616" s="539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248</v>
      </c>
      <c r="M617" s="539"/>
      <c r="N617" s="542" t="s">
        <v>256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249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250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251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252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253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254</v>
      </c>
      <c r="D624" s="539"/>
      <c r="E624" s="289">
        <f>'BD Team'!B65</f>
        <v>0</v>
      </c>
      <c r="F624" s="288" t="s">
        <v>255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48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247</v>
      </c>
      <c r="M626" s="539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178</v>
      </c>
      <c r="M627" s="539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248</v>
      </c>
      <c r="M628" s="539"/>
      <c r="N628" s="542" t="s">
        <v>256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249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250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251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252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253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254</v>
      </c>
      <c r="D635" s="539"/>
      <c r="E635" s="289">
        <f>'BD Team'!B66</f>
        <v>0</v>
      </c>
      <c r="F635" s="288" t="s">
        <v>255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48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247</v>
      </c>
      <c r="M637" s="539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178</v>
      </c>
      <c r="M638" s="539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248</v>
      </c>
      <c r="M639" s="539"/>
      <c r="N639" s="542" t="s">
        <v>256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249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250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251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252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253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254</v>
      </c>
      <c r="D646" s="539"/>
      <c r="E646" s="289">
        <f>'BD Team'!B67</f>
        <v>0</v>
      </c>
      <c r="F646" s="288" t="s">
        <v>255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48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247</v>
      </c>
      <c r="M648" s="539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178</v>
      </c>
      <c r="M649" s="539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248</v>
      </c>
      <c r="M650" s="539"/>
      <c r="N650" s="542" t="s">
        <v>256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249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250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251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252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253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254</v>
      </c>
      <c r="D657" s="539"/>
      <c r="E657" s="289">
        <f>'BD Team'!B68</f>
        <v>0</v>
      </c>
      <c r="F657" s="288" t="s">
        <v>255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48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247</v>
      </c>
      <c r="M659" s="539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178</v>
      </c>
      <c r="M660" s="539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248</v>
      </c>
      <c r="M661" s="539"/>
      <c r="N661" s="542" t="s">
        <v>256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249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250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251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252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253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254</v>
      </c>
      <c r="D668" s="539"/>
      <c r="E668" s="289">
        <f>'BD Team'!B69</f>
        <v>0</v>
      </c>
      <c r="F668" s="288" t="s">
        <v>255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48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247</v>
      </c>
      <c r="M670" s="539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178</v>
      </c>
      <c r="M671" s="539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248</v>
      </c>
      <c r="M672" s="539"/>
      <c r="N672" s="542" t="s">
        <v>256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249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250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251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252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253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254</v>
      </c>
      <c r="D679" s="539"/>
      <c r="E679" s="289">
        <f>'BD Team'!B70</f>
        <v>0</v>
      </c>
      <c r="F679" s="288" t="s">
        <v>255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48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247</v>
      </c>
      <c r="M681" s="539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178</v>
      </c>
      <c r="M682" s="539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248</v>
      </c>
      <c r="M683" s="539"/>
      <c r="N683" s="542" t="s">
        <v>256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249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250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251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252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253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254</v>
      </c>
      <c r="D690" s="539"/>
      <c r="E690" s="289">
        <f>'BD Team'!B71</f>
        <v>0</v>
      </c>
      <c r="F690" s="288" t="s">
        <v>255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48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247</v>
      </c>
      <c r="M692" s="539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178</v>
      </c>
      <c r="M693" s="539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248</v>
      </c>
      <c r="M694" s="539"/>
      <c r="N694" s="542" t="s">
        <v>256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249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250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251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252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253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254</v>
      </c>
      <c r="D701" s="539"/>
      <c r="E701" s="289">
        <f>'BD Team'!B72</f>
        <v>0</v>
      </c>
      <c r="F701" s="288" t="s">
        <v>255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48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247</v>
      </c>
      <c r="M703" s="539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178</v>
      </c>
      <c r="M704" s="539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248</v>
      </c>
      <c r="M705" s="539"/>
      <c r="N705" s="542" t="s">
        <v>256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249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250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251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252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253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254</v>
      </c>
      <c r="D712" s="539"/>
      <c r="E712" s="289">
        <f>'BD Team'!B73</f>
        <v>0</v>
      </c>
      <c r="F712" s="288" t="s">
        <v>255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48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247</v>
      </c>
      <c r="M714" s="539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178</v>
      </c>
      <c r="M715" s="539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248</v>
      </c>
      <c r="M716" s="539"/>
      <c r="N716" s="542" t="s">
        <v>256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249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250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251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252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253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254</v>
      </c>
      <c r="D723" s="539"/>
      <c r="E723" s="289">
        <f>'BD Team'!B74</f>
        <v>0</v>
      </c>
      <c r="F723" s="288" t="s">
        <v>255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48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247</v>
      </c>
      <c r="M725" s="539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178</v>
      </c>
      <c r="M726" s="539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248</v>
      </c>
      <c r="M727" s="539"/>
      <c r="N727" s="542" t="s">
        <v>256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249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250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251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252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253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254</v>
      </c>
      <c r="D734" s="539"/>
      <c r="E734" s="289">
        <f>'BD Team'!B75</f>
        <v>0</v>
      </c>
      <c r="F734" s="288" t="s">
        <v>255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48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247</v>
      </c>
      <c r="M736" s="539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178</v>
      </c>
      <c r="M737" s="539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248</v>
      </c>
      <c r="M738" s="539"/>
      <c r="N738" s="542" t="s">
        <v>256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249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250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251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252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253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254</v>
      </c>
      <c r="D745" s="539"/>
      <c r="E745" s="289">
        <f>'BD Team'!B76</f>
        <v>0</v>
      </c>
      <c r="F745" s="288" t="s">
        <v>255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48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247</v>
      </c>
      <c r="M747" s="539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178</v>
      </c>
      <c r="M748" s="539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248</v>
      </c>
      <c r="M749" s="539"/>
      <c r="N749" s="542" t="s">
        <v>256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249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250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251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252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253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254</v>
      </c>
      <c r="D756" s="539"/>
      <c r="E756" s="289">
        <f>'BD Team'!B77</f>
        <v>0</v>
      </c>
      <c r="F756" s="288" t="s">
        <v>255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48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247</v>
      </c>
      <c r="M758" s="539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178</v>
      </c>
      <c r="M759" s="539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248</v>
      </c>
      <c r="M760" s="539"/>
      <c r="N760" s="542" t="s">
        <v>256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249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250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251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252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253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254</v>
      </c>
      <c r="D767" s="539"/>
      <c r="E767" s="289">
        <f>'BD Team'!B78</f>
        <v>0</v>
      </c>
      <c r="F767" s="288" t="s">
        <v>255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48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247</v>
      </c>
      <c r="M769" s="539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178</v>
      </c>
      <c r="M770" s="539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248</v>
      </c>
      <c r="M771" s="539"/>
      <c r="N771" s="542" t="s">
        <v>256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249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250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251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252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253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254</v>
      </c>
      <c r="D778" s="539"/>
      <c r="E778" s="289">
        <f>'BD Team'!B79</f>
        <v>0</v>
      </c>
      <c r="F778" s="288" t="s">
        <v>255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48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247</v>
      </c>
      <c r="M780" s="539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178</v>
      </c>
      <c r="M781" s="539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248</v>
      </c>
      <c r="M782" s="539"/>
      <c r="N782" s="542" t="s">
        <v>256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249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250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251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252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253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254</v>
      </c>
      <c r="D789" s="539"/>
      <c r="E789" s="289">
        <f>'BD Team'!B80</f>
        <v>0</v>
      </c>
      <c r="F789" s="288" t="s">
        <v>255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48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247</v>
      </c>
      <c r="M791" s="539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178</v>
      </c>
      <c r="M792" s="539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248</v>
      </c>
      <c r="M793" s="539"/>
      <c r="N793" s="542" t="s">
        <v>256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249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250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251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252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253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254</v>
      </c>
      <c r="D800" s="539"/>
      <c r="E800" s="289">
        <f>'BD Team'!B81</f>
        <v>0</v>
      </c>
      <c r="F800" s="288" t="s">
        <v>255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48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247</v>
      </c>
      <c r="M802" s="539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178</v>
      </c>
      <c r="M803" s="539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248</v>
      </c>
      <c r="M804" s="539"/>
      <c r="N804" s="542" t="s">
        <v>256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249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250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251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252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253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254</v>
      </c>
      <c r="D811" s="539"/>
      <c r="E811" s="289">
        <f>'BD Team'!B82</f>
        <v>0</v>
      </c>
      <c r="F811" s="288" t="s">
        <v>255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48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247</v>
      </c>
      <c r="M813" s="539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178</v>
      </c>
      <c r="M814" s="539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248</v>
      </c>
      <c r="M815" s="539"/>
      <c r="N815" s="542" t="s">
        <v>256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249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250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251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252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253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254</v>
      </c>
      <c r="D822" s="539"/>
      <c r="E822" s="289">
        <f>'BD Team'!B83</f>
        <v>0</v>
      </c>
      <c r="F822" s="288" t="s">
        <v>255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48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247</v>
      </c>
      <c r="M824" s="539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178</v>
      </c>
      <c r="M825" s="539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248</v>
      </c>
      <c r="M826" s="539"/>
      <c r="N826" s="542" t="s">
        <v>256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249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250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251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252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253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254</v>
      </c>
      <c r="D833" s="539"/>
      <c r="E833" s="289">
        <f>'BD Team'!B84</f>
        <v>0</v>
      </c>
      <c r="F833" s="288" t="s">
        <v>255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48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247</v>
      </c>
      <c r="M835" s="539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178</v>
      </c>
      <c r="M836" s="539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248</v>
      </c>
      <c r="M837" s="539"/>
      <c r="N837" s="542" t="s">
        <v>256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249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250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251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252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253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254</v>
      </c>
      <c r="D844" s="539"/>
      <c r="E844" s="289">
        <f>'BD Team'!B85</f>
        <v>0</v>
      </c>
      <c r="F844" s="288" t="s">
        <v>255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48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247</v>
      </c>
      <c r="M846" s="539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178</v>
      </c>
      <c r="M847" s="539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248</v>
      </c>
      <c r="M848" s="539"/>
      <c r="N848" s="542" t="s">
        <v>256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249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250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251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252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253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254</v>
      </c>
      <c r="D855" s="539"/>
      <c r="E855" s="289">
        <f>'BD Team'!B86</f>
        <v>0</v>
      </c>
      <c r="F855" s="288" t="s">
        <v>255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48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247</v>
      </c>
      <c r="M857" s="539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178</v>
      </c>
      <c r="M858" s="539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248</v>
      </c>
      <c r="M859" s="539"/>
      <c r="N859" s="542" t="s">
        <v>256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249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250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251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252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253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254</v>
      </c>
      <c r="D866" s="539"/>
      <c r="E866" s="289">
        <f>'BD Team'!B87</f>
        <v>0</v>
      </c>
      <c r="F866" s="288" t="s">
        <v>255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48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247</v>
      </c>
      <c r="M868" s="539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178</v>
      </c>
      <c r="M869" s="539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248</v>
      </c>
      <c r="M870" s="539"/>
      <c r="N870" s="542" t="s">
        <v>256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249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250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251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252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253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254</v>
      </c>
      <c r="D877" s="539"/>
      <c r="E877" s="289">
        <f>'BD Team'!B88</f>
        <v>0</v>
      </c>
      <c r="F877" s="288" t="s">
        <v>255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48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247</v>
      </c>
      <c r="M879" s="539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178</v>
      </c>
      <c r="M880" s="539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248</v>
      </c>
      <c r="M881" s="539"/>
      <c r="N881" s="542" t="s">
        <v>256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249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250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251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252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253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254</v>
      </c>
      <c r="D888" s="539"/>
      <c r="E888" s="289">
        <f>'BD Team'!B89</f>
        <v>0</v>
      </c>
      <c r="F888" s="288" t="s">
        <v>255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48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247</v>
      </c>
      <c r="M890" s="539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178</v>
      </c>
      <c r="M891" s="539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248</v>
      </c>
      <c r="M892" s="539"/>
      <c r="N892" s="542" t="s">
        <v>256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249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250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251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252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253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254</v>
      </c>
      <c r="D899" s="539"/>
      <c r="E899" s="289">
        <f>'BD Team'!B90</f>
        <v>0</v>
      </c>
      <c r="F899" s="288" t="s">
        <v>255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48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247</v>
      </c>
      <c r="M901" s="539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178</v>
      </c>
      <c r="M902" s="539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248</v>
      </c>
      <c r="M903" s="539"/>
      <c r="N903" s="542" t="s">
        <v>256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249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250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251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252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253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254</v>
      </c>
      <c r="D910" s="539"/>
      <c r="E910" s="289">
        <f>'BD Team'!B91</f>
        <v>0</v>
      </c>
      <c r="F910" s="288" t="s">
        <v>255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48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247</v>
      </c>
      <c r="M912" s="539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178</v>
      </c>
      <c r="M913" s="539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248</v>
      </c>
      <c r="M914" s="539"/>
      <c r="N914" s="542" t="s">
        <v>256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249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250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251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252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253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254</v>
      </c>
      <c r="D921" s="539"/>
      <c r="E921" s="289">
        <f>'BD Team'!B92</f>
        <v>0</v>
      </c>
      <c r="F921" s="288" t="s">
        <v>255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48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247</v>
      </c>
      <c r="M923" s="539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178</v>
      </c>
      <c r="M924" s="539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248</v>
      </c>
      <c r="M925" s="539"/>
      <c r="N925" s="542" t="s">
        <v>256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249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250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251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252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253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254</v>
      </c>
      <c r="D932" s="539"/>
      <c r="E932" s="289">
        <f>'BD Team'!B93</f>
        <v>0</v>
      </c>
      <c r="F932" s="288" t="s">
        <v>255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48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247</v>
      </c>
      <c r="M934" s="539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178</v>
      </c>
      <c r="M935" s="539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248</v>
      </c>
      <c r="M936" s="539"/>
      <c r="N936" s="542" t="s">
        <v>256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249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250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251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252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253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254</v>
      </c>
      <c r="D943" s="539"/>
      <c r="E943" s="289">
        <f>'BD Team'!B94</f>
        <v>0</v>
      </c>
      <c r="F943" s="288" t="s">
        <v>255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48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247</v>
      </c>
      <c r="M945" s="539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178</v>
      </c>
      <c r="M946" s="539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248</v>
      </c>
      <c r="M947" s="539"/>
      <c r="N947" s="542" t="s">
        <v>256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249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250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251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252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253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254</v>
      </c>
      <c r="D954" s="539"/>
      <c r="E954" s="289">
        <f>'BD Team'!B95</f>
        <v>0</v>
      </c>
      <c r="F954" s="288" t="s">
        <v>255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48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247</v>
      </c>
      <c r="M956" s="539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178</v>
      </c>
      <c r="M957" s="539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248</v>
      </c>
      <c r="M958" s="539"/>
      <c r="N958" s="542" t="s">
        <v>256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249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250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251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252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253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254</v>
      </c>
      <c r="D965" s="539"/>
      <c r="E965" s="289">
        <f>'BD Team'!B96</f>
        <v>0</v>
      </c>
      <c r="F965" s="288" t="s">
        <v>255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48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247</v>
      </c>
      <c r="M967" s="539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178</v>
      </c>
      <c r="M968" s="539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248</v>
      </c>
      <c r="M969" s="539"/>
      <c r="N969" s="542" t="s">
        <v>256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249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250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251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252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253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254</v>
      </c>
      <c r="D976" s="539"/>
      <c r="E976" s="289">
        <f>'BD Team'!B97</f>
        <v>0</v>
      </c>
      <c r="F976" s="288" t="s">
        <v>255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48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247</v>
      </c>
      <c r="M978" s="539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178</v>
      </c>
      <c r="M979" s="539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248</v>
      </c>
      <c r="M980" s="539"/>
      <c r="N980" s="542" t="s">
        <v>256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249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250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251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252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253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254</v>
      </c>
      <c r="D987" s="539"/>
      <c r="E987" s="289">
        <f>'BD Team'!B98</f>
        <v>0</v>
      </c>
      <c r="F987" s="288" t="s">
        <v>255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48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247</v>
      </c>
      <c r="M989" s="539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178</v>
      </c>
      <c r="M990" s="539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248</v>
      </c>
      <c r="M991" s="539"/>
      <c r="N991" s="542" t="s">
        <v>256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249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250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251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252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253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254</v>
      </c>
      <c r="D998" s="539"/>
      <c r="E998" s="289">
        <f>'BD Team'!B99</f>
        <v>0</v>
      </c>
      <c r="F998" s="288" t="s">
        <v>255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48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247</v>
      </c>
      <c r="M1000" s="539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178</v>
      </c>
      <c r="M1001" s="539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248</v>
      </c>
      <c r="M1002" s="539"/>
      <c r="N1002" s="542" t="s">
        <v>256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249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250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251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252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253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254</v>
      </c>
      <c r="D1009" s="539"/>
      <c r="E1009" s="289">
        <f>'BD Team'!B100</f>
        <v>0</v>
      </c>
      <c r="F1009" s="288" t="s">
        <v>255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48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247</v>
      </c>
      <c r="M1011" s="539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178</v>
      </c>
      <c r="M1012" s="539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248</v>
      </c>
      <c r="M1013" s="539"/>
      <c r="N1013" s="542" t="s">
        <v>256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249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250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251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252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253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254</v>
      </c>
      <c r="D1020" s="539"/>
      <c r="E1020" s="289">
        <f>'BD Team'!B101</f>
        <v>0</v>
      </c>
      <c r="F1020" s="288" t="s">
        <v>255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48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247</v>
      </c>
      <c r="M1022" s="539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178</v>
      </c>
      <c r="M1023" s="539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248</v>
      </c>
      <c r="M1024" s="539"/>
      <c r="N1024" s="542" t="s">
        <v>256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249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250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251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252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253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254</v>
      </c>
      <c r="D1031" s="539"/>
      <c r="E1031" s="289">
        <f>'BD Team'!B102</f>
        <v>0</v>
      </c>
      <c r="F1031" s="288" t="s">
        <v>255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48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247</v>
      </c>
      <c r="M1033" s="539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178</v>
      </c>
      <c r="M1034" s="539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248</v>
      </c>
      <c r="M1035" s="539"/>
      <c r="N1035" s="542" t="s">
        <v>256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249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250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251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252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253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254</v>
      </c>
      <c r="D1042" s="539"/>
      <c r="E1042" s="289">
        <f>'BD Team'!B103</f>
        <v>0</v>
      </c>
      <c r="F1042" s="288" t="s">
        <v>255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48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247</v>
      </c>
      <c r="M1044" s="539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178</v>
      </c>
      <c r="M1045" s="539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248</v>
      </c>
      <c r="M1046" s="539"/>
      <c r="N1046" s="542" t="s">
        <v>256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249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250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251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252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253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254</v>
      </c>
      <c r="D1053" s="539"/>
      <c r="E1053" s="289">
        <f>'BD Team'!B104</f>
        <v>0</v>
      </c>
      <c r="F1053" s="288" t="s">
        <v>255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48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247</v>
      </c>
      <c r="M1055" s="539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178</v>
      </c>
      <c r="M1056" s="539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248</v>
      </c>
      <c r="M1057" s="539"/>
      <c r="N1057" s="542" t="s">
        <v>256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249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250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251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252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253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254</v>
      </c>
      <c r="D1064" s="539"/>
      <c r="E1064" s="289">
        <f>'BD Team'!B105</f>
        <v>0</v>
      </c>
      <c r="F1064" s="288" t="s">
        <v>255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48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247</v>
      </c>
      <c r="M1066" s="539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178</v>
      </c>
      <c r="M1067" s="539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248</v>
      </c>
      <c r="M1068" s="539"/>
      <c r="N1068" s="542" t="s">
        <v>256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249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250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251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252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253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254</v>
      </c>
      <c r="D1075" s="539"/>
      <c r="E1075" s="289">
        <f>'BD Team'!B106</f>
        <v>0</v>
      </c>
      <c r="F1075" s="288" t="s">
        <v>255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48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247</v>
      </c>
      <c r="M1077" s="539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178</v>
      </c>
      <c r="M1078" s="539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248</v>
      </c>
      <c r="M1079" s="539"/>
      <c r="N1079" s="542" t="s">
        <v>256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249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250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251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252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253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254</v>
      </c>
      <c r="D1086" s="539"/>
      <c r="E1086" s="289">
        <f>'BD Team'!B107</f>
        <v>0</v>
      </c>
      <c r="F1086" s="288" t="s">
        <v>255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48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247</v>
      </c>
      <c r="M1088" s="539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178</v>
      </c>
      <c r="M1089" s="539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248</v>
      </c>
      <c r="M1090" s="539"/>
      <c r="N1090" s="542" t="s">
        <v>256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249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250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251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252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253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254</v>
      </c>
      <c r="D1097" s="539"/>
      <c r="E1097" s="289">
        <f>'BD Team'!B108</f>
        <v>0</v>
      </c>
      <c r="F1097" s="288" t="s">
        <v>255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48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247</v>
      </c>
      <c r="M1099" s="539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178</v>
      </c>
      <c r="M1100" s="539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248</v>
      </c>
      <c r="M1101" s="539"/>
      <c r="N1101" s="542" t="s">
        <v>256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249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250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251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252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253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18:O18"/>
    <mergeCell ref="C29:O2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262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431</v>
      </c>
    </row>
    <row r="5" spans="3:5">
      <c r="C5" s="236" t="s">
        <v>396</v>
      </c>
      <c r="D5" s="236" t="s">
        <v>394</v>
      </c>
      <c r="E5" s="309">
        <f>ROUND(Pricing!U104,0.1)/40</f>
        <v>12.925000000000001</v>
      </c>
    </row>
    <row r="6" spans="3:5">
      <c r="C6" s="236" t="s">
        <v>83</v>
      </c>
      <c r="D6" s="236" t="s">
        <v>393</v>
      </c>
      <c r="E6" s="309">
        <f>ROUND(Pricing!V104,0.1)</f>
        <v>27</v>
      </c>
    </row>
    <row r="7" spans="3:5">
      <c r="C7" s="236" t="s">
        <v>400</v>
      </c>
      <c r="D7" s="236" t="s">
        <v>392</v>
      </c>
      <c r="E7" s="309">
        <f>ROUND(Pricing!W104,0.1)</f>
        <v>431</v>
      </c>
    </row>
    <row r="8" spans="3:5">
      <c r="C8" s="236" t="s">
        <v>397</v>
      </c>
      <c r="D8" s="236" t="s">
        <v>392</v>
      </c>
      <c r="E8" s="309">
        <f>ROUND(Pricing!X104,0.1)</f>
        <v>861</v>
      </c>
    </row>
    <row r="9" spans="3:5">
      <c r="C9" t="s">
        <v>223</v>
      </c>
      <c r="D9" s="236" t="s">
        <v>395</v>
      </c>
      <c r="E9" s="309">
        <f>ROUND(Pricing!Y104,0.1)</f>
        <v>258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1"/>
  <sheetViews>
    <sheetView topLeftCell="C1" workbookViewId="0">
      <selection activeCell="C12" sqref="A12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407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408</v>
      </c>
      <c r="G1" s="315" t="s">
        <v>409</v>
      </c>
      <c r="H1" s="315" t="s">
        <v>410</v>
      </c>
      <c r="I1" s="315" t="s">
        <v>114</v>
      </c>
      <c r="J1" s="315" t="s">
        <v>411</v>
      </c>
      <c r="K1" s="315" t="s">
        <v>9</v>
      </c>
      <c r="L1" s="316" t="s">
        <v>216</v>
      </c>
      <c r="M1" s="315" t="s">
        <v>219</v>
      </c>
      <c r="N1" s="315" t="s">
        <v>412</v>
      </c>
      <c r="O1" s="315" t="s">
        <v>413</v>
      </c>
      <c r="P1" s="315" t="s">
        <v>190</v>
      </c>
      <c r="Q1" s="315" t="s">
        <v>414</v>
      </c>
      <c r="R1" s="315" t="s">
        <v>415</v>
      </c>
      <c r="S1" s="315" t="s">
        <v>416</v>
      </c>
      <c r="T1" s="315" t="s">
        <v>277</v>
      </c>
      <c r="U1" s="315" t="s">
        <v>417</v>
      </c>
    </row>
    <row r="2" spans="1:21">
      <c r="A2" s="318" t="str">
        <f>'BD Team'!B9</f>
        <v>W01</v>
      </c>
      <c r="B2" s="318" t="str">
        <f>'BD Team'!C9</f>
        <v>M15000</v>
      </c>
      <c r="C2" s="318" t="str">
        <f>'BD Team'!D9</f>
        <v>SIDE HUNG WINDOW</v>
      </c>
      <c r="D2" s="318" t="str">
        <f>'BD Team'!E9</f>
        <v>24MM</v>
      </c>
      <c r="E2" s="318" t="str">
        <f>'BD Team'!G9</f>
        <v>UTILITY</v>
      </c>
      <c r="F2" s="318" t="str">
        <f>'BD Team'!F9</f>
        <v>RETRACTABLE</v>
      </c>
      <c r="I2" s="318">
        <f>'BD Team'!H9</f>
        <v>610</v>
      </c>
      <c r="J2" s="318">
        <f>'BD Team'!I9</f>
        <v>1346</v>
      </c>
      <c r="K2" s="318">
        <f>'BD Team'!J9</f>
        <v>2</v>
      </c>
      <c r="L2" s="319">
        <f>'BD Team'!K9</f>
        <v>282.76</v>
      </c>
      <c r="M2" s="318">
        <f>Pricing!O4</f>
        <v>2805</v>
      </c>
      <c r="N2" s="318">
        <f>Pricing!Q4</f>
        <v>0</v>
      </c>
      <c r="O2" s="318">
        <f>Pricing!R4</f>
        <v>10225.799999999999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W02</v>
      </c>
      <c r="B3" s="318" t="str">
        <f>'BD Team'!C10</f>
        <v>M15000</v>
      </c>
      <c r="C3" s="318" t="str">
        <f>'BD Team'!D10</f>
        <v>FIXED GLASS</v>
      </c>
      <c r="D3" s="318" t="str">
        <f>'BD Team'!E10</f>
        <v>24MM</v>
      </c>
      <c r="E3" s="318" t="str">
        <f>'BD Team'!G10</f>
        <v>STAIRS</v>
      </c>
      <c r="F3" s="318" t="str">
        <f>'BD Team'!F10</f>
        <v>NO</v>
      </c>
      <c r="I3" s="318">
        <f>'BD Team'!H10</f>
        <v>610</v>
      </c>
      <c r="J3" s="318">
        <f>'BD Team'!I10</f>
        <v>1346</v>
      </c>
      <c r="K3" s="318">
        <f>'BD Team'!J10</f>
        <v>4</v>
      </c>
      <c r="L3" s="319">
        <f>'BD Team'!K10</f>
        <v>46.56</v>
      </c>
      <c r="M3" s="318">
        <f>Pricing!O5</f>
        <v>2805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W03</v>
      </c>
      <c r="B4" s="318" t="str">
        <f>'BD Team'!C11</f>
        <v>M14600</v>
      </c>
      <c r="C4" s="318" t="str">
        <f>'BD Team'!D11</f>
        <v>3 TRACK 2 SHUTTER SLIDING WINDOW</v>
      </c>
      <c r="D4" s="318" t="str">
        <f>'BD Team'!E11</f>
        <v>24MM</v>
      </c>
      <c r="E4" s="318" t="str">
        <f>'BD Team'!G11</f>
        <v>BEDROOMS</v>
      </c>
      <c r="F4" s="318" t="str">
        <f>'BD Team'!F11</f>
        <v>SS</v>
      </c>
      <c r="I4" s="318">
        <f>'BD Team'!H11</f>
        <v>1219</v>
      </c>
      <c r="J4" s="318">
        <f>'BD Team'!I11</f>
        <v>1346</v>
      </c>
      <c r="K4" s="318">
        <f>'BD Team'!J11</f>
        <v>4</v>
      </c>
      <c r="L4" s="319">
        <f>'BD Team'!K11</f>
        <v>275.39</v>
      </c>
      <c r="M4" s="318">
        <f>Pricing!O6</f>
        <v>2805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W04</v>
      </c>
      <c r="B5" s="318" t="str">
        <f>'BD Team'!C12</f>
        <v>M15000</v>
      </c>
      <c r="C5" s="318" t="str">
        <f>'BD Team'!D12</f>
        <v>FIXED GLASS</v>
      </c>
      <c r="D5" s="318" t="str">
        <f>'BD Team'!E12</f>
        <v>24MM</v>
      </c>
      <c r="E5" s="318" t="str">
        <f>'BD Team'!G12</f>
        <v>HALL</v>
      </c>
      <c r="F5" s="318" t="str">
        <f>'BD Team'!F12</f>
        <v>NO</v>
      </c>
      <c r="I5" s="318">
        <f>'BD Team'!H12</f>
        <v>1829</v>
      </c>
      <c r="J5" s="318">
        <f>'BD Team'!I12</f>
        <v>1956</v>
      </c>
      <c r="K5" s="318">
        <f>'BD Team'!J12</f>
        <v>1</v>
      </c>
      <c r="L5" s="319">
        <f>'BD Team'!K12</f>
        <v>84.88</v>
      </c>
      <c r="M5" s="318">
        <f>Pricing!O7</f>
        <v>2805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W05</v>
      </c>
      <c r="B6" s="318" t="str">
        <f>'BD Team'!C13</f>
        <v>M14600</v>
      </c>
      <c r="C6" s="318" t="str">
        <f>'BD Team'!D13</f>
        <v>3 TRACK 2 SHUTTER SLIDING WINDOW</v>
      </c>
      <c r="D6" s="318" t="str">
        <f>'BD Team'!E13</f>
        <v>24MM</v>
      </c>
      <c r="E6" s="318" t="str">
        <f>'BD Team'!G13</f>
        <v>BEDROOM HALL</v>
      </c>
      <c r="F6" s="318" t="str">
        <f>'BD Team'!F13</f>
        <v>SS</v>
      </c>
      <c r="I6" s="318">
        <f>'BD Team'!H13</f>
        <v>1829</v>
      </c>
      <c r="J6" s="318">
        <f>'BD Team'!I13</f>
        <v>1346</v>
      </c>
      <c r="K6" s="318">
        <f>'BD Team'!J13</f>
        <v>6</v>
      </c>
      <c r="L6" s="319">
        <f>'BD Team'!K13</f>
        <v>312.2</v>
      </c>
      <c r="M6" s="318">
        <f>Pricing!O8</f>
        <v>2805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KW1</v>
      </c>
      <c r="B7" s="318" t="str">
        <f>'BD Team'!C14</f>
        <v>M14600</v>
      </c>
      <c r="C7" s="318" t="str">
        <f>'BD Team'!D14</f>
        <v>3 TRACK 2 SHUTTER SLIDING WINDOW</v>
      </c>
      <c r="D7" s="318" t="str">
        <f>'BD Team'!E14</f>
        <v>24MM</v>
      </c>
      <c r="E7" s="318" t="str">
        <f>'BD Team'!G14</f>
        <v>KITCHEN</v>
      </c>
      <c r="F7" s="318" t="str">
        <f>'BD Team'!F14</f>
        <v>SS</v>
      </c>
      <c r="I7" s="318">
        <f>'BD Team'!H14</f>
        <v>1219</v>
      </c>
      <c r="J7" s="318">
        <f>'BD Team'!I14</f>
        <v>1041</v>
      </c>
      <c r="K7" s="318">
        <f>'BD Team'!J14</f>
        <v>1</v>
      </c>
      <c r="L7" s="319">
        <f>'BD Team'!K14</f>
        <v>249.79</v>
      </c>
      <c r="M7" s="318">
        <f>Pricing!O9</f>
        <v>2805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V1</v>
      </c>
      <c r="B8" s="318" t="str">
        <f>'BD Team'!C15</f>
        <v>M15000</v>
      </c>
      <c r="C8" s="318" t="str">
        <f>'BD Team'!D15</f>
        <v>FIXED GLASS</v>
      </c>
      <c r="D8" s="318" t="str">
        <f>'BD Team'!E15</f>
        <v>6MM (F)</v>
      </c>
      <c r="E8" s="318" t="str">
        <f>'BD Team'!G15</f>
        <v>VENTILATOR 1</v>
      </c>
      <c r="F8" s="318" t="str">
        <f>'BD Team'!F15</f>
        <v>NO</v>
      </c>
      <c r="I8" s="318">
        <f>'BD Team'!H15</f>
        <v>610</v>
      </c>
      <c r="J8" s="318">
        <f>'BD Team'!I15</f>
        <v>610</v>
      </c>
      <c r="K8" s="318">
        <f>'BD Team'!J15</f>
        <v>3</v>
      </c>
      <c r="L8" s="319">
        <f>'BD Team'!K15</f>
        <v>39.33</v>
      </c>
      <c r="M8" s="318">
        <f>Pricing!O10</f>
        <v>2003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V2</v>
      </c>
      <c r="B9" s="318" t="str">
        <f>'BD Team'!C16</f>
        <v>M15000</v>
      </c>
      <c r="C9" s="318" t="str">
        <f>'BD Team'!D16</f>
        <v>FIXED GLASS</v>
      </c>
      <c r="D9" s="318" t="str">
        <f>'BD Team'!E16</f>
        <v>6MM (F)</v>
      </c>
      <c r="E9" s="318" t="str">
        <f>'BD Team'!G16</f>
        <v>VENTILATOR 2</v>
      </c>
      <c r="F9" s="318" t="str">
        <f>'BD Team'!F16</f>
        <v>NO</v>
      </c>
      <c r="I9" s="318">
        <f>'BD Team'!H16</f>
        <v>610</v>
      </c>
      <c r="J9" s="318">
        <f>'BD Team'!I16</f>
        <v>914</v>
      </c>
      <c r="K9" s="318">
        <f>'BD Team'!J16</f>
        <v>1</v>
      </c>
      <c r="L9" s="319">
        <f>'BD Team'!K16</f>
        <v>48.2</v>
      </c>
      <c r="M9" s="318">
        <f>Pricing!O11</f>
        <v>2003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SD1</v>
      </c>
      <c r="B10" s="318" t="str">
        <f>'BD Team'!C17</f>
        <v>M14600</v>
      </c>
      <c r="C10" s="318" t="str">
        <f>'BD Team'!D17</f>
        <v>3 TRACK 2 SHUTTER SLIDING DOOR</v>
      </c>
      <c r="D10" s="318" t="str">
        <f>'BD Team'!E17</f>
        <v>24MM</v>
      </c>
      <c r="E10" s="318" t="str">
        <f>'BD Team'!G17</f>
        <v>BALCONY</v>
      </c>
      <c r="F10" s="318" t="str">
        <f>'BD Team'!F17</f>
        <v>SS</v>
      </c>
      <c r="I10" s="318">
        <f>'BD Team'!H17</f>
        <v>3353</v>
      </c>
      <c r="J10" s="318">
        <f>'BD Team'!I17</f>
        <v>3048</v>
      </c>
      <c r="K10" s="318">
        <f>'BD Team'!J17</f>
        <v>1</v>
      </c>
      <c r="L10" s="319">
        <f>'BD Team'!K17</f>
        <v>584.84</v>
      </c>
      <c r="M10" s="318">
        <f>Pricing!O12</f>
        <v>2805</v>
      </c>
      <c r="N10" s="318">
        <f>Pricing!Q12</f>
        <v>538.19999999999993</v>
      </c>
      <c r="O10" s="318">
        <f>Pricing!R12</f>
        <v>0</v>
      </c>
      <c r="P10" s="318">
        <f>Pricing!S12</f>
        <v>1788.6224999999999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SD2</v>
      </c>
      <c r="B11" s="318" t="str">
        <f>'BD Team'!C18</f>
        <v>M14600</v>
      </c>
      <c r="C11" s="318" t="str">
        <f>'BD Team'!D18</f>
        <v>3 TRACK 2 SHUTTER SLIDING DOOR</v>
      </c>
      <c r="D11" s="318" t="str">
        <f>'BD Team'!E18</f>
        <v>24MM</v>
      </c>
      <c r="E11" s="318" t="str">
        <f>'BD Team'!G18</f>
        <v>HALL DOOR</v>
      </c>
      <c r="F11" s="318" t="str">
        <f>'BD Team'!F18</f>
        <v>SS</v>
      </c>
      <c r="I11" s="318">
        <f>'BD Team'!H18</f>
        <v>3353</v>
      </c>
      <c r="J11" s="318">
        <f>'BD Team'!I18</f>
        <v>2565</v>
      </c>
      <c r="K11" s="318">
        <f>'BD Team'!J18</f>
        <v>1</v>
      </c>
      <c r="L11" s="319">
        <f>'BD Team'!K18</f>
        <v>544.29999999999995</v>
      </c>
      <c r="M11" s="318">
        <f>Pricing!O13</f>
        <v>2805</v>
      </c>
      <c r="N11" s="318">
        <f>Pricing!Q13</f>
        <v>538.19999999999993</v>
      </c>
      <c r="O11" s="318">
        <f>Pricing!R13</f>
        <v>0</v>
      </c>
      <c r="P11" s="318">
        <f>Pricing!S13</f>
        <v>1500.1349999999998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19" sqref="B19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420</v>
      </c>
      <c r="F2" s="137"/>
      <c r="G2" s="163"/>
      <c r="H2" s="323" t="s">
        <v>185</v>
      </c>
      <c r="I2" s="324"/>
      <c r="J2" s="165" t="s">
        <v>418</v>
      </c>
      <c r="K2" s="167"/>
      <c r="L2" s="104" t="s">
        <v>208</v>
      </c>
      <c r="M2" s="104" t="s">
        <v>381</v>
      </c>
    </row>
    <row r="3" spans="1:13" s="104" customFormat="1">
      <c r="A3" s="322" t="s">
        <v>127</v>
      </c>
      <c r="B3" s="322"/>
      <c r="C3" s="322"/>
      <c r="D3" s="322"/>
      <c r="E3" s="162" t="s">
        <v>421</v>
      </c>
      <c r="F3" s="136" t="s">
        <v>183</v>
      </c>
      <c r="G3" s="162" t="s">
        <v>419</v>
      </c>
      <c r="H3" s="323" t="s">
        <v>186</v>
      </c>
      <c r="I3" s="324"/>
      <c r="J3" s="166">
        <v>43651</v>
      </c>
      <c r="K3" s="167"/>
      <c r="L3" s="104" t="s">
        <v>257</v>
      </c>
      <c r="M3" s="104" t="s">
        <v>382</v>
      </c>
    </row>
    <row r="4" spans="1:13" s="104" customFormat="1" ht="18">
      <c r="A4" s="322" t="s">
        <v>169</v>
      </c>
      <c r="B4" s="322"/>
      <c r="C4" s="322"/>
      <c r="D4" s="322"/>
      <c r="E4" s="162" t="s">
        <v>365</v>
      </c>
      <c r="F4" s="135"/>
      <c r="G4" s="164"/>
      <c r="H4" s="323" t="s">
        <v>187</v>
      </c>
      <c r="I4" s="324"/>
      <c r="J4" s="165" t="s">
        <v>403</v>
      </c>
      <c r="K4" s="167"/>
      <c r="L4" s="104" t="s">
        <v>258</v>
      </c>
      <c r="M4" s="104" t="s">
        <v>383</v>
      </c>
    </row>
    <row r="5" spans="1:13" s="104" customFormat="1">
      <c r="A5" s="322" t="s">
        <v>177</v>
      </c>
      <c r="B5" s="322"/>
      <c r="C5" s="322"/>
      <c r="D5" s="322"/>
      <c r="E5" s="162" t="s">
        <v>422</v>
      </c>
      <c r="F5" s="136" t="s">
        <v>184</v>
      </c>
      <c r="G5" s="162" t="s">
        <v>208</v>
      </c>
      <c r="H5" s="323" t="s">
        <v>375</v>
      </c>
      <c r="I5" s="324"/>
      <c r="J5" s="165"/>
      <c r="K5" s="167"/>
      <c r="L5" s="104" t="s">
        <v>259</v>
      </c>
      <c r="M5" s="104" t="s">
        <v>384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206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220</v>
      </c>
      <c r="L7" s="47" t="s">
        <v>261</v>
      </c>
      <c r="M7" s="47" t="s">
        <v>385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403</v>
      </c>
    </row>
    <row r="9" spans="1:13" ht="20.100000000000001" customHeight="1">
      <c r="A9" s="113">
        <v>1</v>
      </c>
      <c r="B9" s="113" t="s">
        <v>423</v>
      </c>
      <c r="C9" s="113" t="s">
        <v>424</v>
      </c>
      <c r="D9" s="113" t="s">
        <v>425</v>
      </c>
      <c r="E9" s="113" t="s">
        <v>263</v>
      </c>
      <c r="F9" s="113" t="s">
        <v>426</v>
      </c>
      <c r="G9" s="113" t="s">
        <v>427</v>
      </c>
      <c r="H9" s="113">
        <v>610</v>
      </c>
      <c r="I9" s="113">
        <v>1346</v>
      </c>
      <c r="J9" s="113">
        <v>2</v>
      </c>
      <c r="K9" s="123">
        <v>282.76</v>
      </c>
    </row>
    <row r="10" spans="1:13" ht="20.100000000000001" customHeight="1">
      <c r="A10" s="113">
        <v>2</v>
      </c>
      <c r="B10" s="113" t="s">
        <v>428</v>
      </c>
      <c r="C10" s="113" t="s">
        <v>424</v>
      </c>
      <c r="D10" s="113" t="s">
        <v>429</v>
      </c>
      <c r="E10" s="113" t="s">
        <v>263</v>
      </c>
      <c r="F10" s="113" t="s">
        <v>430</v>
      </c>
      <c r="G10" s="113" t="s">
        <v>431</v>
      </c>
      <c r="H10" s="113">
        <v>610</v>
      </c>
      <c r="I10" s="113">
        <v>1346</v>
      </c>
      <c r="J10" s="113">
        <v>4</v>
      </c>
      <c r="K10" s="123">
        <v>46.56</v>
      </c>
      <c r="L10" s="47" t="s">
        <v>282</v>
      </c>
    </row>
    <row r="11" spans="1:13" ht="20.100000000000001" customHeight="1">
      <c r="A11" s="113">
        <v>3</v>
      </c>
      <c r="B11" s="113" t="s">
        <v>432</v>
      </c>
      <c r="C11" s="113" t="s">
        <v>433</v>
      </c>
      <c r="D11" s="113" t="s">
        <v>434</v>
      </c>
      <c r="E11" s="113" t="s">
        <v>263</v>
      </c>
      <c r="F11" s="113" t="s">
        <v>435</v>
      </c>
      <c r="G11" s="113" t="s">
        <v>436</v>
      </c>
      <c r="H11" s="113">
        <v>1219</v>
      </c>
      <c r="I11" s="113">
        <v>1346</v>
      </c>
      <c r="J11" s="113">
        <v>4</v>
      </c>
      <c r="K11" s="123">
        <v>275.39</v>
      </c>
      <c r="L11" s="47" t="s">
        <v>281</v>
      </c>
    </row>
    <row r="12" spans="1:13" ht="20.100000000000001" customHeight="1">
      <c r="A12" s="113">
        <v>4</v>
      </c>
      <c r="B12" s="113" t="s">
        <v>437</v>
      </c>
      <c r="C12" s="113" t="s">
        <v>424</v>
      </c>
      <c r="D12" s="113" t="s">
        <v>429</v>
      </c>
      <c r="E12" s="113" t="s">
        <v>263</v>
      </c>
      <c r="F12" s="113" t="s">
        <v>430</v>
      </c>
      <c r="G12" s="113" t="s">
        <v>438</v>
      </c>
      <c r="H12" s="113">
        <v>1829</v>
      </c>
      <c r="I12" s="113">
        <v>1956</v>
      </c>
      <c r="J12" s="113">
        <v>1</v>
      </c>
      <c r="K12" s="123">
        <v>84.88</v>
      </c>
      <c r="L12" s="47" t="s">
        <v>365</v>
      </c>
    </row>
    <row r="13" spans="1:13" ht="20.100000000000001" customHeight="1">
      <c r="A13" s="113">
        <v>5</v>
      </c>
      <c r="B13" s="113" t="s">
        <v>439</v>
      </c>
      <c r="C13" s="113" t="s">
        <v>433</v>
      </c>
      <c r="D13" s="113" t="s">
        <v>434</v>
      </c>
      <c r="E13" s="113" t="s">
        <v>263</v>
      </c>
      <c r="F13" s="113" t="s">
        <v>435</v>
      </c>
      <c r="G13" s="113" t="s">
        <v>440</v>
      </c>
      <c r="H13" s="113">
        <v>1829</v>
      </c>
      <c r="I13" s="113">
        <v>1346</v>
      </c>
      <c r="J13" s="113">
        <v>6</v>
      </c>
      <c r="K13" s="123">
        <v>312.2</v>
      </c>
      <c r="L13" s="47" t="s">
        <v>366</v>
      </c>
    </row>
    <row r="14" spans="1:13">
      <c r="A14" s="113">
        <v>6</v>
      </c>
      <c r="B14" s="113" t="s">
        <v>441</v>
      </c>
      <c r="C14" s="113" t="s">
        <v>433</v>
      </c>
      <c r="D14" s="113" t="s">
        <v>434</v>
      </c>
      <c r="E14" s="113" t="s">
        <v>263</v>
      </c>
      <c r="F14" s="113" t="s">
        <v>435</v>
      </c>
      <c r="G14" s="113" t="s">
        <v>442</v>
      </c>
      <c r="H14" s="113">
        <v>1219</v>
      </c>
      <c r="I14" s="113">
        <v>1041</v>
      </c>
      <c r="J14" s="113">
        <v>1</v>
      </c>
      <c r="K14" s="123">
        <v>249.79</v>
      </c>
      <c r="L14" s="47" t="s">
        <v>367</v>
      </c>
    </row>
    <row r="15" spans="1:13" ht="20.100000000000001" customHeight="1">
      <c r="A15" s="113">
        <v>7</v>
      </c>
      <c r="B15" s="113" t="s">
        <v>443</v>
      </c>
      <c r="C15" s="113" t="s">
        <v>424</v>
      </c>
      <c r="D15" s="113" t="s">
        <v>429</v>
      </c>
      <c r="E15" s="113" t="s">
        <v>444</v>
      </c>
      <c r="F15" s="113" t="s">
        <v>430</v>
      </c>
      <c r="G15" s="113" t="s">
        <v>445</v>
      </c>
      <c r="H15" s="113">
        <v>610</v>
      </c>
      <c r="I15" s="113">
        <v>610</v>
      </c>
      <c r="J15" s="113">
        <v>3</v>
      </c>
      <c r="K15" s="123">
        <v>39.33</v>
      </c>
      <c r="L15" s="47" t="s">
        <v>368</v>
      </c>
    </row>
    <row r="16" spans="1:13" ht="20.100000000000001" customHeight="1">
      <c r="A16" s="113">
        <v>8</v>
      </c>
      <c r="B16" s="113" t="s">
        <v>446</v>
      </c>
      <c r="C16" s="113" t="s">
        <v>424</v>
      </c>
      <c r="D16" s="113" t="s">
        <v>429</v>
      </c>
      <c r="E16" s="113" t="s">
        <v>444</v>
      </c>
      <c r="F16" s="113" t="s">
        <v>430</v>
      </c>
      <c r="G16" s="113" t="s">
        <v>447</v>
      </c>
      <c r="H16" s="113">
        <v>610</v>
      </c>
      <c r="I16" s="113">
        <v>914</v>
      </c>
      <c r="J16" s="113">
        <v>1</v>
      </c>
      <c r="K16" s="123">
        <v>48.2</v>
      </c>
      <c r="L16" s="47" t="s">
        <v>369</v>
      </c>
    </row>
    <row r="17" spans="1:12" ht="20.100000000000001" customHeight="1">
      <c r="A17" s="113">
        <v>9</v>
      </c>
      <c r="B17" s="113" t="s">
        <v>448</v>
      </c>
      <c r="C17" s="113" t="s">
        <v>433</v>
      </c>
      <c r="D17" s="113" t="s">
        <v>449</v>
      </c>
      <c r="E17" s="113" t="s">
        <v>263</v>
      </c>
      <c r="F17" s="113" t="s">
        <v>435</v>
      </c>
      <c r="G17" s="113" t="s">
        <v>450</v>
      </c>
      <c r="H17" s="113">
        <v>3353</v>
      </c>
      <c r="I17" s="113">
        <v>3048</v>
      </c>
      <c r="J17" s="113">
        <v>1</v>
      </c>
      <c r="K17" s="123">
        <v>584.84</v>
      </c>
      <c r="L17" s="47" t="s">
        <v>370</v>
      </c>
    </row>
    <row r="18" spans="1:12" ht="20.100000000000001" customHeight="1">
      <c r="A18" s="113">
        <v>10</v>
      </c>
      <c r="B18" s="113" t="s">
        <v>451</v>
      </c>
      <c r="C18" s="113" t="s">
        <v>433</v>
      </c>
      <c r="D18" s="113" t="s">
        <v>449</v>
      </c>
      <c r="E18" s="113" t="s">
        <v>263</v>
      </c>
      <c r="F18" s="113" t="s">
        <v>435</v>
      </c>
      <c r="G18" s="113" t="s">
        <v>452</v>
      </c>
      <c r="H18" s="113">
        <v>3353</v>
      </c>
      <c r="I18" s="113">
        <v>2565</v>
      </c>
      <c r="J18" s="113">
        <v>1</v>
      </c>
      <c r="K18" s="123">
        <v>544.29999999999995</v>
      </c>
      <c r="L18" s="47" t="s">
        <v>371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23" sqref="P23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277</v>
      </c>
      <c r="Q2" s="169" t="s">
        <v>238</v>
      </c>
      <c r="R2" s="169" t="s">
        <v>239</v>
      </c>
      <c r="S2" s="310" t="s">
        <v>190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W01</v>
      </c>
      <c r="C4" s="118" t="str">
        <f>'BD Team'!C9</f>
        <v>M15000</v>
      </c>
      <c r="D4" s="118" t="str">
        <f>'BD Team'!D9</f>
        <v>SIDE HUNG WINDOW</v>
      </c>
      <c r="E4" s="118" t="str">
        <f>'BD Team'!F9</f>
        <v>RETRACTABLE</v>
      </c>
      <c r="F4" s="121" t="str">
        <f>'BD Team'!G9</f>
        <v>UTILITY</v>
      </c>
      <c r="G4" s="118">
        <f>'BD Team'!H9</f>
        <v>610</v>
      </c>
      <c r="H4" s="118">
        <f>'BD Team'!I9</f>
        <v>1346</v>
      </c>
      <c r="I4" s="118">
        <f>'BD Team'!J9</f>
        <v>2</v>
      </c>
      <c r="J4" s="103">
        <f t="shared" ref="J4:J53" si="0">G4*H4*I4*10.764/1000000</f>
        <v>17.675779679999998</v>
      </c>
      <c r="K4" s="172">
        <f>'BD Team'!K9</f>
        <v>282.76</v>
      </c>
      <c r="L4" s="171">
        <f>K4*I4</f>
        <v>565.52</v>
      </c>
      <c r="M4" s="170">
        <f>L4*'Changable Values'!$D$4</f>
        <v>46938.159999999996</v>
      </c>
      <c r="N4" s="170" t="str">
        <f>'BD Team'!E9</f>
        <v>24MM</v>
      </c>
      <c r="O4" s="172">
        <v>2805</v>
      </c>
      <c r="P4" s="241"/>
      <c r="Q4" s="173"/>
      <c r="R4" s="185">
        <f>950*10.764</f>
        <v>10225.799999999999</v>
      </c>
      <c r="S4" s="312"/>
      <c r="T4" s="313">
        <f>(G4+H4)*I4*2/300</f>
        <v>26.08</v>
      </c>
      <c r="U4" s="313">
        <f>SUM(G4:H4)*I4*2*4/1000</f>
        <v>31.295999999999999</v>
      </c>
      <c r="V4" s="313">
        <f>SUM(G4:H4)*I4*5*5*4/(1000*240)</f>
        <v>1.63</v>
      </c>
      <c r="W4" s="313">
        <f>T4</f>
        <v>26.08</v>
      </c>
      <c r="X4" s="313">
        <f>W4*2</f>
        <v>52.16</v>
      </c>
      <c r="Y4" s="313">
        <f>SUM(G4:H4)*I4*4/1000</f>
        <v>15.648</v>
      </c>
    </row>
    <row r="5" spans="1:25">
      <c r="A5" s="118">
        <f>'BD Team'!A10</f>
        <v>2</v>
      </c>
      <c r="B5" s="118" t="str">
        <f>'BD Team'!B10</f>
        <v>W02</v>
      </c>
      <c r="C5" s="118" t="str">
        <f>'BD Team'!C10</f>
        <v>M15000</v>
      </c>
      <c r="D5" s="118" t="str">
        <f>'BD Team'!D10</f>
        <v>FIXED GLASS</v>
      </c>
      <c r="E5" s="118" t="str">
        <f>'BD Team'!F10</f>
        <v>NO</v>
      </c>
      <c r="F5" s="121" t="str">
        <f>'BD Team'!G10</f>
        <v>STAIRS</v>
      </c>
      <c r="G5" s="118">
        <f>'BD Team'!H10</f>
        <v>610</v>
      </c>
      <c r="H5" s="118">
        <f>'BD Team'!I10</f>
        <v>1346</v>
      </c>
      <c r="I5" s="118">
        <f>'BD Team'!J10</f>
        <v>4</v>
      </c>
      <c r="J5" s="103">
        <f t="shared" si="0"/>
        <v>35.351559359999996</v>
      </c>
      <c r="K5" s="172">
        <f>'BD Team'!K10</f>
        <v>46.56</v>
      </c>
      <c r="L5" s="171">
        <f t="shared" ref="L5:L53" si="1">K5*I5</f>
        <v>186.24</v>
      </c>
      <c r="M5" s="170">
        <f>L5*'Changable Values'!$D$4</f>
        <v>15457.92</v>
      </c>
      <c r="N5" s="170" t="str">
        <f>'BD Team'!E10</f>
        <v>24MM</v>
      </c>
      <c r="O5" s="172">
        <v>2805</v>
      </c>
      <c r="P5" s="241"/>
      <c r="Q5" s="173"/>
      <c r="R5" s="185"/>
      <c r="S5" s="312"/>
      <c r="T5" s="313">
        <f t="shared" ref="T5:T68" si="2">(G5+H5)*I5*2/300</f>
        <v>52.16</v>
      </c>
      <c r="U5" s="313">
        <f t="shared" ref="U5:U68" si="3">SUM(G5:H5)*I5*2*4/1000</f>
        <v>62.591999999999999</v>
      </c>
      <c r="V5" s="313">
        <f t="shared" ref="V5:V68" si="4">SUM(G5:H5)*I5*5*5*4/(1000*240)</f>
        <v>3.26</v>
      </c>
      <c r="W5" s="313">
        <f t="shared" ref="W5:W68" si="5">T5</f>
        <v>52.16</v>
      </c>
      <c r="X5" s="313">
        <f t="shared" ref="X5:X68" si="6">W5*2</f>
        <v>104.32</v>
      </c>
      <c r="Y5" s="313">
        <f t="shared" ref="Y5:Y68" si="7">SUM(G5:H5)*I5*4/1000</f>
        <v>31.295999999999999</v>
      </c>
    </row>
    <row r="6" spans="1:25">
      <c r="A6" s="118">
        <f>'BD Team'!A11</f>
        <v>3</v>
      </c>
      <c r="B6" s="118" t="str">
        <f>'BD Team'!B11</f>
        <v>W03</v>
      </c>
      <c r="C6" s="118" t="str">
        <f>'BD Team'!C11</f>
        <v>M14600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BEDROOMS</v>
      </c>
      <c r="G6" s="118">
        <f>'BD Team'!H11</f>
        <v>1219</v>
      </c>
      <c r="H6" s="118">
        <f>'BD Team'!I11</f>
        <v>1346</v>
      </c>
      <c r="I6" s="118">
        <f>'BD Team'!J11</f>
        <v>4</v>
      </c>
      <c r="J6" s="103">
        <f t="shared" si="0"/>
        <v>70.645165343999992</v>
      </c>
      <c r="K6" s="172">
        <f>'BD Team'!K11</f>
        <v>275.39</v>
      </c>
      <c r="L6" s="171">
        <f t="shared" si="1"/>
        <v>1101.56</v>
      </c>
      <c r="M6" s="170">
        <f>L6*'Changable Values'!$D$4</f>
        <v>91429.48</v>
      </c>
      <c r="N6" s="170" t="str">
        <f>'BD Team'!E11</f>
        <v>24MM</v>
      </c>
      <c r="O6" s="172">
        <v>2805</v>
      </c>
      <c r="P6" s="241"/>
      <c r="Q6" s="173">
        <f>50*10.764</f>
        <v>538.19999999999993</v>
      </c>
      <c r="R6" s="185"/>
      <c r="S6" s="312"/>
      <c r="T6" s="313">
        <f t="shared" si="2"/>
        <v>68.400000000000006</v>
      </c>
      <c r="U6" s="313">
        <f t="shared" si="3"/>
        <v>82.08</v>
      </c>
      <c r="V6" s="313">
        <f t="shared" si="4"/>
        <v>4.2750000000000004</v>
      </c>
      <c r="W6" s="313">
        <f t="shared" si="5"/>
        <v>68.400000000000006</v>
      </c>
      <c r="X6" s="313">
        <f t="shared" si="6"/>
        <v>136.80000000000001</v>
      </c>
      <c r="Y6" s="313">
        <f t="shared" si="7"/>
        <v>41.04</v>
      </c>
    </row>
    <row r="7" spans="1:25">
      <c r="A7" s="118">
        <f>'BD Team'!A12</f>
        <v>4</v>
      </c>
      <c r="B7" s="118" t="str">
        <f>'BD Team'!B12</f>
        <v>W04</v>
      </c>
      <c r="C7" s="118" t="str">
        <f>'BD Team'!C12</f>
        <v>M15000</v>
      </c>
      <c r="D7" s="118" t="str">
        <f>'BD Team'!D12</f>
        <v>FIXED GLASS</v>
      </c>
      <c r="E7" s="118" t="str">
        <f>'BD Team'!F12</f>
        <v>NO</v>
      </c>
      <c r="F7" s="121" t="str">
        <f>'BD Team'!G12</f>
        <v>HALL</v>
      </c>
      <c r="G7" s="118">
        <f>'BD Team'!H12</f>
        <v>1829</v>
      </c>
      <c r="H7" s="118">
        <f>'BD Team'!I12</f>
        <v>1956</v>
      </c>
      <c r="I7" s="118">
        <f>'BD Team'!J12</f>
        <v>1</v>
      </c>
      <c r="J7" s="103">
        <f t="shared" si="0"/>
        <v>38.508468335999993</v>
      </c>
      <c r="K7" s="172">
        <f>'BD Team'!K12</f>
        <v>84.88</v>
      </c>
      <c r="L7" s="171">
        <f t="shared" si="1"/>
        <v>84.88</v>
      </c>
      <c r="M7" s="170">
        <f>L7*'Changable Values'!$D$4</f>
        <v>7045.04</v>
      </c>
      <c r="N7" s="170" t="str">
        <f>'BD Team'!E12</f>
        <v>24MM</v>
      </c>
      <c r="O7" s="172">
        <v>2805</v>
      </c>
      <c r="P7" s="241"/>
      <c r="Q7" s="173"/>
      <c r="R7" s="185"/>
      <c r="S7" s="312"/>
      <c r="T7" s="313">
        <f t="shared" si="2"/>
        <v>25.233333333333334</v>
      </c>
      <c r="U7" s="313">
        <f t="shared" si="3"/>
        <v>30.28</v>
      </c>
      <c r="V7" s="313">
        <f t="shared" si="4"/>
        <v>1.5770833333333334</v>
      </c>
      <c r="W7" s="313">
        <f t="shared" si="5"/>
        <v>25.233333333333334</v>
      </c>
      <c r="X7" s="313">
        <f t="shared" si="6"/>
        <v>50.466666666666669</v>
      </c>
      <c r="Y7" s="313">
        <f t="shared" si="7"/>
        <v>15.14</v>
      </c>
    </row>
    <row r="8" spans="1:25">
      <c r="A8" s="118">
        <f>'BD Team'!A13</f>
        <v>5</v>
      </c>
      <c r="B8" s="118" t="str">
        <f>'BD Team'!B13</f>
        <v>W05</v>
      </c>
      <c r="C8" s="118" t="str">
        <f>'BD Team'!C13</f>
        <v>M14600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BEDROOM HALL</v>
      </c>
      <c r="G8" s="118">
        <f>'BD Team'!H13</f>
        <v>1829</v>
      </c>
      <c r="H8" s="118">
        <f>'BD Team'!I13</f>
        <v>1346</v>
      </c>
      <c r="I8" s="118">
        <f>'BD Team'!J13</f>
        <v>6</v>
      </c>
      <c r="J8" s="103">
        <f t="shared" si="0"/>
        <v>158.99508705599999</v>
      </c>
      <c r="K8" s="172">
        <f>'BD Team'!K13</f>
        <v>312.2</v>
      </c>
      <c r="L8" s="171">
        <f t="shared" si="1"/>
        <v>1873.1999999999998</v>
      </c>
      <c r="M8" s="170">
        <f>L8*'Changable Values'!$D$4</f>
        <v>155475.59999999998</v>
      </c>
      <c r="N8" s="170" t="str">
        <f>'BD Team'!E13</f>
        <v>24MM</v>
      </c>
      <c r="O8" s="172">
        <v>2805</v>
      </c>
      <c r="P8" s="241"/>
      <c r="Q8" s="173">
        <f t="shared" ref="Q8:Q9" si="8">50*10.764</f>
        <v>538.19999999999993</v>
      </c>
      <c r="R8" s="185"/>
      <c r="S8" s="312"/>
      <c r="T8" s="313">
        <f t="shared" si="2"/>
        <v>127</v>
      </c>
      <c r="U8" s="313">
        <f t="shared" si="3"/>
        <v>152.4</v>
      </c>
      <c r="V8" s="313">
        <f t="shared" si="4"/>
        <v>7.9375</v>
      </c>
      <c r="W8" s="313">
        <f t="shared" si="5"/>
        <v>127</v>
      </c>
      <c r="X8" s="313">
        <f t="shared" si="6"/>
        <v>254</v>
      </c>
      <c r="Y8" s="313">
        <f t="shared" si="7"/>
        <v>76.2</v>
      </c>
    </row>
    <row r="9" spans="1:25">
      <c r="A9" s="118">
        <f>'BD Team'!A14</f>
        <v>6</v>
      </c>
      <c r="B9" s="118" t="str">
        <f>'BD Team'!B14</f>
        <v>KW1</v>
      </c>
      <c r="C9" s="118" t="str">
        <f>'BD Team'!C14</f>
        <v>M14600</v>
      </c>
      <c r="D9" s="118" t="str">
        <f>'BD Team'!D14</f>
        <v>3 TRACK 2 SHUTTER SLIDING WINDOW</v>
      </c>
      <c r="E9" s="118" t="str">
        <f>'BD Team'!F14</f>
        <v>SS</v>
      </c>
      <c r="F9" s="121" t="str">
        <f>'BD Team'!G14</f>
        <v>KITCHEN</v>
      </c>
      <c r="G9" s="118">
        <f>'BD Team'!H14</f>
        <v>1219</v>
      </c>
      <c r="H9" s="118">
        <f>'BD Team'!I14</f>
        <v>1041</v>
      </c>
      <c r="I9" s="118">
        <f>'BD Team'!J14</f>
        <v>1</v>
      </c>
      <c r="J9" s="103">
        <f t="shared" si="0"/>
        <v>13.659289955999999</v>
      </c>
      <c r="K9" s="172">
        <f>'BD Team'!K14</f>
        <v>249.79</v>
      </c>
      <c r="L9" s="171">
        <f t="shared" si="1"/>
        <v>249.79</v>
      </c>
      <c r="M9" s="170">
        <f>L9*'Changable Values'!$D$4</f>
        <v>20732.57</v>
      </c>
      <c r="N9" s="170" t="str">
        <f>'BD Team'!E14</f>
        <v>24MM</v>
      </c>
      <c r="O9" s="172">
        <v>2805</v>
      </c>
      <c r="P9" s="241"/>
      <c r="Q9" s="173">
        <f t="shared" si="8"/>
        <v>538.19999999999993</v>
      </c>
      <c r="R9" s="185"/>
      <c r="S9" s="312"/>
      <c r="T9" s="313">
        <f t="shared" si="2"/>
        <v>15.066666666666666</v>
      </c>
      <c r="U9" s="313">
        <f t="shared" si="3"/>
        <v>18.079999999999998</v>
      </c>
      <c r="V9" s="313">
        <f t="shared" si="4"/>
        <v>0.94166666666666665</v>
      </c>
      <c r="W9" s="313">
        <f t="shared" si="5"/>
        <v>15.066666666666666</v>
      </c>
      <c r="X9" s="313">
        <f t="shared" si="6"/>
        <v>30.133333333333333</v>
      </c>
      <c r="Y9" s="313">
        <f t="shared" si="7"/>
        <v>9.0399999999999991</v>
      </c>
    </row>
    <row r="10" spans="1:25">
      <c r="A10" s="118">
        <f>'BD Team'!A15</f>
        <v>7</v>
      </c>
      <c r="B10" s="118" t="str">
        <f>'BD Team'!B15</f>
        <v>V1</v>
      </c>
      <c r="C10" s="118" t="str">
        <f>'BD Team'!C15</f>
        <v>M15000</v>
      </c>
      <c r="D10" s="118" t="str">
        <f>'BD Team'!D15</f>
        <v>FIXED GLASS</v>
      </c>
      <c r="E10" s="118" t="str">
        <f>'BD Team'!F15</f>
        <v>NO</v>
      </c>
      <c r="F10" s="121" t="str">
        <f>'BD Team'!G15</f>
        <v>VENTILATOR 1</v>
      </c>
      <c r="G10" s="118">
        <f>'BD Team'!H15</f>
        <v>610</v>
      </c>
      <c r="H10" s="118">
        <f>'BD Team'!I15</f>
        <v>610</v>
      </c>
      <c r="I10" s="118">
        <f>'BD Team'!J15</f>
        <v>3</v>
      </c>
      <c r="J10" s="103">
        <f t="shared" si="0"/>
        <v>12.015853199999999</v>
      </c>
      <c r="K10" s="172">
        <f>'BD Team'!K15</f>
        <v>39.33</v>
      </c>
      <c r="L10" s="171">
        <f t="shared" si="1"/>
        <v>117.99</v>
      </c>
      <c r="M10" s="170">
        <f>L10*'Changable Values'!$D$4</f>
        <v>9793.17</v>
      </c>
      <c r="N10" s="170" t="str">
        <f>'BD Team'!E15</f>
        <v>6MM (F)</v>
      </c>
      <c r="O10" s="172">
        <v>2003</v>
      </c>
      <c r="P10" s="241"/>
      <c r="Q10" s="173"/>
      <c r="R10" s="185"/>
      <c r="S10" s="312"/>
      <c r="T10" s="313">
        <f t="shared" si="2"/>
        <v>24.4</v>
      </c>
      <c r="U10" s="313">
        <f t="shared" si="3"/>
        <v>29.28</v>
      </c>
      <c r="V10" s="313">
        <f t="shared" si="4"/>
        <v>1.5249999999999999</v>
      </c>
      <c r="W10" s="313">
        <f t="shared" si="5"/>
        <v>24.4</v>
      </c>
      <c r="X10" s="313">
        <f t="shared" si="6"/>
        <v>48.8</v>
      </c>
      <c r="Y10" s="313">
        <f t="shared" si="7"/>
        <v>14.64</v>
      </c>
    </row>
    <row r="11" spans="1:25">
      <c r="A11" s="118">
        <f>'BD Team'!A16</f>
        <v>8</v>
      </c>
      <c r="B11" s="118" t="str">
        <f>'BD Team'!B16</f>
        <v>V2</v>
      </c>
      <c r="C11" s="118" t="str">
        <f>'BD Team'!C16</f>
        <v>M15000</v>
      </c>
      <c r="D11" s="118" t="str">
        <f>'BD Team'!D16</f>
        <v>FIXED GLASS</v>
      </c>
      <c r="E11" s="118" t="str">
        <f>'BD Team'!F16</f>
        <v>NO</v>
      </c>
      <c r="F11" s="121" t="str">
        <f>'BD Team'!G16</f>
        <v>VENTILATOR 2</v>
      </c>
      <c r="G11" s="118">
        <f>'BD Team'!H16</f>
        <v>610</v>
      </c>
      <c r="H11" s="118">
        <f>'BD Team'!I16</f>
        <v>914</v>
      </c>
      <c r="I11" s="118">
        <f>'BD Team'!J16</f>
        <v>1</v>
      </c>
      <c r="J11" s="103">
        <f t="shared" si="0"/>
        <v>6.0013605599999993</v>
      </c>
      <c r="K11" s="172">
        <f>'BD Team'!K16</f>
        <v>48.2</v>
      </c>
      <c r="L11" s="171">
        <f t="shared" si="1"/>
        <v>48.2</v>
      </c>
      <c r="M11" s="170">
        <f>L11*'Changable Values'!$D$4</f>
        <v>4000.6000000000004</v>
      </c>
      <c r="N11" s="170" t="str">
        <f>'BD Team'!E16</f>
        <v>6MM (F)</v>
      </c>
      <c r="O11" s="172">
        <v>2003</v>
      </c>
      <c r="P11" s="241"/>
      <c r="Q11" s="173"/>
      <c r="R11" s="185"/>
      <c r="S11" s="312"/>
      <c r="T11" s="313">
        <f t="shared" si="2"/>
        <v>10.16</v>
      </c>
      <c r="U11" s="313">
        <f t="shared" si="3"/>
        <v>12.192</v>
      </c>
      <c r="V11" s="313">
        <f t="shared" si="4"/>
        <v>0.63500000000000001</v>
      </c>
      <c r="W11" s="313">
        <f t="shared" si="5"/>
        <v>10.16</v>
      </c>
      <c r="X11" s="313">
        <f t="shared" si="6"/>
        <v>20.32</v>
      </c>
      <c r="Y11" s="313">
        <f t="shared" si="7"/>
        <v>6.0960000000000001</v>
      </c>
    </row>
    <row r="12" spans="1:25">
      <c r="A12" s="118">
        <f>'BD Team'!A17</f>
        <v>9</v>
      </c>
      <c r="B12" s="118" t="str">
        <f>'BD Team'!B17</f>
        <v>SD1</v>
      </c>
      <c r="C12" s="118" t="str">
        <f>'BD Team'!C17</f>
        <v>M14600</v>
      </c>
      <c r="D12" s="118" t="str">
        <f>'BD Team'!D17</f>
        <v>3 TRACK 2 SHUTTER SLIDING DOOR</v>
      </c>
      <c r="E12" s="118" t="str">
        <f>'BD Team'!F17</f>
        <v>SS</v>
      </c>
      <c r="F12" s="121" t="str">
        <f>'BD Team'!G17</f>
        <v>BALCONY</v>
      </c>
      <c r="G12" s="118">
        <f>'BD Team'!H17</f>
        <v>3353</v>
      </c>
      <c r="H12" s="118">
        <f>'BD Team'!I17</f>
        <v>3048</v>
      </c>
      <c r="I12" s="118">
        <f>'BD Team'!J17</f>
        <v>1</v>
      </c>
      <c r="J12" s="103">
        <f t="shared" si="0"/>
        <v>110.00747721599998</v>
      </c>
      <c r="K12" s="172">
        <f>'BD Team'!K17</f>
        <v>584.84</v>
      </c>
      <c r="L12" s="171">
        <f t="shared" si="1"/>
        <v>584.84</v>
      </c>
      <c r="M12" s="170">
        <f>L12*'Changable Values'!$D$4</f>
        <v>48541.72</v>
      </c>
      <c r="N12" s="170" t="str">
        <f>'BD Team'!E17</f>
        <v>24MM</v>
      </c>
      <c r="O12" s="172">
        <v>2805</v>
      </c>
      <c r="P12" s="241"/>
      <c r="Q12" s="173">
        <f t="shared" ref="Q12:Q13" si="9">50*10.764</f>
        <v>538.19999999999993</v>
      </c>
      <c r="R12" s="185"/>
      <c r="S12" s="312">
        <f>SUM('MS insert'!P5:P6)</f>
        <v>1788.6224999999999</v>
      </c>
      <c r="T12" s="313">
        <f t="shared" si="2"/>
        <v>42.673333333333332</v>
      </c>
      <c r="U12" s="313">
        <f t="shared" si="3"/>
        <v>51.207999999999998</v>
      </c>
      <c r="V12" s="313">
        <f t="shared" si="4"/>
        <v>2.6670833333333333</v>
      </c>
      <c r="W12" s="313">
        <f t="shared" si="5"/>
        <v>42.673333333333332</v>
      </c>
      <c r="X12" s="313">
        <f t="shared" si="6"/>
        <v>85.346666666666664</v>
      </c>
      <c r="Y12" s="313">
        <f t="shared" si="7"/>
        <v>25.603999999999999</v>
      </c>
    </row>
    <row r="13" spans="1:25">
      <c r="A13" s="118">
        <f>'BD Team'!A18</f>
        <v>10</v>
      </c>
      <c r="B13" s="118" t="str">
        <f>'BD Team'!B18</f>
        <v>SD2</v>
      </c>
      <c r="C13" s="118" t="str">
        <f>'BD Team'!C18</f>
        <v>M14600</v>
      </c>
      <c r="D13" s="118" t="str">
        <f>'BD Team'!D18</f>
        <v>3 TRACK 2 SHUTTER SLIDING DOOR</v>
      </c>
      <c r="E13" s="118" t="str">
        <f>'BD Team'!F18</f>
        <v>SS</v>
      </c>
      <c r="F13" s="121" t="str">
        <f>'BD Team'!G18</f>
        <v>HALL DOOR</v>
      </c>
      <c r="G13" s="118">
        <f>'BD Team'!H18</f>
        <v>3353</v>
      </c>
      <c r="H13" s="118">
        <f>'BD Team'!I18</f>
        <v>2565</v>
      </c>
      <c r="I13" s="118">
        <f>'BD Team'!J18</f>
        <v>1</v>
      </c>
      <c r="J13" s="103">
        <f t="shared" si="0"/>
        <v>92.57518997999999</v>
      </c>
      <c r="K13" s="172">
        <f>'BD Team'!K18</f>
        <v>544.29999999999995</v>
      </c>
      <c r="L13" s="171">
        <f t="shared" si="1"/>
        <v>544.29999999999995</v>
      </c>
      <c r="M13" s="170">
        <f>L13*'Changable Values'!$D$4</f>
        <v>45176.899999999994</v>
      </c>
      <c r="N13" s="170" t="str">
        <f>'BD Team'!E18</f>
        <v>24MM</v>
      </c>
      <c r="O13" s="172">
        <v>2805</v>
      </c>
      <c r="P13" s="241"/>
      <c r="Q13" s="173">
        <f t="shared" si="9"/>
        <v>538.19999999999993</v>
      </c>
      <c r="R13" s="185"/>
      <c r="S13" s="312">
        <f>SUM('MS insert'!P7:P8)</f>
        <v>1500.1349999999998</v>
      </c>
      <c r="T13" s="313">
        <f t="shared" si="2"/>
        <v>39.453333333333333</v>
      </c>
      <c r="U13" s="313">
        <f t="shared" si="3"/>
        <v>47.344000000000001</v>
      </c>
      <c r="V13" s="313">
        <f t="shared" si="4"/>
        <v>2.4658333333333333</v>
      </c>
      <c r="W13" s="313">
        <f t="shared" si="5"/>
        <v>39.453333333333333</v>
      </c>
      <c r="X13" s="313">
        <f t="shared" si="6"/>
        <v>78.906666666666666</v>
      </c>
      <c r="Y13" s="313">
        <f t="shared" si="7"/>
        <v>23.672000000000001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0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0"/>
        <v>0</v>
      </c>
      <c r="K55" s="172">
        <f>'BD Team'!K60</f>
        <v>0</v>
      </c>
      <c r="L55" s="171">
        <f t="shared" ref="L55:L103" si="11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0"/>
        <v>0</v>
      </c>
      <c r="K56" s="172">
        <f>'BD Team'!K61</f>
        <v>0</v>
      </c>
      <c r="L56" s="171">
        <f t="shared" si="11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0"/>
        <v>0</v>
      </c>
      <c r="K57" s="172">
        <f>'BD Team'!K62</f>
        <v>0</v>
      </c>
      <c r="L57" s="171">
        <f t="shared" si="11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0"/>
        <v>0</v>
      </c>
      <c r="K58" s="172">
        <f>'BD Team'!K63</f>
        <v>0</v>
      </c>
      <c r="L58" s="171">
        <f t="shared" si="11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0"/>
        <v>0</v>
      </c>
      <c r="K59" s="172">
        <f>'BD Team'!K64</f>
        <v>0</v>
      </c>
      <c r="L59" s="171">
        <f t="shared" si="11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0"/>
        <v>0</v>
      </c>
      <c r="K60" s="172">
        <f>'BD Team'!K65</f>
        <v>0</v>
      </c>
      <c r="L60" s="171">
        <f t="shared" si="11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0"/>
        <v>0</v>
      </c>
      <c r="K61" s="172">
        <f>'BD Team'!K66</f>
        <v>0</v>
      </c>
      <c r="L61" s="171">
        <f t="shared" si="11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0"/>
        <v>0</v>
      </c>
      <c r="K62" s="172">
        <f>'BD Team'!K67</f>
        <v>0</v>
      </c>
      <c r="L62" s="171">
        <f t="shared" si="11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0"/>
        <v>0</v>
      </c>
      <c r="K63" s="172">
        <f>'BD Team'!K68</f>
        <v>0</v>
      </c>
      <c r="L63" s="171">
        <f t="shared" si="11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0"/>
        <v>0</v>
      </c>
      <c r="K64" s="172">
        <f>'BD Team'!K69</f>
        <v>0</v>
      </c>
      <c r="L64" s="171">
        <f t="shared" si="11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0"/>
        <v>0</v>
      </c>
      <c r="K65" s="172">
        <f>'BD Team'!K70</f>
        <v>0</v>
      </c>
      <c r="L65" s="171">
        <f t="shared" si="11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0"/>
        <v>0</v>
      </c>
      <c r="K66" s="172">
        <f>'BD Team'!K71</f>
        <v>0</v>
      </c>
      <c r="L66" s="171">
        <f t="shared" si="11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0"/>
        <v>0</v>
      </c>
      <c r="K67" s="172">
        <f>'BD Team'!K72</f>
        <v>0</v>
      </c>
      <c r="L67" s="171">
        <f t="shared" si="11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0"/>
        <v>0</v>
      </c>
      <c r="K68" s="172">
        <f>'BD Team'!K73</f>
        <v>0</v>
      </c>
      <c r="L68" s="171">
        <f t="shared" si="11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0"/>
        <v>0</v>
      </c>
      <c r="K69" s="172">
        <f>'BD Team'!K74</f>
        <v>0</v>
      </c>
      <c r="L69" s="171">
        <f t="shared" si="11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2">(G69+H69)*I69*2/300</f>
        <v>0</v>
      </c>
      <c r="U69" s="313">
        <f t="shared" ref="U69:U103" si="13">SUM(G69:H69)*I69*2*4/1000</f>
        <v>0</v>
      </c>
      <c r="V69" s="313">
        <f t="shared" ref="V69:V103" si="14">SUM(G69:H69)*I69*5*5*4/(1000*240)</f>
        <v>0</v>
      </c>
      <c r="W69" s="313">
        <f t="shared" ref="W69:W103" si="15">T69</f>
        <v>0</v>
      </c>
      <c r="X69" s="313">
        <f t="shared" ref="X69:X103" si="16">W69*2</f>
        <v>0</v>
      </c>
      <c r="Y69" s="313">
        <f t="shared" ref="Y69:Y103" si="1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0"/>
        <v>0</v>
      </c>
      <c r="K70" s="172">
        <f>'BD Team'!K75</f>
        <v>0</v>
      </c>
      <c r="L70" s="171">
        <f t="shared" si="11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2"/>
        <v>0</v>
      </c>
      <c r="U70" s="313">
        <f t="shared" si="13"/>
        <v>0</v>
      </c>
      <c r="V70" s="313">
        <f t="shared" si="14"/>
        <v>0</v>
      </c>
      <c r="W70" s="313">
        <f t="shared" si="15"/>
        <v>0</v>
      </c>
      <c r="X70" s="313">
        <f t="shared" si="16"/>
        <v>0</v>
      </c>
      <c r="Y70" s="313">
        <f t="shared" si="1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0"/>
        <v>0</v>
      </c>
      <c r="K71" s="172">
        <f>'BD Team'!K76</f>
        <v>0</v>
      </c>
      <c r="L71" s="171">
        <f t="shared" si="11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2"/>
        <v>0</v>
      </c>
      <c r="U71" s="313">
        <f t="shared" si="13"/>
        <v>0</v>
      </c>
      <c r="V71" s="313">
        <f t="shared" si="14"/>
        <v>0</v>
      </c>
      <c r="W71" s="313">
        <f t="shared" si="15"/>
        <v>0</v>
      </c>
      <c r="X71" s="313">
        <f t="shared" si="16"/>
        <v>0</v>
      </c>
      <c r="Y71" s="313">
        <f t="shared" si="1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0"/>
        <v>0</v>
      </c>
      <c r="K72" s="172">
        <f>'BD Team'!K77</f>
        <v>0</v>
      </c>
      <c r="L72" s="171">
        <f t="shared" si="11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2"/>
        <v>0</v>
      </c>
      <c r="U72" s="313">
        <f t="shared" si="13"/>
        <v>0</v>
      </c>
      <c r="V72" s="313">
        <f t="shared" si="14"/>
        <v>0</v>
      </c>
      <c r="W72" s="313">
        <f t="shared" si="15"/>
        <v>0</v>
      </c>
      <c r="X72" s="313">
        <f t="shared" si="16"/>
        <v>0</v>
      </c>
      <c r="Y72" s="313">
        <f t="shared" si="1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0"/>
        <v>0</v>
      </c>
      <c r="K73" s="172">
        <f>'BD Team'!K78</f>
        <v>0</v>
      </c>
      <c r="L73" s="171">
        <f t="shared" si="11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2"/>
        <v>0</v>
      </c>
      <c r="U73" s="313">
        <f t="shared" si="13"/>
        <v>0</v>
      </c>
      <c r="V73" s="313">
        <f t="shared" si="14"/>
        <v>0</v>
      </c>
      <c r="W73" s="313">
        <f t="shared" si="15"/>
        <v>0</v>
      </c>
      <c r="X73" s="313">
        <f t="shared" si="16"/>
        <v>0</v>
      </c>
      <c r="Y73" s="313">
        <f t="shared" si="1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0"/>
        <v>0</v>
      </c>
      <c r="K74" s="172">
        <f>'BD Team'!K79</f>
        <v>0</v>
      </c>
      <c r="L74" s="171">
        <f t="shared" si="11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2"/>
        <v>0</v>
      </c>
      <c r="U74" s="313">
        <f t="shared" si="13"/>
        <v>0</v>
      </c>
      <c r="V74" s="313">
        <f t="shared" si="14"/>
        <v>0</v>
      </c>
      <c r="W74" s="313">
        <f t="shared" si="15"/>
        <v>0</v>
      </c>
      <c r="X74" s="313">
        <f t="shared" si="16"/>
        <v>0</v>
      </c>
      <c r="Y74" s="313">
        <f t="shared" si="1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0"/>
        <v>0</v>
      </c>
      <c r="K75" s="172">
        <f>'BD Team'!K80</f>
        <v>0</v>
      </c>
      <c r="L75" s="171">
        <f t="shared" si="11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2"/>
        <v>0</v>
      </c>
      <c r="U75" s="313">
        <f t="shared" si="13"/>
        <v>0</v>
      </c>
      <c r="V75" s="313">
        <f t="shared" si="14"/>
        <v>0</v>
      </c>
      <c r="W75" s="313">
        <f t="shared" si="15"/>
        <v>0</v>
      </c>
      <c r="X75" s="313">
        <f t="shared" si="16"/>
        <v>0</v>
      </c>
      <c r="Y75" s="313">
        <f t="shared" si="1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0"/>
        <v>0</v>
      </c>
      <c r="K76" s="172">
        <f>'BD Team'!K81</f>
        <v>0</v>
      </c>
      <c r="L76" s="171">
        <f t="shared" si="11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2"/>
        <v>0</v>
      </c>
      <c r="U76" s="313">
        <f t="shared" si="13"/>
        <v>0</v>
      </c>
      <c r="V76" s="313">
        <f t="shared" si="14"/>
        <v>0</v>
      </c>
      <c r="W76" s="313">
        <f t="shared" si="15"/>
        <v>0</v>
      </c>
      <c r="X76" s="313">
        <f t="shared" si="16"/>
        <v>0</v>
      </c>
      <c r="Y76" s="313">
        <f t="shared" si="1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0"/>
        <v>0</v>
      </c>
      <c r="K77" s="172">
        <f>'BD Team'!K82</f>
        <v>0</v>
      </c>
      <c r="L77" s="171">
        <f t="shared" si="11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2"/>
        <v>0</v>
      </c>
      <c r="U77" s="313">
        <f t="shared" si="13"/>
        <v>0</v>
      </c>
      <c r="V77" s="313">
        <f t="shared" si="14"/>
        <v>0</v>
      </c>
      <c r="W77" s="313">
        <f t="shared" si="15"/>
        <v>0</v>
      </c>
      <c r="X77" s="313">
        <f t="shared" si="16"/>
        <v>0</v>
      </c>
      <c r="Y77" s="313">
        <f t="shared" si="1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0"/>
        <v>0</v>
      </c>
      <c r="K78" s="172">
        <f>'BD Team'!K83</f>
        <v>0</v>
      </c>
      <c r="L78" s="171">
        <f t="shared" si="11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2"/>
        <v>0</v>
      </c>
      <c r="U78" s="313">
        <f t="shared" si="13"/>
        <v>0</v>
      </c>
      <c r="V78" s="313">
        <f t="shared" si="14"/>
        <v>0</v>
      </c>
      <c r="W78" s="313">
        <f t="shared" si="15"/>
        <v>0</v>
      </c>
      <c r="X78" s="313">
        <f t="shared" si="16"/>
        <v>0</v>
      </c>
      <c r="Y78" s="313">
        <f t="shared" si="1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2"/>
        <v>0</v>
      </c>
      <c r="U79" s="313">
        <f t="shared" si="13"/>
        <v>0</v>
      </c>
      <c r="V79" s="313">
        <f t="shared" si="14"/>
        <v>0</v>
      </c>
      <c r="W79" s="313">
        <f t="shared" si="15"/>
        <v>0</v>
      </c>
      <c r="X79" s="313">
        <f t="shared" si="16"/>
        <v>0</v>
      </c>
      <c r="Y79" s="313">
        <f t="shared" si="1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2"/>
        <v>0</v>
      </c>
      <c r="U80" s="313">
        <f t="shared" si="13"/>
        <v>0</v>
      </c>
      <c r="V80" s="313">
        <f t="shared" si="14"/>
        <v>0</v>
      </c>
      <c r="W80" s="313">
        <f t="shared" si="15"/>
        <v>0</v>
      </c>
      <c r="X80" s="313">
        <f t="shared" si="16"/>
        <v>0</v>
      </c>
      <c r="Y80" s="313">
        <f t="shared" si="1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2"/>
        <v>0</v>
      </c>
      <c r="U81" s="313">
        <f t="shared" si="13"/>
        <v>0</v>
      </c>
      <c r="V81" s="313">
        <f t="shared" si="14"/>
        <v>0</v>
      </c>
      <c r="W81" s="313">
        <f t="shared" si="15"/>
        <v>0</v>
      </c>
      <c r="X81" s="313">
        <f t="shared" si="16"/>
        <v>0</v>
      </c>
      <c r="Y81" s="313">
        <f t="shared" si="1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2"/>
        <v>0</v>
      </c>
      <c r="U82" s="313">
        <f t="shared" si="13"/>
        <v>0</v>
      </c>
      <c r="V82" s="313">
        <f t="shared" si="14"/>
        <v>0</v>
      </c>
      <c r="W82" s="313">
        <f t="shared" si="15"/>
        <v>0</v>
      </c>
      <c r="X82" s="313">
        <f t="shared" si="16"/>
        <v>0</v>
      </c>
      <c r="Y82" s="313">
        <f t="shared" si="1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2"/>
        <v>0</v>
      </c>
      <c r="U83" s="313">
        <f t="shared" si="13"/>
        <v>0</v>
      </c>
      <c r="V83" s="313">
        <f t="shared" si="14"/>
        <v>0</v>
      </c>
      <c r="W83" s="313">
        <f t="shared" si="15"/>
        <v>0</v>
      </c>
      <c r="X83" s="313">
        <f t="shared" si="16"/>
        <v>0</v>
      </c>
      <c r="Y83" s="313">
        <f t="shared" si="1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2"/>
        <v>0</v>
      </c>
      <c r="U84" s="313">
        <f t="shared" si="13"/>
        <v>0</v>
      </c>
      <c r="V84" s="313">
        <f t="shared" si="14"/>
        <v>0</v>
      </c>
      <c r="W84" s="313">
        <f t="shared" si="15"/>
        <v>0</v>
      </c>
      <c r="X84" s="313">
        <f t="shared" si="16"/>
        <v>0</v>
      </c>
      <c r="Y84" s="313">
        <f t="shared" si="1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2"/>
        <v>0</v>
      </c>
      <c r="U85" s="313">
        <f t="shared" si="13"/>
        <v>0</v>
      </c>
      <c r="V85" s="313">
        <f t="shared" si="14"/>
        <v>0</v>
      </c>
      <c r="W85" s="313">
        <f t="shared" si="15"/>
        <v>0</v>
      </c>
      <c r="X85" s="313">
        <f t="shared" si="16"/>
        <v>0</v>
      </c>
      <c r="Y85" s="313">
        <f t="shared" si="1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2"/>
        <v>0</v>
      </c>
      <c r="U86" s="313">
        <f t="shared" si="13"/>
        <v>0</v>
      </c>
      <c r="V86" s="313">
        <f t="shared" si="14"/>
        <v>0</v>
      </c>
      <c r="W86" s="313">
        <f t="shared" si="15"/>
        <v>0</v>
      </c>
      <c r="X86" s="313">
        <f t="shared" si="16"/>
        <v>0</v>
      </c>
      <c r="Y86" s="313">
        <f t="shared" si="1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2"/>
        <v>0</v>
      </c>
      <c r="U87" s="313">
        <f t="shared" si="13"/>
        <v>0</v>
      </c>
      <c r="V87" s="313">
        <f t="shared" si="14"/>
        <v>0</v>
      </c>
      <c r="W87" s="313">
        <f t="shared" si="15"/>
        <v>0</v>
      </c>
      <c r="X87" s="313">
        <f t="shared" si="16"/>
        <v>0</v>
      </c>
      <c r="Y87" s="313">
        <f t="shared" si="1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2"/>
        <v>0</v>
      </c>
      <c r="U88" s="313">
        <f t="shared" si="13"/>
        <v>0</v>
      </c>
      <c r="V88" s="313">
        <f t="shared" si="14"/>
        <v>0</v>
      </c>
      <c r="W88" s="313">
        <f t="shared" si="15"/>
        <v>0</v>
      </c>
      <c r="X88" s="313">
        <f t="shared" si="16"/>
        <v>0</v>
      </c>
      <c r="Y88" s="313">
        <f t="shared" si="1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2"/>
        <v>0</v>
      </c>
      <c r="U89" s="313">
        <f t="shared" si="13"/>
        <v>0</v>
      </c>
      <c r="V89" s="313">
        <f t="shared" si="14"/>
        <v>0</v>
      </c>
      <c r="W89" s="313">
        <f t="shared" si="15"/>
        <v>0</v>
      </c>
      <c r="X89" s="313">
        <f t="shared" si="16"/>
        <v>0</v>
      </c>
      <c r="Y89" s="313">
        <f t="shared" si="1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2"/>
        <v>0</v>
      </c>
      <c r="U90" s="313">
        <f t="shared" si="13"/>
        <v>0</v>
      </c>
      <c r="V90" s="313">
        <f t="shared" si="14"/>
        <v>0</v>
      </c>
      <c r="W90" s="313">
        <f t="shared" si="15"/>
        <v>0</v>
      </c>
      <c r="X90" s="313">
        <f t="shared" si="16"/>
        <v>0</v>
      </c>
      <c r="Y90" s="313">
        <f t="shared" si="1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2"/>
        <v>0</v>
      </c>
      <c r="U91" s="313">
        <f t="shared" si="13"/>
        <v>0</v>
      </c>
      <c r="V91" s="313">
        <f t="shared" si="14"/>
        <v>0</v>
      </c>
      <c r="W91" s="313">
        <f t="shared" si="15"/>
        <v>0</v>
      </c>
      <c r="X91" s="313">
        <f t="shared" si="16"/>
        <v>0</v>
      </c>
      <c r="Y91" s="313">
        <f t="shared" si="1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2"/>
        <v>0</v>
      </c>
      <c r="U92" s="313">
        <f t="shared" si="13"/>
        <v>0</v>
      </c>
      <c r="V92" s="313">
        <f t="shared" si="14"/>
        <v>0</v>
      </c>
      <c r="W92" s="313">
        <f t="shared" si="15"/>
        <v>0</v>
      </c>
      <c r="X92" s="313">
        <f t="shared" si="16"/>
        <v>0</v>
      </c>
      <c r="Y92" s="313">
        <f t="shared" si="1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2"/>
        <v>0</v>
      </c>
      <c r="U93" s="313">
        <f t="shared" si="13"/>
        <v>0</v>
      </c>
      <c r="V93" s="313">
        <f t="shared" si="14"/>
        <v>0</v>
      </c>
      <c r="W93" s="313">
        <f t="shared" si="15"/>
        <v>0</v>
      </c>
      <c r="X93" s="313">
        <f t="shared" si="16"/>
        <v>0</v>
      </c>
      <c r="Y93" s="313">
        <f t="shared" si="1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2"/>
        <v>0</v>
      </c>
      <c r="U94" s="313">
        <f t="shared" si="13"/>
        <v>0</v>
      </c>
      <c r="V94" s="313">
        <f t="shared" si="14"/>
        <v>0</v>
      </c>
      <c r="W94" s="313">
        <f t="shared" si="15"/>
        <v>0</v>
      </c>
      <c r="X94" s="313">
        <f t="shared" si="16"/>
        <v>0</v>
      </c>
      <c r="Y94" s="313">
        <f t="shared" si="1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2"/>
        <v>0</v>
      </c>
      <c r="U95" s="313">
        <f t="shared" si="13"/>
        <v>0</v>
      </c>
      <c r="V95" s="313">
        <f t="shared" si="14"/>
        <v>0</v>
      </c>
      <c r="W95" s="313">
        <f t="shared" si="15"/>
        <v>0</v>
      </c>
      <c r="X95" s="313">
        <f t="shared" si="16"/>
        <v>0</v>
      </c>
      <c r="Y95" s="313">
        <f t="shared" si="1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2"/>
        <v>0</v>
      </c>
      <c r="U96" s="313">
        <f t="shared" si="13"/>
        <v>0</v>
      </c>
      <c r="V96" s="313">
        <f t="shared" si="14"/>
        <v>0</v>
      </c>
      <c r="W96" s="313">
        <f t="shared" si="15"/>
        <v>0</v>
      </c>
      <c r="X96" s="313">
        <f t="shared" si="16"/>
        <v>0</v>
      </c>
      <c r="Y96" s="313">
        <f t="shared" si="1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2"/>
        <v>0</v>
      </c>
      <c r="U97" s="313">
        <f t="shared" si="13"/>
        <v>0</v>
      </c>
      <c r="V97" s="313">
        <f t="shared" si="14"/>
        <v>0</v>
      </c>
      <c r="W97" s="313">
        <f t="shared" si="15"/>
        <v>0</v>
      </c>
      <c r="X97" s="313">
        <f t="shared" si="16"/>
        <v>0</v>
      </c>
      <c r="Y97" s="313">
        <f t="shared" si="1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2"/>
        <v>0</v>
      </c>
      <c r="U98" s="313">
        <f t="shared" si="13"/>
        <v>0</v>
      </c>
      <c r="V98" s="313">
        <f t="shared" si="14"/>
        <v>0</v>
      </c>
      <c r="W98" s="313">
        <f t="shared" si="15"/>
        <v>0</v>
      </c>
      <c r="X98" s="313">
        <f t="shared" si="16"/>
        <v>0</v>
      </c>
      <c r="Y98" s="313">
        <f t="shared" si="1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2"/>
        <v>0</v>
      </c>
      <c r="U99" s="313">
        <f t="shared" si="13"/>
        <v>0</v>
      </c>
      <c r="V99" s="313">
        <f t="shared" si="14"/>
        <v>0</v>
      </c>
      <c r="W99" s="313">
        <f t="shared" si="15"/>
        <v>0</v>
      </c>
      <c r="X99" s="313">
        <f t="shared" si="16"/>
        <v>0</v>
      </c>
      <c r="Y99" s="313">
        <f t="shared" si="1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2"/>
        <v>0</v>
      </c>
      <c r="U100" s="313">
        <f t="shared" si="13"/>
        <v>0</v>
      </c>
      <c r="V100" s="313">
        <f t="shared" si="14"/>
        <v>0</v>
      </c>
      <c r="W100" s="313">
        <f t="shared" si="15"/>
        <v>0</v>
      </c>
      <c r="X100" s="313">
        <f t="shared" si="16"/>
        <v>0</v>
      </c>
      <c r="Y100" s="313">
        <f t="shared" si="1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2"/>
        <v>0</v>
      </c>
      <c r="U101" s="313">
        <f t="shared" si="13"/>
        <v>0</v>
      </c>
      <c r="V101" s="313">
        <f t="shared" si="14"/>
        <v>0</v>
      </c>
      <c r="W101" s="313">
        <f t="shared" si="15"/>
        <v>0</v>
      </c>
      <c r="X101" s="313">
        <f t="shared" si="16"/>
        <v>0</v>
      </c>
      <c r="Y101" s="313">
        <f t="shared" si="1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2"/>
        <v>0</v>
      </c>
      <c r="U102" s="313">
        <f t="shared" si="13"/>
        <v>0</v>
      </c>
      <c r="V102" s="313">
        <f t="shared" si="14"/>
        <v>0</v>
      </c>
      <c r="W102" s="313">
        <f t="shared" si="15"/>
        <v>0</v>
      </c>
      <c r="X102" s="313">
        <f t="shared" si="16"/>
        <v>0</v>
      </c>
      <c r="Y102" s="313">
        <f t="shared" si="1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2"/>
        <v>0</v>
      </c>
      <c r="U103" s="313">
        <f t="shared" si="13"/>
        <v>0</v>
      </c>
      <c r="V103" s="313">
        <f t="shared" si="14"/>
        <v>0</v>
      </c>
      <c r="W103" s="313">
        <f t="shared" si="15"/>
        <v>0</v>
      </c>
      <c r="X103" s="313">
        <f t="shared" si="16"/>
        <v>0</v>
      </c>
      <c r="Y103" s="313">
        <f t="shared" si="17"/>
        <v>0</v>
      </c>
    </row>
    <row r="104" spans="1:25">
      <c r="K104" s="168">
        <f>SUM(K4:K103)</f>
        <v>2468.25</v>
      </c>
      <c r="L104" s="168">
        <f>SUM(L4:L103)</f>
        <v>5356.5199999999995</v>
      </c>
      <c r="M104" s="168">
        <f>SUM(M4:M103)</f>
        <v>444591.15999999992</v>
      </c>
      <c r="T104" s="314">
        <f t="shared" ref="T104:Y104" si="18">SUM(T4:T103)</f>
        <v>430.62666666666667</v>
      </c>
      <c r="U104" s="314">
        <f t="shared" si="18"/>
        <v>516.75200000000007</v>
      </c>
      <c r="V104" s="314">
        <f t="shared" si="18"/>
        <v>26.914166666666667</v>
      </c>
      <c r="W104" s="314">
        <f t="shared" si="18"/>
        <v>430.62666666666667</v>
      </c>
      <c r="X104" s="314">
        <f t="shared" si="18"/>
        <v>861.25333333333333</v>
      </c>
      <c r="Y104" s="314">
        <f t="shared" si="18"/>
        <v>258.37600000000003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C8" sqref="C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2003.4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1500</v>
      </c>
      <c r="D4" s="255">
        <f>C4*D3</f>
        <v>34.5</v>
      </c>
      <c r="E4" s="255">
        <f>C4*E3</f>
        <v>60</v>
      </c>
      <c r="F4" s="255">
        <f>C4*F3</f>
        <v>75</v>
      </c>
      <c r="G4" s="255">
        <f>C4+D4+E4+F4</f>
        <v>1669.5</v>
      </c>
      <c r="H4" s="255">
        <f>G4*H3</f>
        <v>333.90000000000003</v>
      </c>
      <c r="I4" s="255">
        <f>G4+H4</f>
        <v>2003.4</v>
      </c>
      <c r="J4" s="255">
        <f>I4*J3</f>
        <v>0</v>
      </c>
      <c r="K4" s="255">
        <f>I4+J4</f>
        <v>2003.4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12</v>
      </c>
      <c r="B7" s="270">
        <v>6</v>
      </c>
      <c r="C7" s="271">
        <v>0</v>
      </c>
      <c r="D7" s="270">
        <v>6</v>
      </c>
      <c r="E7" s="271">
        <v>0</v>
      </c>
      <c r="F7" s="270">
        <v>0</v>
      </c>
      <c r="G7" s="269">
        <f>SUM(B8:F8)</f>
        <v>1500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294</v>
      </c>
      <c r="D10" s="272"/>
      <c r="E10" s="275" t="s">
        <v>195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L9" sqref="L9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320" t="s">
        <v>448</v>
      </c>
      <c r="B5" s="320" t="s">
        <v>453</v>
      </c>
      <c r="C5" s="320" t="s">
        <v>454</v>
      </c>
      <c r="D5" s="141">
        <v>50</v>
      </c>
      <c r="F5" s="141">
        <v>5</v>
      </c>
      <c r="H5" s="141">
        <v>1</v>
      </c>
      <c r="I5" s="141">
        <v>1</v>
      </c>
      <c r="J5" s="141">
        <v>7.8499999999999993E-3</v>
      </c>
      <c r="K5" s="141">
        <f>J5*F5*D5</f>
        <v>1.9624999999999997</v>
      </c>
      <c r="L5" s="141">
        <v>3.1</v>
      </c>
      <c r="M5" s="141">
        <f>H5*I5*L5</f>
        <v>3.1</v>
      </c>
      <c r="N5" s="141">
        <f>K5*M5</f>
        <v>6.0837499999999993</v>
      </c>
      <c r="O5" s="141">
        <f>N5*$O$3</f>
        <v>912.56249999999989</v>
      </c>
      <c r="P5" s="143">
        <f>O5/I5</f>
        <v>912.56249999999989</v>
      </c>
    </row>
    <row r="6" spans="1:16">
      <c r="A6" s="320" t="s">
        <v>448</v>
      </c>
      <c r="B6" s="320" t="s">
        <v>456</v>
      </c>
      <c r="C6" s="320" t="s">
        <v>455</v>
      </c>
      <c r="D6" s="141">
        <v>30</v>
      </c>
      <c r="F6" s="141">
        <v>4</v>
      </c>
      <c r="H6" s="141">
        <v>2</v>
      </c>
      <c r="I6" s="141">
        <v>1</v>
      </c>
      <c r="J6" s="141">
        <v>7.8499999999999993E-3</v>
      </c>
      <c r="K6" s="141">
        <f t="shared" ref="K6:K8" si="0">J6*F6*D6</f>
        <v>0.94199999999999995</v>
      </c>
      <c r="L6" s="141">
        <v>3.1</v>
      </c>
      <c r="M6" s="141">
        <f t="shared" ref="M6:M10" si="1">H6*I6*L6</f>
        <v>6.2</v>
      </c>
      <c r="N6" s="141">
        <f t="shared" ref="N6:N10" si="2">K6*M6</f>
        <v>5.8403999999999998</v>
      </c>
      <c r="O6" s="141">
        <f t="shared" ref="O6:O10" si="3">N6*$O$3</f>
        <v>876.06</v>
      </c>
      <c r="P6" s="143">
        <f t="shared" ref="P6:P10" si="4">O6/I6</f>
        <v>876.06</v>
      </c>
    </row>
    <row r="7" spans="1:16">
      <c r="A7" s="320" t="s">
        <v>451</v>
      </c>
      <c r="B7" s="238" t="s">
        <v>453</v>
      </c>
      <c r="C7" s="141" t="s">
        <v>454</v>
      </c>
      <c r="D7" s="141">
        <v>50</v>
      </c>
      <c r="F7" s="141">
        <v>5</v>
      </c>
      <c r="H7" s="141">
        <v>1</v>
      </c>
      <c r="I7" s="141">
        <v>1</v>
      </c>
      <c r="J7" s="141">
        <v>7.8499999999999993E-3</v>
      </c>
      <c r="K7" s="141">
        <f t="shared" si="0"/>
        <v>1.9624999999999997</v>
      </c>
      <c r="L7" s="141">
        <v>2.6</v>
      </c>
      <c r="M7" s="141">
        <f t="shared" si="1"/>
        <v>2.6</v>
      </c>
      <c r="N7" s="141">
        <f t="shared" si="2"/>
        <v>5.1024999999999991</v>
      </c>
      <c r="O7" s="141">
        <f t="shared" si="3"/>
        <v>765.37499999999989</v>
      </c>
      <c r="P7" s="143">
        <f t="shared" si="4"/>
        <v>765.37499999999989</v>
      </c>
    </row>
    <row r="8" spans="1:16">
      <c r="A8" s="320" t="s">
        <v>451</v>
      </c>
      <c r="B8" s="238" t="s">
        <v>456</v>
      </c>
      <c r="C8" s="238" t="s">
        <v>455</v>
      </c>
      <c r="D8" s="141">
        <v>30</v>
      </c>
      <c r="F8" s="141">
        <v>4</v>
      </c>
      <c r="H8" s="141">
        <v>2</v>
      </c>
      <c r="I8" s="141">
        <v>1</v>
      </c>
      <c r="J8" s="141">
        <v>7.8499999999999993E-3</v>
      </c>
      <c r="K8" s="141">
        <f t="shared" si="0"/>
        <v>0.94199999999999995</v>
      </c>
      <c r="L8" s="141">
        <v>2.6</v>
      </c>
      <c r="M8" s="141">
        <f t="shared" si="1"/>
        <v>5.2</v>
      </c>
      <c r="N8" s="141">
        <f t="shared" si="2"/>
        <v>4.8983999999999996</v>
      </c>
      <c r="O8" s="141">
        <f t="shared" si="3"/>
        <v>734.76</v>
      </c>
      <c r="P8" s="143">
        <f t="shared" si="4"/>
        <v>734.76</v>
      </c>
    </row>
    <row r="9" spans="1:16">
      <c r="J9" s="141">
        <v>7.8499999999999993E-3</v>
      </c>
      <c r="K9" s="141">
        <f t="shared" ref="K9:K10" si="5">(2*(D9+E9)-4*F9)*F9*J9</f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5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E1" zoomScale="75" zoomScaleNormal="75" workbookViewId="0">
      <pane ySplit="6" topLeftCell="A7" activePane="bottomLeft" state="frozen"/>
      <selection pane="bottomLeft" activeCell="L108" sqref="L10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189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190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238</v>
      </c>
      <c r="AK4" s="342" t="s">
        <v>239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215</v>
      </c>
      <c r="AW4" s="388" t="s">
        <v>213</v>
      </c>
      <c r="AX4" s="391" t="s">
        <v>214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212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150</v>
      </c>
      <c r="AG7" s="378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SIDE HUNG WINDOW</v>
      </c>
      <c r="D8" s="131" t="str">
        <f>Pricing!B4</f>
        <v>W01</v>
      </c>
      <c r="E8" s="132" t="str">
        <f>Pricing!N4</f>
        <v>24MM</v>
      </c>
      <c r="F8" s="68">
        <f>Pricing!G4</f>
        <v>610</v>
      </c>
      <c r="G8" s="68">
        <f>Pricing!H4</f>
        <v>1346</v>
      </c>
      <c r="H8" s="100">
        <f t="shared" ref="H8:H57" si="0">(F8*G8)/1000000</f>
        <v>0.82106000000000001</v>
      </c>
      <c r="I8" s="70">
        <f>Pricing!I4</f>
        <v>2</v>
      </c>
      <c r="J8" s="69">
        <f t="shared" ref="J8" si="1">H8*I8</f>
        <v>1.64212</v>
      </c>
      <c r="K8" s="71">
        <f t="shared" ref="K8" si="2">J8*10.764</f>
        <v>17.675779679999998</v>
      </c>
      <c r="L8" s="69"/>
      <c r="M8" s="72"/>
      <c r="N8" s="72"/>
      <c r="O8" s="72">
        <f t="shared" ref="O8:O35" si="3">N8*M8*L8/1000000</f>
        <v>0</v>
      </c>
      <c r="P8" s="73">
        <f>Pricing!M4</f>
        <v>46938.159999999996</v>
      </c>
      <c r="Q8" s="74">
        <f t="shared" ref="Q8:Q56" si="4">P8*$Q$6</f>
        <v>4693.8159999999998</v>
      </c>
      <c r="R8" s="74">
        <f t="shared" ref="R8:R56" si="5">(P8+Q8)*$R$6</f>
        <v>5679.5173599999998</v>
      </c>
      <c r="S8" s="74">
        <f t="shared" ref="S8:S56" si="6">(P8+Q8+R8)*$S$6</f>
        <v>286.55746679999999</v>
      </c>
      <c r="T8" s="74">
        <f t="shared" ref="T8:T56" si="7">(P8+Q8+R8+S8)*$T$6</f>
        <v>575.98050826799988</v>
      </c>
      <c r="U8" s="72">
        <f t="shared" ref="U8:U56" si="8">SUM(P8:T8)</f>
        <v>58174.031335067993</v>
      </c>
      <c r="V8" s="74">
        <f t="shared" ref="V8:V56" si="9">U8*$V$6</f>
        <v>872.61047002601993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4606.1466</v>
      </c>
      <c r="AE8" s="76">
        <f>((((F8+G8)*2)/305)*I8*$AE$7)</f>
        <v>641.31147540983613</v>
      </c>
      <c r="AF8" s="346">
        <f>(((((F8*4)+(G8*4))/1000)*$AF$6*$AG$6)/300)*I8*$AF$7</f>
        <v>281.66399999999999</v>
      </c>
      <c r="AG8" s="347"/>
      <c r="AH8" s="76">
        <f>(((F8+G8))*I8/1000)*4*$AH$7</f>
        <v>23.472000000000001</v>
      </c>
      <c r="AI8" s="76">
        <f t="shared" ref="AI8:AI57" si="15">(((F8+G8)*2*I8)/1000)*2*$AI$7</f>
        <v>78.239999999999995</v>
      </c>
      <c r="AJ8" s="76">
        <f>J8*Pricing!Q4</f>
        <v>0</v>
      </c>
      <c r="AK8" s="76">
        <f>J8*Pricing!R4</f>
        <v>16791.990696000001</v>
      </c>
      <c r="AL8" s="76">
        <f t="shared" ref="AL8:AL39" si="16">J8*$AL$6</f>
        <v>1767.5779679999998</v>
      </c>
      <c r="AM8" s="77">
        <f t="shared" ref="AM8:AM39" si="17">$AM$6*J8</f>
        <v>0</v>
      </c>
      <c r="AN8" s="76">
        <f t="shared" ref="AN8:AN39" si="18">$AN$6*J8</f>
        <v>1414.0623744</v>
      </c>
      <c r="AO8" s="72">
        <f t="shared" ref="AO8:AO39" si="19">SUM(U8:V8)+SUM(AC8:AI8)-AD8</f>
        <v>60071.329280503844</v>
      </c>
      <c r="AP8" s="74">
        <f t="shared" ref="AP8:AP39" si="20">AO8*$AP$6</f>
        <v>75089.161600629799</v>
      </c>
      <c r="AQ8" s="74">
        <f t="shared" ref="AQ8:AQ56" si="21">(AO8+AP8)*$AQ$6</f>
        <v>0</v>
      </c>
      <c r="AR8" s="74">
        <f t="shared" ref="AR8:AR39" si="22">SUM(AO8:AQ8)/J8</f>
        <v>82308.534626661669</v>
      </c>
      <c r="AS8" s="72">
        <f t="shared" ref="AS8:AS39" si="23">SUM(AJ8:AQ8)+AD8+AB8</f>
        <v>159740.26851953365</v>
      </c>
      <c r="AT8" s="72">
        <f t="shared" ref="AT8:AT39" si="24">AS8/J8</f>
        <v>97276.854626661661</v>
      </c>
      <c r="AU8" s="78">
        <f t="shared" ref="AU8:AU56" si="25">AT8/10.764</f>
        <v>9037.2403034802737</v>
      </c>
      <c r="AV8" s="79">
        <f t="shared" ref="AV8:AV39" si="26">K8/$K$109</f>
        <v>3.1823295864948233E-2</v>
      </c>
      <c r="AW8" s="80">
        <f t="shared" ref="AW8:AW39" si="27">(U8+V8)/(J8*10.764)</f>
        <v>3340.5395899964069</v>
      </c>
      <c r="AX8" s="81">
        <f t="shared" ref="AX8:AX39" si="28">SUM(W8:AN8,AP8)/(J8*10.764)</f>
        <v>5696.7007134838677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</v>
      </c>
      <c r="D9" s="131" t="str">
        <f>Pricing!B5</f>
        <v>W02</v>
      </c>
      <c r="E9" s="132" t="str">
        <f>Pricing!N5</f>
        <v>24MM</v>
      </c>
      <c r="F9" s="68">
        <f>Pricing!G5</f>
        <v>610</v>
      </c>
      <c r="G9" s="68">
        <f>Pricing!H5</f>
        <v>1346</v>
      </c>
      <c r="H9" s="100">
        <f t="shared" si="0"/>
        <v>0.82106000000000001</v>
      </c>
      <c r="I9" s="70">
        <f>Pricing!I5</f>
        <v>4</v>
      </c>
      <c r="J9" s="69">
        <f t="shared" ref="J9:J58" si="30">H9*I9</f>
        <v>3.28424</v>
      </c>
      <c r="K9" s="71">
        <f t="shared" ref="K9:K58" si="31">J9*10.764</f>
        <v>35.351559359999996</v>
      </c>
      <c r="L9" s="69"/>
      <c r="M9" s="72"/>
      <c r="N9" s="72"/>
      <c r="O9" s="72">
        <f t="shared" si="3"/>
        <v>0</v>
      </c>
      <c r="P9" s="73">
        <f>Pricing!M5</f>
        <v>15457.92</v>
      </c>
      <c r="Q9" s="74">
        <f t="shared" ref="Q9:Q14" si="32">P9*$Q$6</f>
        <v>1545.7920000000001</v>
      </c>
      <c r="R9" s="74">
        <f t="shared" ref="R9:R14" si="33">(P9+Q9)*$R$6</f>
        <v>1870.40832</v>
      </c>
      <c r="S9" s="74">
        <f t="shared" ref="S9:S14" si="34">(P9+Q9+R9)*$S$6</f>
        <v>94.370601599999986</v>
      </c>
      <c r="T9" s="74">
        <f t="shared" ref="T9:T14" si="35">(P9+Q9+R9+S9)*$T$6</f>
        <v>189.68490921599999</v>
      </c>
      <c r="U9" s="72">
        <f t="shared" ref="U9:U14" si="36">SUM(P9:T9)</f>
        <v>19158.175830815999</v>
      </c>
      <c r="V9" s="74">
        <f t="shared" ref="V9:V14" si="37">U9*$V$6</f>
        <v>287.37263746223999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9212.2932000000001</v>
      </c>
      <c r="AE9" s="76">
        <f t="shared" ref="AE9:AE57" si="43">((((F9+G9)*2)/305)*I9*$AE$7)</f>
        <v>1282.6229508196723</v>
      </c>
      <c r="AF9" s="346">
        <f t="shared" ref="AF9:AF57" si="44">(((((F9*4)+(G9*4))/1000)*$AF$6*$AG$6)/300)*I9*$AF$7</f>
        <v>563.32799999999997</v>
      </c>
      <c r="AG9" s="347"/>
      <c r="AH9" s="76">
        <f t="shared" ref="AH9:AH57" si="45">(((F9+G9))*I9/1000)*4*$AH$7</f>
        <v>46.944000000000003</v>
      </c>
      <c r="AI9" s="76">
        <f t="shared" si="15"/>
        <v>156.47999999999999</v>
      </c>
      <c r="AJ9" s="76">
        <f>J9*Pricing!Q5</f>
        <v>0</v>
      </c>
      <c r="AK9" s="76">
        <f>J9*Pricing!R5</f>
        <v>0</v>
      </c>
      <c r="AL9" s="76">
        <f t="shared" si="16"/>
        <v>3535.1559359999997</v>
      </c>
      <c r="AM9" s="77">
        <f t="shared" si="17"/>
        <v>0</v>
      </c>
      <c r="AN9" s="76">
        <f t="shared" si="18"/>
        <v>2828.1247487999999</v>
      </c>
      <c r="AO9" s="72">
        <f t="shared" si="19"/>
        <v>21494.923419097908</v>
      </c>
      <c r="AP9" s="74">
        <f t="shared" si="20"/>
        <v>26868.654273872384</v>
      </c>
      <c r="AQ9" s="74">
        <f t="shared" ref="AQ9:AQ14" si="46">(AO9+AP9)*$AQ$6</f>
        <v>0</v>
      </c>
      <c r="AR9" s="74">
        <f t="shared" si="22"/>
        <v>14725.95720561539</v>
      </c>
      <c r="AS9" s="72">
        <f t="shared" si="23"/>
        <v>63939.151577770288</v>
      </c>
      <c r="AT9" s="72">
        <f t="shared" si="24"/>
        <v>19468.477205615389</v>
      </c>
      <c r="AU9" s="78">
        <f t="shared" ref="AU9:AU14" si="47">AT9/10.764</f>
        <v>1808.6656638438676</v>
      </c>
      <c r="AV9" s="79">
        <f t="shared" si="26"/>
        <v>6.3646591729896465E-2</v>
      </c>
      <c r="AW9" s="80">
        <f t="shared" si="27"/>
        <v>550.06197238022594</v>
      </c>
      <c r="AX9" s="81">
        <f t="shared" si="28"/>
        <v>1258.6036914636418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W03</v>
      </c>
      <c r="E10" s="132" t="str">
        <f>Pricing!N6</f>
        <v>24MM</v>
      </c>
      <c r="F10" s="68">
        <f>Pricing!G6</f>
        <v>1219</v>
      </c>
      <c r="G10" s="68">
        <f>Pricing!H6</f>
        <v>1346</v>
      </c>
      <c r="H10" s="100">
        <f t="shared" si="0"/>
        <v>1.640774</v>
      </c>
      <c r="I10" s="70">
        <f>Pricing!I6</f>
        <v>4</v>
      </c>
      <c r="J10" s="69">
        <f t="shared" si="30"/>
        <v>6.5630959999999998</v>
      </c>
      <c r="K10" s="71">
        <f t="shared" si="31"/>
        <v>70.645165343999992</v>
      </c>
      <c r="L10" s="69"/>
      <c r="M10" s="72"/>
      <c r="N10" s="72"/>
      <c r="O10" s="72">
        <f t="shared" si="3"/>
        <v>0</v>
      </c>
      <c r="P10" s="73">
        <f>Pricing!M6</f>
        <v>91429.48</v>
      </c>
      <c r="Q10" s="74">
        <f t="shared" si="32"/>
        <v>9142.9480000000003</v>
      </c>
      <c r="R10" s="74">
        <f t="shared" si="33"/>
        <v>11062.96708</v>
      </c>
      <c r="S10" s="74">
        <f t="shared" si="34"/>
        <v>558.17697540000006</v>
      </c>
      <c r="T10" s="74">
        <f t="shared" si="35"/>
        <v>1121.935720554</v>
      </c>
      <c r="U10" s="72">
        <f t="shared" si="36"/>
        <v>113315.507775954</v>
      </c>
      <c r="V10" s="74">
        <f t="shared" si="37"/>
        <v>1699.73261663931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18409.484280000001</v>
      </c>
      <c r="AE10" s="76">
        <f t="shared" si="43"/>
        <v>1681.967213114754</v>
      </c>
      <c r="AF10" s="346">
        <f t="shared" si="44"/>
        <v>738.72</v>
      </c>
      <c r="AG10" s="347"/>
      <c r="AH10" s="76">
        <f t="shared" si="45"/>
        <v>61.56</v>
      </c>
      <c r="AI10" s="76">
        <f t="shared" si="15"/>
        <v>205.2</v>
      </c>
      <c r="AJ10" s="76">
        <f>J10*Pricing!Q6</f>
        <v>3532.2582671999994</v>
      </c>
      <c r="AK10" s="76">
        <f>J10*Pricing!R6</f>
        <v>0</v>
      </c>
      <c r="AL10" s="76">
        <f t="shared" si="16"/>
        <v>7064.5165343999988</v>
      </c>
      <c r="AM10" s="77">
        <f t="shared" si="17"/>
        <v>0</v>
      </c>
      <c r="AN10" s="76">
        <f t="shared" si="18"/>
        <v>5651.6132275199989</v>
      </c>
      <c r="AO10" s="72">
        <f t="shared" si="19"/>
        <v>117702.68760570805</v>
      </c>
      <c r="AP10" s="74">
        <f t="shared" si="20"/>
        <v>147128.35950713506</v>
      </c>
      <c r="AQ10" s="74">
        <f t="shared" si="46"/>
        <v>0</v>
      </c>
      <c r="AR10" s="74">
        <f t="shared" si="22"/>
        <v>40351.542490440967</v>
      </c>
      <c r="AS10" s="72">
        <f t="shared" si="23"/>
        <v>299488.91942196304</v>
      </c>
      <c r="AT10" s="72">
        <f t="shared" si="24"/>
        <v>45632.262490440953</v>
      </c>
      <c r="AU10" s="78">
        <f t="shared" si="47"/>
        <v>4239.3406252732211</v>
      </c>
      <c r="AV10" s="79">
        <f t="shared" si="26"/>
        <v>0.12718884478482587</v>
      </c>
      <c r="AW10" s="80">
        <f t="shared" si="27"/>
        <v>1628.069519443226</v>
      </c>
      <c r="AX10" s="81">
        <f t="shared" si="28"/>
        <v>2611.2711058299965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</v>
      </c>
      <c r="D11" s="131" t="str">
        <f>Pricing!B7</f>
        <v>W04</v>
      </c>
      <c r="E11" s="132" t="str">
        <f>Pricing!N7</f>
        <v>24MM</v>
      </c>
      <c r="F11" s="68">
        <f>Pricing!G7</f>
        <v>1829</v>
      </c>
      <c r="G11" s="68">
        <f>Pricing!H7</f>
        <v>1956</v>
      </c>
      <c r="H11" s="100">
        <f t="shared" si="0"/>
        <v>3.5775239999999999</v>
      </c>
      <c r="I11" s="70">
        <f>Pricing!I7</f>
        <v>1</v>
      </c>
      <c r="J11" s="69">
        <f t="shared" si="30"/>
        <v>3.5775239999999999</v>
      </c>
      <c r="K11" s="71">
        <f t="shared" si="31"/>
        <v>38.508468336</v>
      </c>
      <c r="L11" s="69"/>
      <c r="M11" s="72"/>
      <c r="N11" s="72"/>
      <c r="O11" s="72">
        <f t="shared" si="3"/>
        <v>0</v>
      </c>
      <c r="P11" s="73">
        <f>Pricing!M7</f>
        <v>7045.04</v>
      </c>
      <c r="Q11" s="74">
        <f t="shared" si="32"/>
        <v>704.50400000000002</v>
      </c>
      <c r="R11" s="74">
        <f t="shared" si="33"/>
        <v>852.44983999999999</v>
      </c>
      <c r="S11" s="74">
        <f t="shared" si="34"/>
        <v>43.009969199999993</v>
      </c>
      <c r="T11" s="74">
        <f t="shared" si="35"/>
        <v>86.450038092</v>
      </c>
      <c r="U11" s="72">
        <f t="shared" si="36"/>
        <v>8731.4538472919994</v>
      </c>
      <c r="V11" s="74">
        <f t="shared" si="37"/>
        <v>130.97180770937999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10034.954819999999</v>
      </c>
      <c r="AE11" s="76">
        <f t="shared" si="43"/>
        <v>620.49180327868851</v>
      </c>
      <c r="AF11" s="346">
        <f t="shared" si="44"/>
        <v>272.52</v>
      </c>
      <c r="AG11" s="347"/>
      <c r="AH11" s="76">
        <f t="shared" si="45"/>
        <v>22.71</v>
      </c>
      <c r="AI11" s="76">
        <f t="shared" si="15"/>
        <v>75.7</v>
      </c>
      <c r="AJ11" s="76">
        <f>J11*Pricing!Q7</f>
        <v>0</v>
      </c>
      <c r="AK11" s="76">
        <f>J11*Pricing!R7</f>
        <v>0</v>
      </c>
      <c r="AL11" s="76">
        <f t="shared" si="16"/>
        <v>3850.8468335999996</v>
      </c>
      <c r="AM11" s="77">
        <f t="shared" si="17"/>
        <v>0</v>
      </c>
      <c r="AN11" s="76">
        <f t="shared" si="18"/>
        <v>3080.6774668799994</v>
      </c>
      <c r="AO11" s="72">
        <f t="shared" si="19"/>
        <v>9853.84745828007</v>
      </c>
      <c r="AP11" s="74">
        <f t="shared" si="20"/>
        <v>12317.309322850087</v>
      </c>
      <c r="AQ11" s="74">
        <f t="shared" si="46"/>
        <v>0</v>
      </c>
      <c r="AR11" s="74">
        <f t="shared" si="22"/>
        <v>6197.3467630490131</v>
      </c>
      <c r="AS11" s="72">
        <f t="shared" si="23"/>
        <v>39137.635901610156</v>
      </c>
      <c r="AT11" s="72">
        <f t="shared" si="24"/>
        <v>10939.866763049013</v>
      </c>
      <c r="AU11" s="78">
        <f t="shared" si="47"/>
        <v>1016.3384209447244</v>
      </c>
      <c r="AV11" s="79">
        <f t="shared" si="26"/>
        <v>6.9330258882391707E-2</v>
      </c>
      <c r="AW11" s="80">
        <f t="shared" si="27"/>
        <v>230.14225280718992</v>
      </c>
      <c r="AX11" s="81">
        <f t="shared" si="28"/>
        <v>786.19616813753441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W05</v>
      </c>
      <c r="E12" s="132" t="str">
        <f>Pricing!N8</f>
        <v>24MM</v>
      </c>
      <c r="F12" s="68">
        <f>Pricing!G8</f>
        <v>1829</v>
      </c>
      <c r="G12" s="68">
        <f>Pricing!H8</f>
        <v>1346</v>
      </c>
      <c r="H12" s="100">
        <f t="shared" si="0"/>
        <v>2.4618340000000001</v>
      </c>
      <c r="I12" s="70">
        <f>Pricing!I8</f>
        <v>6</v>
      </c>
      <c r="J12" s="69">
        <f t="shared" si="30"/>
        <v>14.771004000000001</v>
      </c>
      <c r="K12" s="71">
        <f t="shared" si="31"/>
        <v>158.99508705600002</v>
      </c>
      <c r="L12" s="69"/>
      <c r="M12" s="72"/>
      <c r="N12" s="72"/>
      <c r="O12" s="72">
        <f t="shared" si="3"/>
        <v>0</v>
      </c>
      <c r="P12" s="73">
        <f>Pricing!M8</f>
        <v>155475.59999999998</v>
      </c>
      <c r="Q12" s="74">
        <f t="shared" si="32"/>
        <v>15547.559999999998</v>
      </c>
      <c r="R12" s="74">
        <f t="shared" si="33"/>
        <v>18812.547599999998</v>
      </c>
      <c r="S12" s="74">
        <f t="shared" si="34"/>
        <v>949.17853799999989</v>
      </c>
      <c r="T12" s="74">
        <f t="shared" si="35"/>
        <v>1907.8488613799998</v>
      </c>
      <c r="U12" s="72">
        <f t="shared" si="36"/>
        <v>192692.73499937996</v>
      </c>
      <c r="V12" s="74">
        <f t="shared" si="37"/>
        <v>2890.3910249906994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41432.666220000006</v>
      </c>
      <c r="AE12" s="76">
        <f t="shared" si="43"/>
        <v>3122.9508196721313</v>
      </c>
      <c r="AF12" s="346">
        <f t="shared" si="44"/>
        <v>1371.5999999999997</v>
      </c>
      <c r="AG12" s="347"/>
      <c r="AH12" s="76">
        <f t="shared" si="45"/>
        <v>114.30000000000001</v>
      </c>
      <c r="AI12" s="76">
        <f t="shared" si="15"/>
        <v>381</v>
      </c>
      <c r="AJ12" s="76">
        <f>J12*Pricing!Q8</f>
        <v>7949.7543527999997</v>
      </c>
      <c r="AK12" s="76">
        <f>J12*Pricing!R8</f>
        <v>0</v>
      </c>
      <c r="AL12" s="76">
        <f t="shared" si="16"/>
        <v>15899.508705599999</v>
      </c>
      <c r="AM12" s="77">
        <f t="shared" si="17"/>
        <v>0</v>
      </c>
      <c r="AN12" s="76">
        <f t="shared" si="18"/>
        <v>12719.606964479999</v>
      </c>
      <c r="AO12" s="72">
        <f t="shared" si="19"/>
        <v>200572.97684404277</v>
      </c>
      <c r="AP12" s="74">
        <f t="shared" si="20"/>
        <v>250716.22105505347</v>
      </c>
      <c r="AQ12" s="74">
        <f t="shared" si="46"/>
        <v>0</v>
      </c>
      <c r="AR12" s="74">
        <f t="shared" si="22"/>
        <v>30552.371247011793</v>
      </c>
      <c r="AS12" s="72">
        <f t="shared" si="23"/>
        <v>529290.73414197622</v>
      </c>
      <c r="AT12" s="72">
        <f t="shared" si="24"/>
        <v>35833.091247011791</v>
      </c>
      <c r="AU12" s="78">
        <f t="shared" si="47"/>
        <v>3328.9754038472493</v>
      </c>
      <c r="AV12" s="79">
        <f t="shared" si="26"/>
        <v>0.28625315477208357</v>
      </c>
      <c r="AW12" s="80">
        <f t="shared" si="27"/>
        <v>1230.120563130884</v>
      </c>
      <c r="AX12" s="81">
        <f t="shared" si="28"/>
        <v>2098.8548407163657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WINDOW</v>
      </c>
      <c r="D13" s="131" t="str">
        <f>Pricing!B9</f>
        <v>KW1</v>
      </c>
      <c r="E13" s="132" t="str">
        <f>Pricing!N9</f>
        <v>24MM</v>
      </c>
      <c r="F13" s="68">
        <f>Pricing!G9</f>
        <v>1219</v>
      </c>
      <c r="G13" s="68">
        <f>Pricing!H9</f>
        <v>1041</v>
      </c>
      <c r="H13" s="100">
        <f t="shared" si="0"/>
        <v>1.2689790000000001</v>
      </c>
      <c r="I13" s="70">
        <f>Pricing!I9</f>
        <v>1</v>
      </c>
      <c r="J13" s="69">
        <f t="shared" si="30"/>
        <v>1.2689790000000001</v>
      </c>
      <c r="K13" s="71">
        <f t="shared" si="31"/>
        <v>13.659289956</v>
      </c>
      <c r="L13" s="69"/>
      <c r="M13" s="72"/>
      <c r="N13" s="72"/>
      <c r="O13" s="72">
        <f t="shared" si="3"/>
        <v>0</v>
      </c>
      <c r="P13" s="73">
        <f>Pricing!M9</f>
        <v>20732.57</v>
      </c>
      <c r="Q13" s="74">
        <f t="shared" si="32"/>
        <v>2073.2570000000001</v>
      </c>
      <c r="R13" s="74">
        <f t="shared" si="33"/>
        <v>2508.6409699999999</v>
      </c>
      <c r="S13" s="74">
        <f t="shared" si="34"/>
        <v>126.57233985000001</v>
      </c>
      <c r="T13" s="74">
        <f t="shared" si="35"/>
        <v>254.41040309850004</v>
      </c>
      <c r="U13" s="72">
        <f t="shared" si="36"/>
        <v>25695.450712948503</v>
      </c>
      <c r="V13" s="74">
        <f t="shared" si="37"/>
        <v>385.43176069422753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3559.4860950000002</v>
      </c>
      <c r="AE13" s="76">
        <f t="shared" si="43"/>
        <v>370.49180327868851</v>
      </c>
      <c r="AF13" s="346">
        <f t="shared" si="44"/>
        <v>162.71999999999997</v>
      </c>
      <c r="AG13" s="347"/>
      <c r="AH13" s="76">
        <f t="shared" si="45"/>
        <v>13.559999999999999</v>
      </c>
      <c r="AI13" s="76">
        <f t="shared" si="15"/>
        <v>45.199999999999996</v>
      </c>
      <c r="AJ13" s="76">
        <f>J13*Pricing!Q9</f>
        <v>682.9644978</v>
      </c>
      <c r="AK13" s="76">
        <f>J13*Pricing!R9</f>
        <v>0</v>
      </c>
      <c r="AL13" s="76">
        <f t="shared" si="16"/>
        <v>1365.9289956</v>
      </c>
      <c r="AM13" s="77">
        <f t="shared" si="17"/>
        <v>0</v>
      </c>
      <c r="AN13" s="76">
        <f t="shared" si="18"/>
        <v>1092.7431964799998</v>
      </c>
      <c r="AO13" s="72">
        <f t="shared" si="19"/>
        <v>26672.854276921418</v>
      </c>
      <c r="AP13" s="74">
        <f t="shared" si="20"/>
        <v>33341.067846151775</v>
      </c>
      <c r="AQ13" s="74">
        <f t="shared" si="46"/>
        <v>0</v>
      </c>
      <c r="AR13" s="74">
        <f t="shared" si="22"/>
        <v>47293.077444995695</v>
      </c>
      <c r="AS13" s="72">
        <f t="shared" si="23"/>
        <v>66715.044907953197</v>
      </c>
      <c r="AT13" s="72">
        <f t="shared" si="24"/>
        <v>52573.797444995696</v>
      </c>
      <c r="AU13" s="78">
        <f t="shared" si="47"/>
        <v>4884.2249577290695</v>
      </c>
      <c r="AV13" s="79">
        <f t="shared" si="26"/>
        <v>2.4592048183693118E-2</v>
      </c>
      <c r="AW13" s="80">
        <f t="shared" si="27"/>
        <v>1909.3878640585122</v>
      </c>
      <c r="AX13" s="81">
        <f t="shared" si="28"/>
        <v>2974.8370936705564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</v>
      </c>
      <c r="D14" s="131" t="str">
        <f>Pricing!B10</f>
        <v>V1</v>
      </c>
      <c r="E14" s="132" t="str">
        <f>Pricing!N10</f>
        <v>6MM (F)</v>
      </c>
      <c r="F14" s="68">
        <f>Pricing!G10</f>
        <v>610</v>
      </c>
      <c r="G14" s="68">
        <f>Pricing!H10</f>
        <v>610</v>
      </c>
      <c r="H14" s="100">
        <f t="shared" si="0"/>
        <v>0.37209999999999999</v>
      </c>
      <c r="I14" s="70">
        <f>Pricing!I10</f>
        <v>3</v>
      </c>
      <c r="J14" s="69">
        <f t="shared" si="30"/>
        <v>1.1162999999999998</v>
      </c>
      <c r="K14" s="71">
        <f t="shared" si="31"/>
        <v>12.015853199999997</v>
      </c>
      <c r="L14" s="69"/>
      <c r="M14" s="72"/>
      <c r="N14" s="72"/>
      <c r="O14" s="72">
        <f t="shared" si="3"/>
        <v>0</v>
      </c>
      <c r="P14" s="73">
        <f>Pricing!M10</f>
        <v>9793.17</v>
      </c>
      <c r="Q14" s="74">
        <f t="shared" si="32"/>
        <v>979.31700000000001</v>
      </c>
      <c r="R14" s="74">
        <f t="shared" si="33"/>
        <v>1184.9735700000001</v>
      </c>
      <c r="S14" s="74">
        <f t="shared" si="34"/>
        <v>59.787302850000003</v>
      </c>
      <c r="T14" s="74">
        <f t="shared" si="35"/>
        <v>120.17247872850001</v>
      </c>
      <c r="U14" s="72">
        <f t="shared" si="36"/>
        <v>12137.420351578501</v>
      </c>
      <c r="V14" s="74">
        <f t="shared" si="37"/>
        <v>182.0613052736775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2235.9488999999999</v>
      </c>
      <c r="AE14" s="76">
        <f t="shared" si="43"/>
        <v>600</v>
      </c>
      <c r="AF14" s="346">
        <f t="shared" si="44"/>
        <v>263.52000000000004</v>
      </c>
      <c r="AG14" s="347"/>
      <c r="AH14" s="76">
        <f t="shared" si="45"/>
        <v>21.96</v>
      </c>
      <c r="AI14" s="76">
        <f t="shared" si="15"/>
        <v>73.2</v>
      </c>
      <c r="AJ14" s="76">
        <f>J14*Pricing!Q10</f>
        <v>0</v>
      </c>
      <c r="AK14" s="76">
        <f>J14*Pricing!R10</f>
        <v>0</v>
      </c>
      <c r="AL14" s="76">
        <f t="shared" si="16"/>
        <v>1201.5853199999997</v>
      </c>
      <c r="AM14" s="77">
        <f t="shared" si="17"/>
        <v>0</v>
      </c>
      <c r="AN14" s="76">
        <f t="shared" si="18"/>
        <v>961.26825599999972</v>
      </c>
      <c r="AO14" s="72">
        <f t="shared" si="19"/>
        <v>13278.161656852179</v>
      </c>
      <c r="AP14" s="74">
        <f t="shared" si="20"/>
        <v>16597.702071065221</v>
      </c>
      <c r="AQ14" s="74">
        <f t="shared" si="46"/>
        <v>0</v>
      </c>
      <c r="AR14" s="74">
        <f t="shared" si="22"/>
        <v>26763.29277785309</v>
      </c>
      <c r="AS14" s="72">
        <f t="shared" si="23"/>
        <v>34274.666203917404</v>
      </c>
      <c r="AT14" s="72">
        <f t="shared" si="24"/>
        <v>30703.812777853094</v>
      </c>
      <c r="AU14" s="78">
        <f t="shared" si="47"/>
        <v>2852.4538069354417</v>
      </c>
      <c r="AV14" s="79">
        <f t="shared" si="26"/>
        <v>2.1633221186053216E-2</v>
      </c>
      <c r="AW14" s="80">
        <f t="shared" si="27"/>
        <v>1025.2689885435834</v>
      </c>
      <c r="AX14" s="81">
        <f t="shared" si="28"/>
        <v>1827.1848183918578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</v>
      </c>
      <c r="D15" s="131" t="str">
        <f>Pricing!B11</f>
        <v>V2</v>
      </c>
      <c r="E15" s="132" t="str">
        <f>Pricing!N11</f>
        <v>6MM (F)</v>
      </c>
      <c r="F15" s="68">
        <f>Pricing!G11</f>
        <v>610</v>
      </c>
      <c r="G15" s="68">
        <f>Pricing!H11</f>
        <v>914</v>
      </c>
      <c r="H15" s="100">
        <f t="shared" si="0"/>
        <v>0.55754000000000004</v>
      </c>
      <c r="I15" s="70">
        <f>Pricing!I11</f>
        <v>1</v>
      </c>
      <c r="J15" s="69">
        <f t="shared" si="30"/>
        <v>0.55754000000000004</v>
      </c>
      <c r="K15" s="71">
        <f t="shared" si="31"/>
        <v>6.0013605600000002</v>
      </c>
      <c r="L15" s="69"/>
      <c r="M15" s="72"/>
      <c r="N15" s="72"/>
      <c r="O15" s="72">
        <f t="shared" si="3"/>
        <v>0</v>
      </c>
      <c r="P15" s="73">
        <f>Pricing!M11</f>
        <v>4000.6000000000004</v>
      </c>
      <c r="Q15" s="74">
        <f t="shared" si="4"/>
        <v>400.06000000000006</v>
      </c>
      <c r="R15" s="74">
        <f t="shared" si="5"/>
        <v>484.07260000000008</v>
      </c>
      <c r="S15" s="74">
        <f t="shared" si="6"/>
        <v>24.423663000000005</v>
      </c>
      <c r="T15" s="74">
        <f t="shared" si="7"/>
        <v>49.091562630000006</v>
      </c>
      <c r="U15" s="72">
        <f t="shared" si="8"/>
        <v>4958.247825630001</v>
      </c>
      <c r="V15" s="74">
        <f t="shared" si="9"/>
        <v>74.373717384450018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1116.75262</v>
      </c>
      <c r="AE15" s="76">
        <f t="shared" si="43"/>
        <v>249.8360655737705</v>
      </c>
      <c r="AF15" s="346">
        <f t="shared" si="44"/>
        <v>109.72800000000001</v>
      </c>
      <c r="AG15" s="347"/>
      <c r="AH15" s="76">
        <f t="shared" si="45"/>
        <v>9.1440000000000001</v>
      </c>
      <c r="AI15" s="76">
        <f t="shared" ref="AI15:AI20" si="49">(((F15+G15)*2*I15)/1000)*2*$AI$7</f>
        <v>30.48</v>
      </c>
      <c r="AJ15" s="76">
        <f>J15*Pricing!Q11</f>
        <v>0</v>
      </c>
      <c r="AK15" s="76">
        <f>J15*Pricing!R11</f>
        <v>0</v>
      </c>
      <c r="AL15" s="76">
        <f t="shared" si="16"/>
        <v>600.13605599999994</v>
      </c>
      <c r="AM15" s="77">
        <f t="shared" si="17"/>
        <v>0</v>
      </c>
      <c r="AN15" s="76">
        <f t="shared" si="18"/>
        <v>480.10884479999999</v>
      </c>
      <c r="AO15" s="72">
        <f t="shared" si="19"/>
        <v>5431.8096085882216</v>
      </c>
      <c r="AP15" s="74">
        <f t="shared" si="20"/>
        <v>6789.7620107352768</v>
      </c>
      <c r="AQ15" s="74">
        <f t="shared" si="21"/>
        <v>0</v>
      </c>
      <c r="AR15" s="74">
        <f t="shared" si="22"/>
        <v>21920.52878595885</v>
      </c>
      <c r="AS15" s="72">
        <f t="shared" si="23"/>
        <v>14418.569140123498</v>
      </c>
      <c r="AT15" s="72">
        <f t="shared" si="24"/>
        <v>25861.04878595885</v>
      </c>
      <c r="AU15" s="78">
        <f t="shared" si="25"/>
        <v>2402.5500544369056</v>
      </c>
      <c r="AV15" s="79">
        <f t="shared" si="26"/>
        <v>1.0804789160684504E-2</v>
      </c>
      <c r="AW15" s="80">
        <f t="shared" si="27"/>
        <v>838.58010074543017</v>
      </c>
      <c r="AX15" s="81">
        <f t="shared" si="28"/>
        <v>1563.9699536914754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DOOR</v>
      </c>
      <c r="D16" s="131" t="str">
        <f>Pricing!B12</f>
        <v>SD1</v>
      </c>
      <c r="E16" s="132" t="str">
        <f>Pricing!N12</f>
        <v>24MM</v>
      </c>
      <c r="F16" s="68">
        <f>Pricing!G12</f>
        <v>3353</v>
      </c>
      <c r="G16" s="68">
        <f>Pricing!H12</f>
        <v>3048</v>
      </c>
      <c r="H16" s="100">
        <f t="shared" si="0"/>
        <v>10.219944</v>
      </c>
      <c r="I16" s="70">
        <f>Pricing!I12</f>
        <v>1</v>
      </c>
      <c r="J16" s="69">
        <f t="shared" si="30"/>
        <v>10.219944</v>
      </c>
      <c r="K16" s="71">
        <f t="shared" si="31"/>
        <v>110.007477216</v>
      </c>
      <c r="L16" s="69"/>
      <c r="M16" s="72"/>
      <c r="N16" s="72"/>
      <c r="O16" s="72">
        <f t="shared" si="3"/>
        <v>0</v>
      </c>
      <c r="P16" s="73">
        <f>Pricing!M12</f>
        <v>48541.72</v>
      </c>
      <c r="Q16" s="74">
        <f t="shared" si="4"/>
        <v>4854.1720000000005</v>
      </c>
      <c r="R16" s="74">
        <f t="shared" si="5"/>
        <v>5873.5481200000004</v>
      </c>
      <c r="S16" s="74">
        <f t="shared" si="6"/>
        <v>296.34720060000001</v>
      </c>
      <c r="T16" s="74">
        <f t="shared" si="7"/>
        <v>595.65787320599998</v>
      </c>
      <c r="U16" s="72">
        <f t="shared" si="8"/>
        <v>60161.445193806001</v>
      </c>
      <c r="V16" s="74">
        <f t="shared" si="9"/>
        <v>902.42167790708993</v>
      </c>
      <c r="W16" s="73">
        <f>Pricing!S12*I16</f>
        <v>1788.6224999999999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1788.6224999999999</v>
      </c>
      <c r="AC16" s="75">
        <v>0</v>
      </c>
      <c r="AD16" s="101">
        <f>(J16*Pricing!O12)+(O16*Pricing!P12)</f>
        <v>28666.942920000001</v>
      </c>
      <c r="AE16" s="76">
        <f t="shared" si="43"/>
        <v>1049.344262295082</v>
      </c>
      <c r="AF16" s="346">
        <f t="shared" si="44"/>
        <v>460.87199999999996</v>
      </c>
      <c r="AG16" s="347"/>
      <c r="AH16" s="76">
        <f t="shared" si="45"/>
        <v>38.405999999999999</v>
      </c>
      <c r="AI16" s="76">
        <f t="shared" si="49"/>
        <v>128.01999999999998</v>
      </c>
      <c r="AJ16" s="76">
        <f>J16*Pricing!Q12</f>
        <v>5500.3738607999994</v>
      </c>
      <c r="AK16" s="76">
        <f>J16*Pricing!R12</f>
        <v>0</v>
      </c>
      <c r="AL16" s="76">
        <f t="shared" si="16"/>
        <v>11000.747721599999</v>
      </c>
      <c r="AM16" s="77">
        <f t="shared" si="17"/>
        <v>0</v>
      </c>
      <c r="AN16" s="76">
        <f t="shared" si="18"/>
        <v>8800.5981772799987</v>
      </c>
      <c r="AO16" s="72">
        <f t="shared" si="19"/>
        <v>62740.509134008171</v>
      </c>
      <c r="AP16" s="74">
        <f t="shared" si="20"/>
        <v>78425.636417510221</v>
      </c>
      <c r="AQ16" s="74">
        <f t="shared" si="21"/>
        <v>0</v>
      </c>
      <c r="AR16" s="74">
        <f t="shared" si="22"/>
        <v>13812.810085017922</v>
      </c>
      <c r="AS16" s="72">
        <f t="shared" si="23"/>
        <v>196923.4307311984</v>
      </c>
      <c r="AT16" s="72">
        <f t="shared" si="24"/>
        <v>19268.543030294335</v>
      </c>
      <c r="AU16" s="78">
        <f t="shared" si="25"/>
        <v>1790.0913257426919</v>
      </c>
      <c r="AV16" s="79">
        <f t="shared" si="26"/>
        <v>0.1980563549772261</v>
      </c>
      <c r="AW16" s="80">
        <f t="shared" si="27"/>
        <v>555.08833051242516</v>
      </c>
      <c r="AX16" s="81">
        <f t="shared" si="28"/>
        <v>1251.2620945684691</v>
      </c>
      <c r="AY16" s="82"/>
      <c r="AZ16" s="83">
        <f t="shared" si="29"/>
        <v>-16.259099338202304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DOOR</v>
      </c>
      <c r="D17" s="131" t="str">
        <f>Pricing!B13</f>
        <v>SD2</v>
      </c>
      <c r="E17" s="132" t="str">
        <f>Pricing!N13</f>
        <v>24MM</v>
      </c>
      <c r="F17" s="68">
        <f>Pricing!G13</f>
        <v>3353</v>
      </c>
      <c r="G17" s="68">
        <f>Pricing!H13</f>
        <v>2565</v>
      </c>
      <c r="H17" s="100">
        <f t="shared" si="0"/>
        <v>8.6004450000000006</v>
      </c>
      <c r="I17" s="70">
        <f>Pricing!I13</f>
        <v>1</v>
      </c>
      <c r="J17" s="69">
        <f t="shared" si="30"/>
        <v>8.6004450000000006</v>
      </c>
      <c r="K17" s="71">
        <f t="shared" si="31"/>
        <v>92.575189980000005</v>
      </c>
      <c r="L17" s="69"/>
      <c r="M17" s="72"/>
      <c r="N17" s="72"/>
      <c r="O17" s="72">
        <f t="shared" si="3"/>
        <v>0</v>
      </c>
      <c r="P17" s="73">
        <f>Pricing!M13</f>
        <v>45176.899999999994</v>
      </c>
      <c r="Q17" s="74">
        <f t="shared" si="4"/>
        <v>4517.6899999999996</v>
      </c>
      <c r="R17" s="74">
        <f t="shared" si="5"/>
        <v>5466.4048999999995</v>
      </c>
      <c r="S17" s="74">
        <f t="shared" si="6"/>
        <v>275.80497450000001</v>
      </c>
      <c r="T17" s="74">
        <f t="shared" si="7"/>
        <v>554.36799874500002</v>
      </c>
      <c r="U17" s="72">
        <f t="shared" si="8"/>
        <v>55991.167873245002</v>
      </c>
      <c r="V17" s="74">
        <f t="shared" si="9"/>
        <v>839.86751809867496</v>
      </c>
      <c r="W17" s="73">
        <f>Pricing!S13*I17</f>
        <v>1500.1349999999998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1500.1349999999998</v>
      </c>
      <c r="AC17" s="75">
        <v>0</v>
      </c>
      <c r="AD17" s="101">
        <f>(J17*Pricing!O13)+(O17*Pricing!P13)</f>
        <v>24124.248225000003</v>
      </c>
      <c r="AE17" s="76">
        <f t="shared" si="43"/>
        <v>970.1639344262295</v>
      </c>
      <c r="AF17" s="346">
        <f t="shared" si="44"/>
        <v>426.096</v>
      </c>
      <c r="AG17" s="347"/>
      <c r="AH17" s="76">
        <f t="shared" si="45"/>
        <v>35.508000000000003</v>
      </c>
      <c r="AI17" s="76">
        <f t="shared" si="49"/>
        <v>118.36</v>
      </c>
      <c r="AJ17" s="76">
        <f>J17*Pricing!Q13</f>
        <v>4628.7594989999998</v>
      </c>
      <c r="AK17" s="76">
        <f>J17*Pricing!R13</f>
        <v>0</v>
      </c>
      <c r="AL17" s="76">
        <f t="shared" si="16"/>
        <v>9257.5189979999996</v>
      </c>
      <c r="AM17" s="77">
        <f t="shared" si="17"/>
        <v>0</v>
      </c>
      <c r="AN17" s="76">
        <f t="shared" si="18"/>
        <v>7406.0151983999995</v>
      </c>
      <c r="AO17" s="72">
        <f t="shared" si="19"/>
        <v>58381.163325769914</v>
      </c>
      <c r="AP17" s="74">
        <f t="shared" si="20"/>
        <v>72976.4541572124</v>
      </c>
      <c r="AQ17" s="74">
        <f t="shared" si="21"/>
        <v>0</v>
      </c>
      <c r="AR17" s="74">
        <f t="shared" si="22"/>
        <v>15273.351260659454</v>
      </c>
      <c r="AS17" s="72">
        <f t="shared" si="23"/>
        <v>178274.29440338234</v>
      </c>
      <c r="AT17" s="72">
        <f t="shared" si="24"/>
        <v>20728.496537491064</v>
      </c>
      <c r="AU17" s="78">
        <f t="shared" si="25"/>
        <v>1925.7243160062305</v>
      </c>
      <c r="AV17" s="79">
        <f t="shared" si="26"/>
        <v>0.16667144045819715</v>
      </c>
      <c r="AW17" s="80">
        <f t="shared" si="27"/>
        <v>613.89056186243295</v>
      </c>
      <c r="AX17" s="81">
        <f t="shared" si="28"/>
        <v>1328.0382577513412</v>
      </c>
      <c r="AY17" s="82"/>
      <c r="AZ17" s="83">
        <f t="shared" si="29"/>
        <v>-16.204503607543529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30.341259999999998</v>
      </c>
      <c r="I109" s="87">
        <f>SUM(I8:I108)</f>
        <v>24</v>
      </c>
      <c r="J109" s="88">
        <f>SUM(J8:J108)</f>
        <v>51.601192000000005</v>
      </c>
      <c r="K109" s="89">
        <f>SUM(K8:K108)</f>
        <v>555.43523068800005</v>
      </c>
      <c r="L109" s="88">
        <f>SUM(L8:L8)</f>
        <v>0</v>
      </c>
      <c r="M109" s="88"/>
      <c r="N109" s="88"/>
      <c r="O109" s="88"/>
      <c r="P109" s="87">
        <f>SUM(P8:P108)</f>
        <v>444591.15999999992</v>
      </c>
      <c r="Q109" s="88">
        <f t="shared" ref="Q109:AE109" si="156">SUM(Q8:Q108)</f>
        <v>44459.116000000002</v>
      </c>
      <c r="R109" s="88">
        <f t="shared" si="156"/>
        <v>53795.530360000004</v>
      </c>
      <c r="S109" s="88">
        <f t="shared" si="156"/>
        <v>2714.2290317999996</v>
      </c>
      <c r="T109" s="88">
        <f t="shared" si="156"/>
        <v>5455.6003539180001</v>
      </c>
      <c r="U109" s="88">
        <f t="shared" si="156"/>
        <v>551015.63574571803</v>
      </c>
      <c r="V109" s="88">
        <f t="shared" si="156"/>
        <v>8265.2345361857697</v>
      </c>
      <c r="W109" s="87">
        <f t="shared" si="156"/>
        <v>3288.7574999999997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3288.7574999999997</v>
      </c>
      <c r="AC109" s="88">
        <f t="shared" si="156"/>
        <v>0</v>
      </c>
      <c r="AD109" s="88">
        <f t="shared" si="156"/>
        <v>143398.92388000002</v>
      </c>
      <c r="AE109" s="88">
        <f t="shared" si="156"/>
        <v>10589.180327868853</v>
      </c>
      <c r="AF109" s="407">
        <f>SUM(AF8:AG108)</f>
        <v>4650.768</v>
      </c>
      <c r="AG109" s="408"/>
      <c r="AH109" s="88">
        <f t="shared" ref="AH109:AQ109" si="157">SUM(AH8:AH108)</f>
        <v>387.56399999999996</v>
      </c>
      <c r="AI109" s="88">
        <f t="shared" si="157"/>
        <v>1291.8799999999999</v>
      </c>
      <c r="AJ109" s="88">
        <f t="shared" ref="AJ109" si="158">SUM(AJ8:AJ108)</f>
        <v>22294.110477599999</v>
      </c>
      <c r="AK109" s="88">
        <f t="shared" si="157"/>
        <v>16791.990696000001</v>
      </c>
      <c r="AL109" s="88">
        <f t="shared" si="157"/>
        <v>55543.523068799994</v>
      </c>
      <c r="AM109" s="88">
        <f t="shared" si="157"/>
        <v>0</v>
      </c>
      <c r="AN109" s="88">
        <f t="shared" si="157"/>
        <v>44434.818455039989</v>
      </c>
      <c r="AO109" s="88">
        <f t="shared" si="157"/>
        <v>576200.26260977262</v>
      </c>
      <c r="AP109" s="88">
        <f t="shared" si="157"/>
        <v>720250.3282622156</v>
      </c>
      <c r="AQ109" s="88">
        <f t="shared" si="157"/>
        <v>0</v>
      </c>
      <c r="AR109" s="88"/>
      <c r="AS109" s="87">
        <f>SUM(AS8:AS108)</f>
        <v>1582202.7149494283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4650.768</v>
      </c>
      <c r="AW110" s="84"/>
    </row>
    <row r="111" spans="2:54">
      <c r="AF111" s="174"/>
      <c r="AG111" s="174"/>
      <c r="AH111" s="174">
        <f>SUM(AE109:AI109,AC109)</f>
        <v>16919.392327868853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zoomScale="55" zoomScaleNormal="60" zoomScaleSheetLayoutView="55" workbookViewId="0">
      <selection activeCell="O2" sqref="O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3.14062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2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2:15" ht="23.25" customHeight="1">
      <c r="B2" s="505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2:15" ht="23.25" customHeight="1">
      <c r="B3" s="505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7"/>
    </row>
    <row r="4" spans="2:15" ht="30" customHeight="1">
      <c r="B4" s="505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7"/>
    </row>
    <row r="5" spans="2:15" ht="30" customHeight="1" thickBot="1"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2:15" ht="24.95" customHeight="1" thickTop="1">
      <c r="B6" s="444"/>
      <c r="C6" s="445"/>
      <c r="D6" s="445"/>
      <c r="E6" s="445"/>
      <c r="F6" s="445"/>
      <c r="G6" s="445"/>
      <c r="H6" s="445"/>
      <c r="I6" s="445"/>
      <c r="J6" s="446"/>
      <c r="K6" s="451" t="s">
        <v>103</v>
      </c>
      <c r="L6" s="452"/>
      <c r="M6" s="447" t="str">
        <f>'BD Team'!J2</f>
        <v>ABPL-DE-19.20-2107</v>
      </c>
      <c r="N6" s="448"/>
    </row>
    <row r="7" spans="2:15" ht="24.95" customHeight="1">
      <c r="B7" s="428" t="s">
        <v>126</v>
      </c>
      <c r="C7" s="429"/>
      <c r="D7" s="429"/>
      <c r="E7" s="429"/>
      <c r="F7" s="460" t="str">
        <f>'BD Team'!E2</f>
        <v>Mr. Arvind</v>
      </c>
      <c r="G7" s="460"/>
      <c r="H7" s="460"/>
      <c r="I7" s="460"/>
      <c r="J7" s="461"/>
      <c r="K7" s="437" t="s">
        <v>104</v>
      </c>
      <c r="L7" s="429"/>
      <c r="M7" s="434">
        <f>'BD Team'!J3</f>
        <v>43651</v>
      </c>
      <c r="N7" s="435"/>
    </row>
    <row r="8" spans="2:15" ht="24.95" customHeight="1">
      <c r="B8" s="428" t="s">
        <v>127</v>
      </c>
      <c r="C8" s="429"/>
      <c r="D8" s="429"/>
      <c r="E8" s="429"/>
      <c r="F8" s="215" t="str">
        <f>'BD Team'!E3</f>
        <v>Hosur, Bangalore</v>
      </c>
      <c r="G8" s="462" t="s">
        <v>180</v>
      </c>
      <c r="H8" s="463"/>
      <c r="I8" s="460" t="str">
        <f>'BD Team'!G3</f>
        <v>1.5Kpa</v>
      </c>
      <c r="J8" s="461"/>
      <c r="K8" s="437" t="s">
        <v>105</v>
      </c>
      <c r="L8" s="429"/>
      <c r="M8" s="178" t="s">
        <v>364</v>
      </c>
      <c r="N8" s="179">
        <v>43651</v>
      </c>
    </row>
    <row r="9" spans="2:15" ht="24.95" customHeight="1">
      <c r="B9" s="428" t="s">
        <v>169</v>
      </c>
      <c r="C9" s="429"/>
      <c r="D9" s="429"/>
      <c r="E9" s="429"/>
      <c r="F9" s="460" t="str">
        <f>'BD Team'!E4</f>
        <v>Mr. Prasanth : 9591855724</v>
      </c>
      <c r="G9" s="460"/>
      <c r="H9" s="460"/>
      <c r="I9" s="460"/>
      <c r="J9" s="461"/>
      <c r="K9" s="437" t="s">
        <v>179</v>
      </c>
      <c r="L9" s="429"/>
      <c r="M9" s="449" t="str">
        <f>'BD Team'!J4</f>
        <v>Bal Kumari</v>
      </c>
      <c r="N9" s="450"/>
    </row>
    <row r="10" spans="2:15" ht="27.75" customHeight="1" thickBot="1">
      <c r="B10" s="430" t="s">
        <v>177</v>
      </c>
      <c r="C10" s="431"/>
      <c r="D10" s="431"/>
      <c r="E10" s="431"/>
      <c r="F10" s="217" t="str">
        <f>'BD Team'!E5</f>
        <v>Anodized</v>
      </c>
      <c r="G10" s="442" t="s">
        <v>178</v>
      </c>
      <c r="H10" s="443"/>
      <c r="I10" s="440" t="str">
        <f>'BD Team'!G5</f>
        <v>Silver</v>
      </c>
      <c r="J10" s="441"/>
      <c r="K10" s="438" t="s">
        <v>374</v>
      </c>
      <c r="L10" s="439"/>
      <c r="M10" s="432">
        <f>'BD Team'!J5</f>
        <v>0</v>
      </c>
      <c r="N10" s="433"/>
    </row>
    <row r="11" spans="2:15" ht="19.5" thickTop="1">
      <c r="B11" s="508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10"/>
    </row>
    <row r="12" spans="2:15" s="93" customFormat="1" ht="19.5" thickBot="1">
      <c r="B12" s="508"/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10"/>
    </row>
    <row r="13" spans="2:15" s="93" customFormat="1" ht="18" customHeight="1" thickTop="1" thickBot="1">
      <c r="B13" s="464" t="s">
        <v>170</v>
      </c>
      <c r="C13" s="465"/>
      <c r="D13" s="436" t="s">
        <v>171</v>
      </c>
      <c r="E13" s="436" t="s">
        <v>172</v>
      </c>
      <c r="F13" s="436" t="s">
        <v>37</v>
      </c>
      <c r="G13" s="418" t="s">
        <v>63</v>
      </c>
      <c r="H13" s="418" t="s">
        <v>210</v>
      </c>
      <c r="I13" s="418" t="s">
        <v>209</v>
      </c>
      <c r="J13" s="466" t="s">
        <v>173</v>
      </c>
      <c r="K13" s="466" t="s">
        <v>174</v>
      </c>
      <c r="L13" s="465" t="s">
        <v>211</v>
      </c>
      <c r="M13" s="466" t="s">
        <v>175</v>
      </c>
      <c r="N13" s="467" t="s">
        <v>176</v>
      </c>
    </row>
    <row r="14" spans="2:15" s="94" customFormat="1" ht="18" customHeight="1" thickTop="1" thickBot="1">
      <c r="B14" s="464"/>
      <c r="C14" s="465"/>
      <c r="D14" s="436"/>
      <c r="E14" s="436"/>
      <c r="F14" s="436"/>
      <c r="G14" s="418"/>
      <c r="H14" s="418"/>
      <c r="I14" s="418"/>
      <c r="J14" s="466"/>
      <c r="K14" s="466"/>
      <c r="L14" s="465"/>
      <c r="M14" s="466"/>
      <c r="N14" s="467"/>
    </row>
    <row r="15" spans="2:15" s="94" customFormat="1" ht="26.25" customHeight="1" thickTop="1" thickBot="1">
      <c r="B15" s="464"/>
      <c r="C15" s="465"/>
      <c r="D15" s="436"/>
      <c r="E15" s="436"/>
      <c r="F15" s="436"/>
      <c r="G15" s="418"/>
      <c r="H15" s="418"/>
      <c r="I15" s="418"/>
      <c r="J15" s="466"/>
      <c r="K15" s="466"/>
      <c r="L15" s="465"/>
      <c r="M15" s="466"/>
      <c r="N15" s="467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W01</v>
      </c>
      <c r="E16" s="187" t="str">
        <f>Pricing!C4</f>
        <v>M15000</v>
      </c>
      <c r="F16" s="187" t="str">
        <f>Pricing!D4</f>
        <v>SIDE HUNG WINDOW</v>
      </c>
      <c r="G16" s="187" t="str">
        <f>Pricing!N4</f>
        <v>24MM</v>
      </c>
      <c r="H16" s="187" t="str">
        <f>Pricing!F4</f>
        <v>UTILITY</v>
      </c>
      <c r="I16" s="216" t="str">
        <f>Pricing!E4</f>
        <v>RETRACTABLE</v>
      </c>
      <c r="J16" s="216">
        <f>Pricing!G4</f>
        <v>610</v>
      </c>
      <c r="K16" s="216">
        <f>Pricing!H4</f>
        <v>1346</v>
      </c>
      <c r="L16" s="216">
        <f>Pricing!I4</f>
        <v>2</v>
      </c>
      <c r="M16" s="188">
        <f t="shared" ref="M16:M24" si="0">J16*K16*L16/1000000</f>
        <v>1.64212</v>
      </c>
      <c r="N16" s="189">
        <f>'Cost Calculation'!AS8</f>
        <v>159740.26851953365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W02</v>
      </c>
      <c r="E17" s="187" t="str">
        <f>Pricing!C5</f>
        <v>M15000</v>
      </c>
      <c r="F17" s="187" t="str">
        <f>Pricing!D5</f>
        <v>FIXED GLASS</v>
      </c>
      <c r="G17" s="187" t="str">
        <f>Pricing!N5</f>
        <v>24MM</v>
      </c>
      <c r="H17" s="187" t="str">
        <f>Pricing!F5</f>
        <v>STAIRS</v>
      </c>
      <c r="I17" s="216" t="str">
        <f>Pricing!E5</f>
        <v>NO</v>
      </c>
      <c r="J17" s="216">
        <f>Pricing!G5</f>
        <v>610</v>
      </c>
      <c r="K17" s="216">
        <f>Pricing!H5</f>
        <v>1346</v>
      </c>
      <c r="L17" s="216">
        <f>Pricing!I5</f>
        <v>4</v>
      </c>
      <c r="M17" s="188">
        <f t="shared" si="0"/>
        <v>3.28424</v>
      </c>
      <c r="N17" s="189">
        <f>'Cost Calculation'!AS9</f>
        <v>63939.151577770288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7" t="str">
        <f>Pricing!B6</f>
        <v>W03</v>
      </c>
      <c r="E18" s="187" t="str">
        <f>Pricing!C6</f>
        <v>M14600</v>
      </c>
      <c r="F18" s="187" t="str">
        <f>Pricing!D6</f>
        <v>3 TRACK 2 SHUTTER SLIDING WINDOW</v>
      </c>
      <c r="G18" s="187" t="str">
        <f>Pricing!N6</f>
        <v>24MM</v>
      </c>
      <c r="H18" s="187" t="str">
        <f>Pricing!F6</f>
        <v>BEDROOMS</v>
      </c>
      <c r="I18" s="216" t="str">
        <f>Pricing!E6</f>
        <v>SS</v>
      </c>
      <c r="J18" s="216">
        <f>Pricing!G6</f>
        <v>1219</v>
      </c>
      <c r="K18" s="216">
        <f>Pricing!H6</f>
        <v>1346</v>
      </c>
      <c r="L18" s="216">
        <f>Pricing!I6</f>
        <v>4</v>
      </c>
      <c r="M18" s="188">
        <f t="shared" si="0"/>
        <v>6.5630959999999998</v>
      </c>
      <c r="N18" s="189">
        <f>'Cost Calculation'!AS10</f>
        <v>299488.91942196304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7" t="str">
        <f>Pricing!B7</f>
        <v>W04</v>
      </c>
      <c r="E19" s="187" t="str">
        <f>Pricing!C7</f>
        <v>M15000</v>
      </c>
      <c r="F19" s="187" t="str">
        <f>Pricing!D7</f>
        <v>FIXED GLASS</v>
      </c>
      <c r="G19" s="187" t="str">
        <f>Pricing!N7</f>
        <v>24MM</v>
      </c>
      <c r="H19" s="187" t="str">
        <f>Pricing!F7</f>
        <v>HALL</v>
      </c>
      <c r="I19" s="216" t="str">
        <f>Pricing!E7</f>
        <v>NO</v>
      </c>
      <c r="J19" s="216">
        <f>Pricing!G7</f>
        <v>1829</v>
      </c>
      <c r="K19" s="216">
        <f>Pricing!H7</f>
        <v>1956</v>
      </c>
      <c r="L19" s="216">
        <f>Pricing!I7</f>
        <v>1</v>
      </c>
      <c r="M19" s="188">
        <f t="shared" si="0"/>
        <v>3.5775239999999999</v>
      </c>
      <c r="N19" s="189">
        <f>'Cost Calculation'!AS11</f>
        <v>39137.635901610156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7" t="str">
        <f>Pricing!B8</f>
        <v>W05</v>
      </c>
      <c r="E20" s="187" t="str">
        <f>Pricing!C8</f>
        <v>M14600</v>
      </c>
      <c r="F20" s="187" t="str">
        <f>Pricing!D8</f>
        <v>3 TRACK 2 SHUTTER SLIDING WINDOW</v>
      </c>
      <c r="G20" s="187" t="str">
        <f>Pricing!N8</f>
        <v>24MM</v>
      </c>
      <c r="H20" s="187" t="str">
        <f>Pricing!F8</f>
        <v>BEDROOM HALL</v>
      </c>
      <c r="I20" s="216" t="str">
        <f>Pricing!E8</f>
        <v>SS</v>
      </c>
      <c r="J20" s="216">
        <f>Pricing!G8</f>
        <v>1829</v>
      </c>
      <c r="K20" s="216">
        <f>Pricing!H8</f>
        <v>1346</v>
      </c>
      <c r="L20" s="216">
        <f>Pricing!I8</f>
        <v>6</v>
      </c>
      <c r="M20" s="188">
        <f t="shared" si="0"/>
        <v>14.771004</v>
      </c>
      <c r="N20" s="189">
        <f>'Cost Calculation'!AS12</f>
        <v>529290.73414197622</v>
      </c>
      <c r="O20" s="95"/>
    </row>
    <row r="21" spans="2:15" s="94" customFormat="1" ht="49.9" customHeight="1" thickTop="1" thickBot="1">
      <c r="B21" s="416">
        <f>Pricing!A9</f>
        <v>6</v>
      </c>
      <c r="C21" s="417"/>
      <c r="D21" s="187" t="str">
        <f>Pricing!B9</f>
        <v>KW1</v>
      </c>
      <c r="E21" s="187" t="str">
        <f>Pricing!C9</f>
        <v>M14600</v>
      </c>
      <c r="F21" s="187" t="str">
        <f>Pricing!D9</f>
        <v>3 TRACK 2 SHUTTER SLIDING WINDOW</v>
      </c>
      <c r="G21" s="187" t="str">
        <f>Pricing!N9</f>
        <v>24MM</v>
      </c>
      <c r="H21" s="187" t="str">
        <f>Pricing!F9</f>
        <v>KITCHEN</v>
      </c>
      <c r="I21" s="216" t="str">
        <f>Pricing!E9</f>
        <v>SS</v>
      </c>
      <c r="J21" s="216">
        <f>Pricing!G9</f>
        <v>1219</v>
      </c>
      <c r="K21" s="216">
        <f>Pricing!H9</f>
        <v>1041</v>
      </c>
      <c r="L21" s="216">
        <f>Pricing!I9</f>
        <v>1</v>
      </c>
      <c r="M21" s="188">
        <f t="shared" si="0"/>
        <v>1.2689790000000001</v>
      </c>
      <c r="N21" s="189">
        <f>'Cost Calculation'!AS13</f>
        <v>66715.044907953197</v>
      </c>
      <c r="O21" s="95"/>
    </row>
    <row r="22" spans="2:15" s="94" customFormat="1" ht="49.9" customHeight="1" thickTop="1" thickBot="1">
      <c r="B22" s="416">
        <f>Pricing!A10</f>
        <v>7</v>
      </c>
      <c r="C22" s="417"/>
      <c r="D22" s="187" t="str">
        <f>Pricing!B10</f>
        <v>V1</v>
      </c>
      <c r="E22" s="187" t="str">
        <f>Pricing!C10</f>
        <v>M15000</v>
      </c>
      <c r="F22" s="187" t="str">
        <f>Pricing!D10</f>
        <v>FIXED GLASS</v>
      </c>
      <c r="G22" s="187" t="str">
        <f>Pricing!N10</f>
        <v>6MM (F)</v>
      </c>
      <c r="H22" s="187" t="str">
        <f>Pricing!F10</f>
        <v>VENTILATOR 1</v>
      </c>
      <c r="I22" s="216" t="str">
        <f>Pricing!E10</f>
        <v>NO</v>
      </c>
      <c r="J22" s="216">
        <f>Pricing!G10</f>
        <v>610</v>
      </c>
      <c r="K22" s="216">
        <f>Pricing!H10</f>
        <v>610</v>
      </c>
      <c r="L22" s="216">
        <f>Pricing!I10</f>
        <v>3</v>
      </c>
      <c r="M22" s="188">
        <f t="shared" si="0"/>
        <v>1.1163000000000001</v>
      </c>
      <c r="N22" s="189">
        <f>'Cost Calculation'!AS14</f>
        <v>34274.666203917404</v>
      </c>
      <c r="O22" s="95"/>
    </row>
    <row r="23" spans="2:15" s="94" customFormat="1" ht="49.9" customHeight="1" thickTop="1" thickBot="1">
      <c r="B23" s="416">
        <f>Pricing!A11</f>
        <v>8</v>
      </c>
      <c r="C23" s="417"/>
      <c r="D23" s="187" t="str">
        <f>Pricing!B11</f>
        <v>V2</v>
      </c>
      <c r="E23" s="187" t="str">
        <f>Pricing!C11</f>
        <v>M15000</v>
      </c>
      <c r="F23" s="187" t="str">
        <f>Pricing!D11</f>
        <v>FIXED GLASS</v>
      </c>
      <c r="G23" s="187" t="str">
        <f>Pricing!N11</f>
        <v>6MM (F)</v>
      </c>
      <c r="H23" s="187" t="str">
        <f>Pricing!F11</f>
        <v>VENTILATOR 2</v>
      </c>
      <c r="I23" s="216" t="str">
        <f>Pricing!E11</f>
        <v>NO</v>
      </c>
      <c r="J23" s="216">
        <f>Pricing!G11</f>
        <v>610</v>
      </c>
      <c r="K23" s="216">
        <f>Pricing!H11</f>
        <v>914</v>
      </c>
      <c r="L23" s="216">
        <f>Pricing!I11</f>
        <v>1</v>
      </c>
      <c r="M23" s="188">
        <f t="shared" si="0"/>
        <v>0.55754000000000004</v>
      </c>
      <c r="N23" s="189">
        <f>'Cost Calculation'!AS15</f>
        <v>14418.569140123498</v>
      </c>
      <c r="O23" s="95"/>
    </row>
    <row r="24" spans="2:15" s="94" customFormat="1" ht="49.9" customHeight="1" thickTop="1" thickBot="1">
      <c r="B24" s="416">
        <f>Pricing!A12</f>
        <v>9</v>
      </c>
      <c r="C24" s="417"/>
      <c r="D24" s="187" t="str">
        <f>Pricing!B12</f>
        <v>SD1</v>
      </c>
      <c r="E24" s="187" t="str">
        <f>Pricing!C12</f>
        <v>M14600</v>
      </c>
      <c r="F24" s="187" t="str">
        <f>Pricing!D12</f>
        <v>3 TRACK 2 SHUTTER SLIDING DOOR</v>
      </c>
      <c r="G24" s="187" t="str">
        <f>Pricing!N12</f>
        <v>24MM</v>
      </c>
      <c r="H24" s="187" t="str">
        <f>Pricing!F12</f>
        <v>BALCONY</v>
      </c>
      <c r="I24" s="216" t="str">
        <f>Pricing!E12</f>
        <v>SS</v>
      </c>
      <c r="J24" s="216">
        <f>Pricing!G12</f>
        <v>3353</v>
      </c>
      <c r="K24" s="216">
        <f>Pricing!H12</f>
        <v>3048</v>
      </c>
      <c r="L24" s="216">
        <f>Pricing!I12</f>
        <v>1</v>
      </c>
      <c r="M24" s="188">
        <f t="shared" si="0"/>
        <v>10.219944</v>
      </c>
      <c r="N24" s="189">
        <f>'Cost Calculation'!AS16</f>
        <v>196923.4307311984</v>
      </c>
      <c r="O24" s="95"/>
    </row>
    <row r="25" spans="2:15" s="94" customFormat="1" ht="49.9" customHeight="1" thickTop="1" thickBot="1">
      <c r="B25" s="416">
        <f>Pricing!A13</f>
        <v>10</v>
      </c>
      <c r="C25" s="417"/>
      <c r="D25" s="187" t="str">
        <f>Pricing!B13</f>
        <v>SD2</v>
      </c>
      <c r="E25" s="187" t="str">
        <f>Pricing!C13</f>
        <v>M14600</v>
      </c>
      <c r="F25" s="187" t="str">
        <f>Pricing!D13</f>
        <v>3 TRACK 2 SHUTTER SLIDING DOOR</v>
      </c>
      <c r="G25" s="187" t="str">
        <f>Pricing!N13</f>
        <v>24MM</v>
      </c>
      <c r="H25" s="187" t="str">
        <f>Pricing!F13</f>
        <v>HALL DOOR</v>
      </c>
      <c r="I25" s="216" t="str">
        <f>Pricing!E13</f>
        <v>SS</v>
      </c>
      <c r="J25" s="216">
        <f>Pricing!G13</f>
        <v>3353</v>
      </c>
      <c r="K25" s="216">
        <f>Pricing!H13</f>
        <v>2565</v>
      </c>
      <c r="L25" s="216">
        <f>Pricing!I13</f>
        <v>1</v>
      </c>
      <c r="M25" s="188">
        <f t="shared" ref="M25:M42" si="1">J25*K25*L25/1000000</f>
        <v>8.6004450000000006</v>
      </c>
      <c r="N25" s="189">
        <f>'Cost Calculation'!AS17</f>
        <v>178274.29440338234</v>
      </c>
      <c r="O25" s="95"/>
    </row>
    <row r="26" spans="2:15" s="94" customFormat="1" ht="49.9" hidden="1" customHeight="1" thickTop="1" thickBot="1">
      <c r="B26" s="416">
        <f>Pricing!A14</f>
        <v>11</v>
      </c>
      <c r="C26" s="417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6">
        <f>Pricing!A15</f>
        <v>12</v>
      </c>
      <c r="C27" s="417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6">
        <f>Pricing!A16</f>
        <v>13</v>
      </c>
      <c r="C28" s="417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6">
        <f>Pricing!A17</f>
        <v>14</v>
      </c>
      <c r="C29" s="417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6">
        <f>Pricing!A18</f>
        <v>15</v>
      </c>
      <c r="C30" s="417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6">
        <f>Pricing!A19</f>
        <v>16</v>
      </c>
      <c r="C31" s="417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6">
        <f>Pricing!A20</f>
        <v>17</v>
      </c>
      <c r="C32" s="417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6">
        <f>Pricing!A21</f>
        <v>18</v>
      </c>
      <c r="C33" s="417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6">
        <f>Pricing!A22</f>
        <v>19</v>
      </c>
      <c r="C34" s="417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6">
        <f>Pricing!A23</f>
        <v>20</v>
      </c>
      <c r="C35" s="417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6">
        <f>Pricing!A24</f>
        <v>21</v>
      </c>
      <c r="C36" s="417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6">
        <f>Pricing!A25</f>
        <v>22</v>
      </c>
      <c r="C37" s="417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6">
        <f>Pricing!A26</f>
        <v>23</v>
      </c>
      <c r="C38" s="417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6">
        <f>Pricing!A27</f>
        <v>24</v>
      </c>
      <c r="C39" s="417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6">
        <f>Pricing!A28</f>
        <v>25</v>
      </c>
      <c r="C40" s="417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6">
        <f>Pricing!A29</f>
        <v>26</v>
      </c>
      <c r="C41" s="417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6">
        <f>Pricing!A30</f>
        <v>27</v>
      </c>
      <c r="C42" s="417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6">
        <f>Pricing!A31</f>
        <v>28</v>
      </c>
      <c r="C43" s="417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6">
        <f>Pricing!A32</f>
        <v>29</v>
      </c>
      <c r="C44" s="417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6">
        <f>Pricing!A33</f>
        <v>30</v>
      </c>
      <c r="C45" s="417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6">
        <f>Pricing!A34</f>
        <v>31</v>
      </c>
      <c r="C46" s="417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6">
        <f>Pricing!A35</f>
        <v>32</v>
      </c>
      <c r="C47" s="417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6">
        <f>Pricing!A36</f>
        <v>33</v>
      </c>
      <c r="C48" s="417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6">
        <f>Pricing!A37</f>
        <v>34</v>
      </c>
      <c r="C49" s="417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6">
        <f>Pricing!A38</f>
        <v>35</v>
      </c>
      <c r="C50" s="417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6">
        <f>Pricing!A39</f>
        <v>36</v>
      </c>
      <c r="C51" s="417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6">
        <f>Pricing!A40</f>
        <v>37</v>
      </c>
      <c r="C52" s="417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6">
        <f>Pricing!A41</f>
        <v>38</v>
      </c>
      <c r="C53" s="417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6">
        <f>Pricing!A42</f>
        <v>39</v>
      </c>
      <c r="C54" s="417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6">
        <f>Pricing!A43</f>
        <v>40</v>
      </c>
      <c r="C55" s="417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9"/>
      <c r="C116" s="420"/>
      <c r="D116" s="420"/>
      <c r="E116" s="420"/>
      <c r="F116" s="420"/>
      <c r="G116" s="420"/>
      <c r="H116" s="420"/>
      <c r="I116" s="420"/>
      <c r="J116" s="420"/>
      <c r="K116" s="421"/>
      <c r="L116" s="190">
        <f>SUM(L16:L115)</f>
        <v>24</v>
      </c>
      <c r="M116" s="191">
        <f>SUM(M16:M115)</f>
        <v>51.601192000000005</v>
      </c>
      <c r="N116" s="186"/>
      <c r="O116" s="95"/>
    </row>
    <row r="117" spans="2:15" s="94" customFormat="1" ht="30" customHeight="1" thickTop="1" thickBot="1">
      <c r="B117" s="422" t="s">
        <v>181</v>
      </c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4"/>
      <c r="N117" s="192">
        <f>ROUND(SUM(N16:N115),0.1)</f>
        <v>1582203</v>
      </c>
      <c r="O117" s="95">
        <f>N117/SUM(M116)</f>
        <v>30662.140517994234</v>
      </c>
    </row>
    <row r="118" spans="2:15" s="94" customFormat="1" ht="30" customHeight="1" thickTop="1" thickBot="1">
      <c r="B118" s="422" t="s">
        <v>111</v>
      </c>
      <c r="C118" s="423"/>
      <c r="D118" s="423"/>
      <c r="E118" s="423"/>
      <c r="F118" s="423"/>
      <c r="G118" s="423"/>
      <c r="H118" s="423"/>
      <c r="I118" s="423"/>
      <c r="J118" s="423"/>
      <c r="K118" s="423"/>
      <c r="L118" s="423"/>
      <c r="M118" s="424"/>
      <c r="N118" s="192">
        <f>ROUND(N117*18%,0.1)</f>
        <v>284797</v>
      </c>
      <c r="O118" s="95">
        <f>N118/SUM(M116)</f>
        <v>5519.1942077617114</v>
      </c>
    </row>
    <row r="119" spans="2:15" s="94" customFormat="1" ht="30" customHeight="1" thickTop="1" thickBot="1">
      <c r="B119" s="422" t="s">
        <v>182</v>
      </c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192">
        <f>ROUND(SUM(N117:N118),0.1)</f>
        <v>1867000</v>
      </c>
      <c r="O119" s="95">
        <f>N119/SUM(M116)</f>
        <v>36181.334725755944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2848.5823595312372</v>
      </c>
    </row>
    <row r="121" spans="2:15" s="139" customFormat="1" ht="30" customHeight="1" thickTop="1">
      <c r="B121" s="453" t="s">
        <v>237</v>
      </c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4"/>
      <c r="N121" s="455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6">
        <v>2</v>
      </c>
      <c r="C123" s="457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9"/>
    </row>
    <row r="124" spans="2:15" s="139" customFormat="1" ht="30" customHeight="1">
      <c r="B124" s="425" t="s">
        <v>207</v>
      </c>
      <c r="C124" s="426"/>
      <c r="D124" s="426"/>
      <c r="E124" s="426"/>
      <c r="F124" s="426"/>
      <c r="G124" s="426"/>
      <c r="H124" s="426"/>
      <c r="I124" s="426"/>
      <c r="J124" s="426"/>
      <c r="K124" s="426"/>
      <c r="L124" s="426"/>
      <c r="M124" s="426"/>
      <c r="N124" s="427"/>
      <c r="O124" s="138"/>
    </row>
    <row r="125" spans="2:15" s="93" customFormat="1" ht="24.95" customHeight="1">
      <c r="B125" s="410">
        <v>1</v>
      </c>
      <c r="C125" s="411"/>
      <c r="D125" s="412" t="s">
        <v>373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93" customFormat="1" ht="24.95" customHeight="1">
      <c r="B126" s="410">
        <v>2</v>
      </c>
      <c r="C126" s="411"/>
      <c r="D126" s="412" t="s">
        <v>457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139" customFormat="1" ht="30" customHeight="1">
      <c r="B127" s="425" t="s">
        <v>140</v>
      </c>
      <c r="C127" s="426"/>
      <c r="D127" s="426"/>
      <c r="E127" s="426"/>
      <c r="F127" s="426"/>
      <c r="G127" s="426"/>
      <c r="H127" s="426"/>
      <c r="I127" s="426"/>
      <c r="J127" s="426"/>
      <c r="K127" s="426"/>
      <c r="L127" s="426"/>
      <c r="M127" s="426"/>
      <c r="N127" s="427"/>
      <c r="O127" s="138"/>
    </row>
    <row r="128" spans="2:15" s="93" customFormat="1" ht="24.95" customHeight="1">
      <c r="B128" s="410">
        <v>1</v>
      </c>
      <c r="C128" s="411"/>
      <c r="D128" s="412" t="s">
        <v>363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93" customFormat="1" ht="24.95" customHeight="1">
      <c r="B129" s="410">
        <v>2</v>
      </c>
      <c r="C129" s="411"/>
      <c r="D129" s="412" t="s">
        <v>389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4" s="93" customFormat="1" ht="24.95" customHeight="1">
      <c r="B130" s="410">
        <v>3</v>
      </c>
      <c r="C130" s="411"/>
      <c r="D130" s="414" t="s">
        <v>405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93" customFormat="1" ht="24.95" customHeight="1">
      <c r="B131" s="410">
        <v>4</v>
      </c>
      <c r="C131" s="411"/>
      <c r="D131" s="414" t="s">
        <v>406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139" customFormat="1" ht="30" customHeight="1">
      <c r="B132" s="496" t="s">
        <v>141</v>
      </c>
      <c r="C132" s="497"/>
      <c r="D132" s="497"/>
      <c r="E132" s="497"/>
      <c r="F132" s="497"/>
      <c r="G132" s="497"/>
      <c r="H132" s="497"/>
      <c r="I132" s="497"/>
      <c r="J132" s="497"/>
      <c r="K132" s="497"/>
      <c r="L132" s="497"/>
      <c r="M132" s="497"/>
      <c r="N132" s="498"/>
    </row>
    <row r="133" spans="2:14" s="93" customFormat="1" ht="24.95" customHeight="1">
      <c r="B133" s="410">
        <v>1</v>
      </c>
      <c r="C133" s="411"/>
      <c r="D133" s="412" t="s">
        <v>142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93" customFormat="1" ht="24.95" customHeight="1">
      <c r="B134" s="410">
        <v>2</v>
      </c>
      <c r="C134" s="411"/>
      <c r="D134" s="412" t="s">
        <v>143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93" customFormat="1" ht="24.95" customHeight="1">
      <c r="B135" s="410">
        <v>3</v>
      </c>
      <c r="C135" s="411"/>
      <c r="D135" s="412" t="s">
        <v>144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139" customFormat="1" ht="30" customHeight="1">
      <c r="B136" s="496" t="s">
        <v>145</v>
      </c>
      <c r="C136" s="497"/>
      <c r="D136" s="497"/>
      <c r="E136" s="497"/>
      <c r="F136" s="497"/>
      <c r="G136" s="497"/>
      <c r="H136" s="497"/>
      <c r="I136" s="497"/>
      <c r="J136" s="497"/>
      <c r="K136" s="497"/>
      <c r="L136" s="497"/>
      <c r="M136" s="497"/>
      <c r="N136" s="498"/>
    </row>
    <row r="137" spans="2:14" s="139" customFormat="1" ht="30" customHeight="1">
      <c r="B137" s="511" t="s">
        <v>146</v>
      </c>
      <c r="C137" s="512"/>
      <c r="D137" s="512"/>
      <c r="E137" s="512"/>
      <c r="F137" s="512"/>
      <c r="G137" s="512"/>
      <c r="H137" s="512"/>
      <c r="I137" s="512"/>
      <c r="J137" s="512"/>
      <c r="K137" s="512"/>
      <c r="L137" s="512"/>
      <c r="M137" s="512"/>
      <c r="N137" s="513"/>
    </row>
    <row r="138" spans="2:14" s="93" customFormat="1" ht="24.95" customHeight="1">
      <c r="B138" s="410">
        <v>1</v>
      </c>
      <c r="C138" s="411"/>
      <c r="D138" s="412" t="s">
        <v>147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2</v>
      </c>
      <c r="C139" s="411"/>
      <c r="D139" s="412" t="s">
        <v>402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3</v>
      </c>
      <c r="C140" s="411"/>
      <c r="D140" s="412" t="s">
        <v>148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4</v>
      </c>
      <c r="C141" s="411"/>
      <c r="D141" s="412" t="s">
        <v>149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93" customFormat="1" ht="24.95" customHeight="1">
      <c r="B142" s="410">
        <v>5</v>
      </c>
      <c r="C142" s="411"/>
      <c r="D142" s="412" t="s">
        <v>150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24.95" customHeight="1">
      <c r="B143" s="410">
        <v>6</v>
      </c>
      <c r="C143" s="411"/>
      <c r="D143" s="412" t="s">
        <v>151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140" customFormat="1" ht="30" customHeight="1">
      <c r="B144" s="496" t="s">
        <v>152</v>
      </c>
      <c r="C144" s="497"/>
      <c r="D144" s="497"/>
      <c r="E144" s="497"/>
      <c r="F144" s="497"/>
      <c r="G144" s="497"/>
      <c r="H144" s="497"/>
      <c r="I144" s="497"/>
      <c r="J144" s="497"/>
      <c r="K144" s="497"/>
      <c r="L144" s="497"/>
      <c r="M144" s="497"/>
      <c r="N144" s="498"/>
    </row>
    <row r="145" spans="2:14" s="93" customFormat="1" ht="24.95" customHeight="1">
      <c r="B145" s="410">
        <v>1</v>
      </c>
      <c r="C145" s="411"/>
      <c r="D145" s="412" t="s">
        <v>153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135" customHeight="1">
      <c r="B146" s="410">
        <v>2</v>
      </c>
      <c r="C146" s="411"/>
      <c r="D146" s="499" t="s">
        <v>154</v>
      </c>
      <c r="E146" s="500"/>
      <c r="F146" s="500"/>
      <c r="G146" s="500"/>
      <c r="H146" s="500"/>
      <c r="I146" s="500"/>
      <c r="J146" s="500"/>
      <c r="K146" s="500"/>
      <c r="L146" s="500"/>
      <c r="M146" s="500"/>
      <c r="N146" s="501"/>
    </row>
    <row r="147" spans="2:14" s="93" customFormat="1" ht="24.95" customHeight="1">
      <c r="B147" s="410">
        <v>3</v>
      </c>
      <c r="C147" s="411"/>
      <c r="D147" s="412" t="s">
        <v>155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93" customFormat="1" ht="24.95" customHeight="1">
      <c r="B148" s="410">
        <v>4</v>
      </c>
      <c r="C148" s="411"/>
      <c r="D148" s="412" t="s">
        <v>156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140" customFormat="1" ht="30" customHeight="1">
      <c r="B149" s="496" t="s">
        <v>157</v>
      </c>
      <c r="C149" s="497"/>
      <c r="D149" s="497"/>
      <c r="E149" s="497"/>
      <c r="F149" s="497"/>
      <c r="G149" s="497"/>
      <c r="H149" s="497"/>
      <c r="I149" s="497"/>
      <c r="J149" s="497"/>
      <c r="K149" s="497"/>
      <c r="L149" s="497"/>
      <c r="M149" s="497"/>
      <c r="N149" s="498"/>
    </row>
    <row r="150" spans="2:14" s="93" customFormat="1" ht="24.95" customHeight="1">
      <c r="B150" s="410">
        <v>1</v>
      </c>
      <c r="C150" s="411"/>
      <c r="D150" s="412" t="s">
        <v>158</v>
      </c>
      <c r="E150" s="412"/>
      <c r="F150" s="412"/>
      <c r="G150" s="412"/>
      <c r="H150" s="412"/>
      <c r="I150" s="412"/>
      <c r="J150" s="412"/>
      <c r="K150" s="412"/>
      <c r="L150" s="412"/>
      <c r="M150" s="412"/>
      <c r="N150" s="413"/>
    </row>
    <row r="151" spans="2:14" s="93" customFormat="1" ht="55.9" customHeight="1">
      <c r="B151" s="410">
        <v>2</v>
      </c>
      <c r="C151" s="411"/>
      <c r="D151" s="499" t="s">
        <v>159</v>
      </c>
      <c r="E151" s="500"/>
      <c r="F151" s="500"/>
      <c r="G151" s="500"/>
      <c r="H151" s="500"/>
      <c r="I151" s="500"/>
      <c r="J151" s="500"/>
      <c r="K151" s="500"/>
      <c r="L151" s="500"/>
      <c r="M151" s="500"/>
      <c r="N151" s="501"/>
    </row>
    <row r="152" spans="2:14" s="140" customFormat="1" ht="30" customHeight="1">
      <c r="B152" s="496" t="s">
        <v>160</v>
      </c>
      <c r="C152" s="497"/>
      <c r="D152" s="497"/>
      <c r="E152" s="497"/>
      <c r="F152" s="497"/>
      <c r="G152" s="497"/>
      <c r="H152" s="497"/>
      <c r="I152" s="497"/>
      <c r="J152" s="497"/>
      <c r="K152" s="497"/>
      <c r="L152" s="497"/>
      <c r="M152" s="497"/>
      <c r="N152" s="498"/>
    </row>
    <row r="153" spans="2:14" s="93" customFormat="1" ht="24.95" customHeight="1">
      <c r="B153" s="410">
        <v>1</v>
      </c>
      <c r="C153" s="411"/>
      <c r="D153" s="474" t="s">
        <v>161</v>
      </c>
      <c r="E153" s="474"/>
      <c r="F153" s="474"/>
      <c r="G153" s="474"/>
      <c r="H153" s="474"/>
      <c r="I153" s="474"/>
      <c r="J153" s="474"/>
      <c r="K153" s="474"/>
      <c r="L153" s="474"/>
      <c r="M153" s="474"/>
      <c r="N153" s="475"/>
    </row>
    <row r="154" spans="2:14" s="93" customFormat="1" ht="24.95" customHeight="1">
      <c r="B154" s="410">
        <v>2</v>
      </c>
      <c r="C154" s="411"/>
      <c r="D154" s="474" t="s">
        <v>162</v>
      </c>
      <c r="E154" s="474"/>
      <c r="F154" s="474"/>
      <c r="G154" s="474"/>
      <c r="H154" s="474"/>
      <c r="I154" s="474"/>
      <c r="J154" s="474"/>
      <c r="K154" s="474"/>
      <c r="L154" s="474"/>
      <c r="M154" s="474"/>
      <c r="N154" s="475"/>
    </row>
    <row r="155" spans="2:14" s="93" customFormat="1" ht="49.9" customHeight="1">
      <c r="B155" s="410">
        <v>3</v>
      </c>
      <c r="C155" s="411"/>
      <c r="D155" s="493" t="s">
        <v>163</v>
      </c>
      <c r="E155" s="494"/>
      <c r="F155" s="494"/>
      <c r="G155" s="494"/>
      <c r="H155" s="494"/>
      <c r="I155" s="494"/>
      <c r="J155" s="494"/>
      <c r="K155" s="494"/>
      <c r="L155" s="494"/>
      <c r="M155" s="494"/>
      <c r="N155" s="495"/>
    </row>
    <row r="156" spans="2:14" s="93" customFormat="1" ht="24.95" customHeight="1">
      <c r="B156" s="410">
        <v>4</v>
      </c>
      <c r="C156" s="411"/>
      <c r="D156" s="474" t="s">
        <v>164</v>
      </c>
      <c r="E156" s="474"/>
      <c r="F156" s="474"/>
      <c r="G156" s="474"/>
      <c r="H156" s="474"/>
      <c r="I156" s="474"/>
      <c r="J156" s="474"/>
      <c r="K156" s="474"/>
      <c r="L156" s="474"/>
      <c r="M156" s="474"/>
      <c r="N156" s="475"/>
    </row>
    <row r="157" spans="2:14" s="140" customFormat="1" ht="30" customHeight="1">
      <c r="B157" s="496" t="s">
        <v>165</v>
      </c>
      <c r="C157" s="497"/>
      <c r="D157" s="497"/>
      <c r="E157" s="497"/>
      <c r="F157" s="497"/>
      <c r="G157" s="497"/>
      <c r="H157" s="497"/>
      <c r="I157" s="497"/>
      <c r="J157" s="497"/>
      <c r="K157" s="497"/>
      <c r="L157" s="497"/>
      <c r="M157" s="497"/>
      <c r="N157" s="498"/>
    </row>
    <row r="158" spans="2:14" s="93" customFormat="1" ht="24.95" customHeight="1">
      <c r="B158" s="410">
        <v>1</v>
      </c>
      <c r="C158" s="411"/>
      <c r="D158" s="474" t="s">
        <v>166</v>
      </c>
      <c r="E158" s="474"/>
      <c r="F158" s="474"/>
      <c r="G158" s="474"/>
      <c r="H158" s="474"/>
      <c r="I158" s="474"/>
      <c r="J158" s="474"/>
      <c r="K158" s="474"/>
      <c r="L158" s="474"/>
      <c r="M158" s="474"/>
      <c r="N158" s="475"/>
    </row>
    <row r="159" spans="2:14" s="93" customFormat="1" ht="24.95" customHeight="1">
      <c r="B159" s="410">
        <v>2</v>
      </c>
      <c r="C159" s="411"/>
      <c r="D159" s="474" t="s">
        <v>167</v>
      </c>
      <c r="E159" s="474"/>
      <c r="F159" s="474"/>
      <c r="G159" s="474"/>
      <c r="H159" s="474"/>
      <c r="I159" s="474"/>
      <c r="J159" s="474"/>
      <c r="K159" s="474"/>
      <c r="L159" s="474"/>
      <c r="M159" s="474"/>
      <c r="N159" s="475"/>
    </row>
    <row r="160" spans="2:14" s="93" customFormat="1" ht="24.95" customHeight="1">
      <c r="B160" s="410">
        <v>3</v>
      </c>
      <c r="C160" s="411"/>
      <c r="D160" s="474" t="s">
        <v>168</v>
      </c>
      <c r="E160" s="474"/>
      <c r="F160" s="474"/>
      <c r="G160" s="474"/>
      <c r="H160" s="474"/>
      <c r="I160" s="474"/>
      <c r="J160" s="474"/>
      <c r="K160" s="474"/>
      <c r="L160" s="474"/>
      <c r="M160" s="474"/>
      <c r="N160" s="475"/>
    </row>
    <row r="161" spans="2:14" s="93" customFormat="1" ht="24.95" customHeight="1">
      <c r="B161" s="410">
        <v>4</v>
      </c>
      <c r="C161" s="411"/>
      <c r="D161" s="474" t="s">
        <v>401</v>
      </c>
      <c r="E161" s="474"/>
      <c r="F161" s="474"/>
      <c r="G161" s="474"/>
      <c r="H161" s="474"/>
      <c r="I161" s="474"/>
      <c r="J161" s="474"/>
      <c r="K161" s="474"/>
      <c r="L161" s="474"/>
      <c r="M161" s="474"/>
      <c r="N161" s="475"/>
    </row>
    <row r="162" spans="2:14" s="93" customFormat="1" ht="24.95" customHeight="1">
      <c r="B162" s="456" t="s">
        <v>240</v>
      </c>
      <c r="C162" s="491"/>
      <c r="D162" s="491"/>
      <c r="E162" s="491"/>
      <c r="F162" s="491"/>
      <c r="G162" s="491"/>
      <c r="H162" s="491"/>
      <c r="I162" s="491"/>
      <c r="J162" s="491"/>
      <c r="K162" s="491"/>
      <c r="L162" s="491"/>
      <c r="M162" s="491"/>
      <c r="N162" s="492"/>
    </row>
    <row r="163" spans="2:14" s="93" customFormat="1" ht="24.95" customHeight="1">
      <c r="B163" s="456" t="s">
        <v>241</v>
      </c>
      <c r="C163" s="491"/>
      <c r="D163" s="491"/>
      <c r="E163" s="491"/>
      <c r="F163" s="491"/>
      <c r="G163" s="491"/>
      <c r="H163" s="491"/>
      <c r="I163" s="491"/>
      <c r="J163" s="491"/>
      <c r="K163" s="491"/>
      <c r="L163" s="491"/>
      <c r="M163" s="491"/>
      <c r="N163" s="492"/>
    </row>
    <row r="164" spans="2:14" s="93" customFormat="1" ht="41.25" customHeight="1">
      <c r="B164" s="482"/>
      <c r="C164" s="483"/>
      <c r="D164" s="483"/>
      <c r="E164" s="483"/>
      <c r="F164" s="483"/>
      <c r="G164" s="483"/>
      <c r="H164" s="483"/>
      <c r="I164" s="483"/>
      <c r="J164" s="483"/>
      <c r="K164" s="483"/>
      <c r="L164" s="483"/>
      <c r="M164" s="483"/>
      <c r="N164" s="484"/>
    </row>
    <row r="165" spans="2:14" s="93" customFormat="1" ht="39.950000000000003" customHeight="1">
      <c r="B165" s="485"/>
      <c r="C165" s="486"/>
      <c r="D165" s="486"/>
      <c r="E165" s="486"/>
      <c r="F165" s="486"/>
      <c r="G165" s="486"/>
      <c r="H165" s="486"/>
      <c r="I165" s="486"/>
      <c r="J165" s="486"/>
      <c r="K165" s="486"/>
      <c r="L165" s="486"/>
      <c r="M165" s="486"/>
      <c r="N165" s="487"/>
    </row>
    <row r="166" spans="2:14" s="93" customFormat="1" ht="41.25" customHeight="1">
      <c r="B166" s="485"/>
      <c r="C166" s="486"/>
      <c r="D166" s="486"/>
      <c r="E166" s="486"/>
      <c r="F166" s="486"/>
      <c r="G166" s="486"/>
      <c r="H166" s="486"/>
      <c r="I166" s="486"/>
      <c r="J166" s="486"/>
      <c r="K166" s="486"/>
      <c r="L166" s="486"/>
      <c r="M166" s="486"/>
      <c r="N166" s="487"/>
    </row>
    <row r="167" spans="2:14" s="93" customFormat="1" ht="39.950000000000003" customHeight="1" thickBot="1">
      <c r="B167" s="488"/>
      <c r="C167" s="489"/>
      <c r="D167" s="489"/>
      <c r="E167" s="489"/>
      <c r="F167" s="489"/>
      <c r="G167" s="489"/>
      <c r="H167" s="489"/>
      <c r="I167" s="489"/>
      <c r="J167" s="489"/>
      <c r="K167" s="489"/>
      <c r="L167" s="489"/>
      <c r="M167" s="489"/>
      <c r="N167" s="490"/>
    </row>
    <row r="168" spans="2:14" s="93" customFormat="1" ht="30" customHeight="1" thickTop="1">
      <c r="B168" s="470" t="s">
        <v>110</v>
      </c>
      <c r="C168" s="471"/>
      <c r="D168" s="471"/>
      <c r="E168" s="476"/>
      <c r="F168" s="477"/>
      <c r="G168" s="477"/>
      <c r="H168" s="477"/>
      <c r="I168" s="477"/>
      <c r="J168" s="477"/>
      <c r="K168" s="477"/>
      <c r="L168" s="478"/>
      <c r="M168" s="471" t="s">
        <v>205</v>
      </c>
      <c r="N168" s="472"/>
    </row>
    <row r="169" spans="2:14" s="93" customFormat="1" ht="33" customHeight="1" thickBot="1">
      <c r="B169" s="473" t="s">
        <v>107</v>
      </c>
      <c r="C169" s="468"/>
      <c r="D169" s="468"/>
      <c r="E169" s="479"/>
      <c r="F169" s="480"/>
      <c r="G169" s="480"/>
      <c r="H169" s="480"/>
      <c r="I169" s="480"/>
      <c r="J169" s="480"/>
      <c r="K169" s="480"/>
      <c r="L169" s="481"/>
      <c r="M169" s="468" t="s">
        <v>108</v>
      </c>
      <c r="N169" s="469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2:N132"/>
    <mergeCell ref="B127:N127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28:C128"/>
    <mergeCell ref="D128:N128"/>
    <mergeCell ref="B131:C131"/>
    <mergeCell ref="D131:N131"/>
    <mergeCell ref="B135:C135"/>
    <mergeCell ref="D135:N135"/>
    <mergeCell ref="B133:C133"/>
    <mergeCell ref="D133:N133"/>
    <mergeCell ref="B42:C42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9:C129"/>
    <mergeCell ref="D129:N129"/>
    <mergeCell ref="B130:C130"/>
    <mergeCell ref="D130:N130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43651</v>
      </c>
      <c r="F2" s="518" t="s">
        <v>245</v>
      </c>
      <c r="G2" s="518"/>
    </row>
    <row r="3" spans="3:13">
      <c r="C3" s="297" t="s">
        <v>126</v>
      </c>
      <c r="D3" s="519" t="str">
        <f>QUOTATION!F7</f>
        <v>Mr. Arvind</v>
      </c>
      <c r="E3" s="519"/>
      <c r="F3" s="522" t="s">
        <v>246</v>
      </c>
      <c r="G3" s="523">
        <f>QUOTATION!N8</f>
        <v>43651</v>
      </c>
    </row>
    <row r="4" spans="3:13">
      <c r="C4" s="297" t="s">
        <v>243</v>
      </c>
      <c r="D4" s="520" t="str">
        <f>QUOTATION!M6</f>
        <v>ABPL-DE-19.20-2107</v>
      </c>
      <c r="E4" s="520"/>
      <c r="F4" s="522"/>
      <c r="G4" s="524"/>
    </row>
    <row r="5" spans="3:13">
      <c r="C5" s="297" t="s">
        <v>127</v>
      </c>
      <c r="D5" s="519" t="str">
        <f>QUOTATION!F8</f>
        <v>Hosur, Bangalore</v>
      </c>
      <c r="E5" s="519"/>
      <c r="F5" s="522"/>
      <c r="G5" s="524"/>
    </row>
    <row r="6" spans="3:13">
      <c r="C6" s="297" t="s">
        <v>169</v>
      </c>
      <c r="D6" s="519" t="str">
        <f>QUOTATION!F9</f>
        <v>Mr. Prasanth : 9591855724</v>
      </c>
      <c r="E6" s="519"/>
      <c r="F6" s="522"/>
      <c r="G6" s="524"/>
    </row>
    <row r="7" spans="3:13">
      <c r="C7" s="297" t="s">
        <v>376</v>
      </c>
      <c r="D7" s="519">
        <f>QUOTATION!M10</f>
        <v>0</v>
      </c>
      <c r="E7" s="519"/>
      <c r="F7" s="522"/>
      <c r="G7" s="524"/>
    </row>
    <row r="8" spans="3:13">
      <c r="C8" s="297" t="s">
        <v>177</v>
      </c>
      <c r="D8" s="519" t="str">
        <f>QUOTATION!F10</f>
        <v>Anodized</v>
      </c>
      <c r="E8" s="519"/>
      <c r="F8" s="522"/>
      <c r="G8" s="524"/>
    </row>
    <row r="9" spans="3:13">
      <c r="C9" s="297" t="s">
        <v>178</v>
      </c>
      <c r="D9" s="519" t="str">
        <f>QUOTATION!I10</f>
        <v>Silver</v>
      </c>
      <c r="E9" s="519"/>
      <c r="F9" s="522"/>
      <c r="G9" s="524"/>
    </row>
    <row r="10" spans="3:13">
      <c r="C10" s="297" t="s">
        <v>180</v>
      </c>
      <c r="D10" s="519" t="str">
        <f>QUOTATION!I8</f>
        <v>1.5Kpa</v>
      </c>
      <c r="E10" s="519"/>
      <c r="F10" s="522"/>
      <c r="G10" s="524"/>
    </row>
    <row r="11" spans="3:13">
      <c r="C11" s="297" t="s">
        <v>242</v>
      </c>
      <c r="D11" s="519" t="str">
        <f>QUOTATION!M9</f>
        <v>Bal Kumari</v>
      </c>
      <c r="E11" s="519"/>
      <c r="F11" s="522"/>
      <c r="G11" s="524"/>
    </row>
    <row r="12" spans="3:13">
      <c r="C12" s="297" t="s">
        <v>244</v>
      </c>
      <c r="D12" s="521">
        <f>QUOTATION!M7</f>
        <v>43651</v>
      </c>
      <c r="E12" s="521"/>
      <c r="F12" s="522"/>
      <c r="G12" s="525"/>
    </row>
    <row r="13" spans="3:13">
      <c r="C13" s="193" t="s">
        <v>236</v>
      </c>
      <c r="D13" s="514" t="s">
        <v>232</v>
      </c>
      <c r="E13" s="515"/>
      <c r="F13" s="516" t="s">
        <v>233</v>
      </c>
      <c r="G13" s="517"/>
    </row>
    <row r="14" spans="3:13">
      <c r="C14" s="194" t="s">
        <v>234</v>
      </c>
      <c r="D14" s="296"/>
      <c r="E14" s="244">
        <f>Pricing!L104</f>
        <v>5356.5199999999995</v>
      </c>
      <c r="F14" s="205"/>
      <c r="G14" s="206">
        <f>E14</f>
        <v>5356.5199999999995</v>
      </c>
    </row>
    <row r="15" spans="3:13">
      <c r="C15" s="194" t="s">
        <v>235</v>
      </c>
      <c r="D15" s="296">
        <f>'Changable Values'!D4</f>
        <v>83</v>
      </c>
      <c r="E15" s="199">
        <f>E14*D15</f>
        <v>444591.16</v>
      </c>
      <c r="F15" s="205"/>
      <c r="G15" s="207">
        <f>E15</f>
        <v>444591.16</v>
      </c>
    </row>
    <row r="16" spans="3:13">
      <c r="C16" s="195" t="s">
        <v>97</v>
      </c>
      <c r="D16" s="200">
        <f>'Changable Values'!D5</f>
        <v>0.1</v>
      </c>
      <c r="E16" s="199">
        <f>E15*D16</f>
        <v>44459.116000000002</v>
      </c>
      <c r="F16" s="208">
        <f>'Changable Values'!D5</f>
        <v>0.1</v>
      </c>
      <c r="G16" s="207">
        <f>G15*F16</f>
        <v>44459.116000000002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53795.530359999997</v>
      </c>
      <c r="F17" s="208">
        <f>'Changable Values'!D6</f>
        <v>0.11</v>
      </c>
      <c r="G17" s="207">
        <f>SUM(G15:G16)*F17</f>
        <v>53795.530359999997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2714.2290317999996</v>
      </c>
      <c r="F18" s="208">
        <f>'Changable Values'!D7</f>
        <v>5.0000000000000001E-3</v>
      </c>
      <c r="G18" s="207">
        <f>SUM(G15:G17)*F18</f>
        <v>2714.2290317999996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5455.6003539179992</v>
      </c>
      <c r="F19" s="208">
        <f>'Changable Values'!D8</f>
        <v>0.01</v>
      </c>
      <c r="G19" s="207">
        <f>SUM(G15:G18)*F19</f>
        <v>5455.6003539179992</v>
      </c>
    </row>
    <row r="20" spans="3:7">
      <c r="C20" s="195" t="s">
        <v>99</v>
      </c>
      <c r="D20" s="201"/>
      <c r="E20" s="199">
        <f>SUM(E15:E19)</f>
        <v>551015.63574571791</v>
      </c>
      <c r="F20" s="208"/>
      <c r="G20" s="207">
        <f>SUM(G15:G19)</f>
        <v>551015.63574571791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8265.2345361857679</v>
      </c>
      <c r="F21" s="208">
        <f>'Changable Values'!D9</f>
        <v>1.4999999999999999E-2</v>
      </c>
      <c r="G21" s="207">
        <f>G20*F21</f>
        <v>8265.2345361857679</v>
      </c>
    </row>
    <row r="22" spans="3:7">
      <c r="C22" s="195" t="s">
        <v>190</v>
      </c>
      <c r="D22" s="198"/>
      <c r="E22" s="199">
        <f>'Cost Calculation'!AB109</f>
        <v>3288.7574999999997</v>
      </c>
      <c r="F22" s="209"/>
      <c r="G22" s="207">
        <f t="shared" ref="G22:G28" si="0">E22</f>
        <v>3288.7574999999997</v>
      </c>
    </row>
    <row r="23" spans="3:7">
      <c r="C23" s="195" t="s">
        <v>229</v>
      </c>
      <c r="D23" s="198"/>
      <c r="E23" s="199">
        <f>'Cost Calculation'!AD109</f>
        <v>143398.92388000002</v>
      </c>
      <c r="F23" s="209"/>
      <c r="G23" s="207">
        <f t="shared" si="0"/>
        <v>143398.92388000002</v>
      </c>
    </row>
    <row r="24" spans="3:7">
      <c r="C24" s="195" t="s">
        <v>230</v>
      </c>
      <c r="D24" s="198"/>
      <c r="E24" s="199">
        <f>'Cost Calculation'!AH111</f>
        <v>16919.392327868853</v>
      </c>
      <c r="F24" s="209"/>
      <c r="G24" s="207">
        <f t="shared" si="0"/>
        <v>16919.392327868853</v>
      </c>
    </row>
    <row r="25" spans="3:7">
      <c r="C25" s="196" t="s">
        <v>238</v>
      </c>
      <c r="D25" s="198"/>
      <c r="E25" s="199">
        <f>'Cost Calculation'!AJ109</f>
        <v>22294.110477599999</v>
      </c>
      <c r="F25" s="209"/>
      <c r="G25" s="207">
        <f t="shared" si="0"/>
        <v>22294.110477599999</v>
      </c>
    </row>
    <row r="26" spans="3:7">
      <c r="C26" s="196" t="s">
        <v>239</v>
      </c>
      <c r="D26" s="198"/>
      <c r="E26" s="199">
        <f>'Cost Calculation'!AK109</f>
        <v>16791.990696000001</v>
      </c>
      <c r="F26" s="209"/>
      <c r="G26" s="207">
        <f t="shared" si="0"/>
        <v>16791.990696000001</v>
      </c>
    </row>
    <row r="27" spans="3:7">
      <c r="C27" s="195" t="s">
        <v>86</v>
      </c>
      <c r="D27" s="198"/>
      <c r="E27" s="199">
        <f>'Cost Calculation'!AL109</f>
        <v>55543.523068799994</v>
      </c>
      <c r="F27" s="209"/>
      <c r="G27" s="207">
        <f t="shared" si="0"/>
        <v>55543.523068799994</v>
      </c>
    </row>
    <row r="28" spans="3:7">
      <c r="C28" s="195" t="s">
        <v>88</v>
      </c>
      <c r="D28" s="198"/>
      <c r="E28" s="199">
        <f>'Cost Calculation'!AN109</f>
        <v>44434.818455039989</v>
      </c>
      <c r="F28" s="209"/>
      <c r="G28" s="207">
        <f t="shared" si="0"/>
        <v>44434.818455039989</v>
      </c>
    </row>
    <row r="29" spans="3:7">
      <c r="C29" s="293" t="s">
        <v>379</v>
      </c>
      <c r="D29" s="294"/>
      <c r="E29" s="295">
        <f>SUM(E20:E28)</f>
        <v>861952.38668721251</v>
      </c>
      <c r="F29" s="209"/>
      <c r="G29" s="207">
        <f>SUM(G20:G21,G24)</f>
        <v>576200.2626097725</v>
      </c>
    </row>
    <row r="30" spans="3:7">
      <c r="C30" s="293" t="s">
        <v>380</v>
      </c>
      <c r="D30" s="294"/>
      <c r="E30" s="295">
        <f>E29/E33</f>
        <v>1551.8504031865955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720250.3282622156</v>
      </c>
      <c r="F31" s="214">
        <f>'Changable Values'!D23</f>
        <v>1.25</v>
      </c>
      <c r="G31" s="207">
        <f>G29*F31</f>
        <v>720250.3282622156</v>
      </c>
    </row>
    <row r="32" spans="3:7">
      <c r="C32" s="290" t="s">
        <v>5</v>
      </c>
      <c r="D32" s="291"/>
      <c r="E32" s="292">
        <f>E31+E29</f>
        <v>1582202.7149494281</v>
      </c>
      <c r="F32" s="205"/>
      <c r="G32" s="207">
        <f>SUM(G25:G31,G22:G23)</f>
        <v>1582202.7149494281</v>
      </c>
    </row>
    <row r="33" spans="3:7">
      <c r="C33" s="300" t="s">
        <v>231</v>
      </c>
      <c r="D33" s="301"/>
      <c r="E33" s="308">
        <f>'Cost Calculation'!K109</f>
        <v>555.43523068800005</v>
      </c>
      <c r="F33" s="210"/>
      <c r="G33" s="211">
        <f>E33</f>
        <v>555.43523068800005</v>
      </c>
    </row>
    <row r="34" spans="3:7">
      <c r="C34" s="302" t="s">
        <v>9</v>
      </c>
      <c r="D34" s="303"/>
      <c r="E34" s="304">
        <f>QUOTATION!L116</f>
        <v>24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2848.5818463290557</v>
      </c>
      <c r="F35" s="212"/>
      <c r="G35" s="213">
        <f>G32/(G33)</f>
        <v>2848.5818463290557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2019-07-05T05:00:53Z</cp:lastPrinted>
  <dcterms:created xsi:type="dcterms:W3CDTF">2010-12-18T06:34:46Z</dcterms:created>
  <dcterms:modified xsi:type="dcterms:W3CDTF">2019-07-05T12:18:10Z</dcterms:modified>
</cp:coreProperties>
</file>