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Drawings!$C$2:$O$623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A42" i="169"/>
  <c r="B42" i="169"/>
  <c r="C42" i="169"/>
  <c r="D42" i="169"/>
  <c r="E42" i="169"/>
  <c r="F42" i="169"/>
  <c r="I42" i="169"/>
  <c r="J42" i="169"/>
  <c r="K42" i="169"/>
  <c r="L42" i="169"/>
  <c r="M42" i="169"/>
  <c r="N42" i="169"/>
  <c r="O42" i="169"/>
  <c r="P42" i="169"/>
  <c r="Q42" i="169"/>
  <c r="R42" i="169"/>
  <c r="S42" i="169"/>
  <c r="T42" i="169"/>
  <c r="U42" i="169"/>
  <c r="A43" i="169"/>
  <c r="B43" i="169"/>
  <c r="C43" i="169"/>
  <c r="D43" i="169"/>
  <c r="E43" i="169"/>
  <c r="F43" i="169"/>
  <c r="I43" i="169"/>
  <c r="J43" i="169"/>
  <c r="K43" i="169"/>
  <c r="L43" i="169"/>
  <c r="M43" i="169"/>
  <c r="N43" i="169"/>
  <c r="O43" i="169"/>
  <c r="P43" i="169"/>
  <c r="Q43" i="169"/>
  <c r="R43" i="169"/>
  <c r="S43" i="169"/>
  <c r="T43" i="169"/>
  <c r="U43" i="169"/>
  <c r="A44" i="169"/>
  <c r="B44" i="169"/>
  <c r="C44" i="169"/>
  <c r="D44" i="169"/>
  <c r="E44" i="169"/>
  <c r="F44" i="169"/>
  <c r="I44" i="169"/>
  <c r="J44" i="169"/>
  <c r="K44" i="169"/>
  <c r="L44" i="169"/>
  <c r="M44" i="169"/>
  <c r="N44" i="169"/>
  <c r="O44" i="169"/>
  <c r="P44" i="169"/>
  <c r="Q44" i="169"/>
  <c r="R44" i="169"/>
  <c r="S44" i="169"/>
  <c r="T44" i="169"/>
  <c r="U44" i="169"/>
  <c r="A45" i="169"/>
  <c r="B45" i="169"/>
  <c r="C45" i="169"/>
  <c r="D45" i="169"/>
  <c r="E45" i="169"/>
  <c r="F45" i="169"/>
  <c r="I45" i="169"/>
  <c r="J45" i="169"/>
  <c r="K45" i="169"/>
  <c r="L45" i="169"/>
  <c r="M45" i="169"/>
  <c r="N45" i="169"/>
  <c r="O45" i="169"/>
  <c r="P45" i="169"/>
  <c r="Q45" i="169"/>
  <c r="R45" i="169"/>
  <c r="S45" i="169"/>
  <c r="T45" i="169"/>
  <c r="U45" i="169"/>
  <c r="A46" i="169"/>
  <c r="B46" i="169"/>
  <c r="C46" i="169"/>
  <c r="D46" i="169"/>
  <c r="E46" i="169"/>
  <c r="F46" i="169"/>
  <c r="I46" i="169"/>
  <c r="J46" i="169"/>
  <c r="K46" i="169"/>
  <c r="L46" i="169"/>
  <c r="M46" i="169"/>
  <c r="N46" i="169"/>
  <c r="O46" i="169"/>
  <c r="P46" i="169"/>
  <c r="Q46" i="169"/>
  <c r="R46" i="169"/>
  <c r="S46" i="169"/>
  <c r="T46" i="169"/>
  <c r="U46" i="169"/>
  <c r="A47" i="169"/>
  <c r="B47" i="169"/>
  <c r="C47" i="169"/>
  <c r="D47" i="169"/>
  <c r="E47" i="169"/>
  <c r="F47" i="169"/>
  <c r="I47" i="169"/>
  <c r="J47" i="169"/>
  <c r="K47" i="169"/>
  <c r="L47" i="169"/>
  <c r="M47" i="169"/>
  <c r="N47" i="169"/>
  <c r="O47" i="169"/>
  <c r="P47" i="169"/>
  <c r="Q47" i="169"/>
  <c r="R47" i="169"/>
  <c r="S47" i="169"/>
  <c r="T47" i="169"/>
  <c r="U47" i="169"/>
  <c r="A48" i="169"/>
  <c r="B48" i="169"/>
  <c r="C48" i="169"/>
  <c r="D48" i="169"/>
  <c r="E48" i="169"/>
  <c r="F48" i="169"/>
  <c r="I48" i="169"/>
  <c r="J48" i="169"/>
  <c r="K48" i="169"/>
  <c r="L48" i="169"/>
  <c r="M48" i="169"/>
  <c r="N48" i="169"/>
  <c r="O48" i="169"/>
  <c r="P48" i="169"/>
  <c r="Q48" i="169"/>
  <c r="R48" i="169"/>
  <c r="S48" i="169"/>
  <c r="T48" i="169"/>
  <c r="U48" i="169"/>
  <c r="A49" i="169"/>
  <c r="B49" i="169"/>
  <c r="C49" i="169"/>
  <c r="D49" i="169"/>
  <c r="E49" i="169"/>
  <c r="F49" i="169"/>
  <c r="I49" i="169"/>
  <c r="J49" i="169"/>
  <c r="K49" i="169"/>
  <c r="L49" i="169"/>
  <c r="M49" i="169"/>
  <c r="N49" i="169"/>
  <c r="O49" i="169"/>
  <c r="P49" i="169"/>
  <c r="Q49" i="169"/>
  <c r="R49" i="169"/>
  <c r="S49" i="169"/>
  <c r="T49" i="169"/>
  <c r="U49" i="169"/>
  <c r="A50" i="169"/>
  <c r="B50" i="169"/>
  <c r="C50" i="169"/>
  <c r="D50" i="169"/>
  <c r="E50" i="169"/>
  <c r="F50" i="169"/>
  <c r="I50" i="169"/>
  <c r="J50" i="169"/>
  <c r="K50" i="169"/>
  <c r="L50" i="169"/>
  <c r="M50" i="169"/>
  <c r="N50" i="169"/>
  <c r="O50" i="169"/>
  <c r="P50" i="169"/>
  <c r="Q50" i="169"/>
  <c r="R50" i="169"/>
  <c r="S50" i="169"/>
  <c r="T50" i="169"/>
  <c r="U50" i="169"/>
  <c r="A51" i="169"/>
  <c r="B51" i="169"/>
  <c r="C51" i="169"/>
  <c r="D51" i="169"/>
  <c r="E51" i="169"/>
  <c r="F51" i="169"/>
  <c r="I51" i="169"/>
  <c r="J51" i="169"/>
  <c r="K51" i="169"/>
  <c r="L51" i="169"/>
  <c r="M51" i="169"/>
  <c r="N51" i="169"/>
  <c r="O51" i="169"/>
  <c r="P51" i="169"/>
  <c r="Q51" i="169"/>
  <c r="R51" i="169"/>
  <c r="S51" i="169"/>
  <c r="T51" i="169"/>
  <c r="U51" i="169"/>
  <c r="A52" i="169"/>
  <c r="B52" i="169"/>
  <c r="C52" i="169"/>
  <c r="D52" i="169"/>
  <c r="E52" i="169"/>
  <c r="F52" i="169"/>
  <c r="I52" i="169"/>
  <c r="J52" i="169"/>
  <c r="K52" i="169"/>
  <c r="L52" i="169"/>
  <c r="M52" i="169"/>
  <c r="N52" i="169"/>
  <c r="O52" i="169"/>
  <c r="P52" i="169"/>
  <c r="Q52" i="169"/>
  <c r="R52" i="169"/>
  <c r="S52" i="169"/>
  <c r="T52" i="169"/>
  <c r="U52" i="169"/>
  <c r="A53" i="169"/>
  <c r="B53" i="169"/>
  <c r="C53" i="169"/>
  <c r="D53" i="169"/>
  <c r="E53" i="169"/>
  <c r="F53" i="169"/>
  <c r="I53" i="169"/>
  <c r="J53" i="169"/>
  <c r="K53" i="169"/>
  <c r="L53" i="169"/>
  <c r="M53" i="169"/>
  <c r="N53" i="169"/>
  <c r="O53" i="169"/>
  <c r="P53" i="169"/>
  <c r="Q53" i="169"/>
  <c r="R53" i="169"/>
  <c r="S53" i="169"/>
  <c r="T53" i="169"/>
  <c r="U53" i="169"/>
  <c r="A54" i="169"/>
  <c r="B54" i="169"/>
  <c r="C54" i="169"/>
  <c r="D54" i="169"/>
  <c r="E54" i="169"/>
  <c r="F54" i="169"/>
  <c r="I54" i="169"/>
  <c r="J54" i="169"/>
  <c r="K54" i="169"/>
  <c r="L54" i="169"/>
  <c r="M54" i="169"/>
  <c r="N54" i="169"/>
  <c r="O54" i="169"/>
  <c r="P54" i="169"/>
  <c r="Q54" i="169"/>
  <c r="R54" i="169"/>
  <c r="S54" i="169"/>
  <c r="T54" i="169"/>
  <c r="U54" i="169"/>
  <c r="A55" i="169"/>
  <c r="B55" i="169"/>
  <c r="C55" i="169"/>
  <c r="D55" i="169"/>
  <c r="E55" i="169"/>
  <c r="F55" i="169"/>
  <c r="I55" i="169"/>
  <c r="J55" i="169"/>
  <c r="K55" i="169"/>
  <c r="L55" i="169"/>
  <c r="M55" i="169"/>
  <c r="N55" i="169"/>
  <c r="O55" i="169"/>
  <c r="P55" i="169"/>
  <c r="Q55" i="169"/>
  <c r="R55" i="169"/>
  <c r="S55" i="169"/>
  <c r="T55" i="169"/>
  <c r="U55" i="169"/>
  <c r="A56" i="169"/>
  <c r="B56" i="169"/>
  <c r="C56" i="169"/>
  <c r="D56" i="169"/>
  <c r="E56" i="169"/>
  <c r="F56" i="169"/>
  <c r="I56" i="169"/>
  <c r="J56" i="169"/>
  <c r="K56" i="169"/>
  <c r="L56" i="169"/>
  <c r="M56" i="169"/>
  <c r="N56" i="169"/>
  <c r="O56" i="169"/>
  <c r="P56" i="169"/>
  <c r="Q56" i="169"/>
  <c r="R56" i="169"/>
  <c r="S56" i="169"/>
  <c r="T56" i="169"/>
  <c r="U56" i="169"/>
  <c r="A57" i="169"/>
  <c r="B57" i="169"/>
  <c r="C57" i="169"/>
  <c r="D57" i="169"/>
  <c r="E57" i="169"/>
  <c r="F57" i="169"/>
  <c r="I57" i="169"/>
  <c r="J57" i="169"/>
  <c r="K57" i="169"/>
  <c r="L57" i="169"/>
  <c r="M57" i="169"/>
  <c r="N57" i="169"/>
  <c r="O57" i="169"/>
  <c r="P57" i="169"/>
  <c r="Q57" i="169"/>
  <c r="R57" i="169"/>
  <c r="S57" i="169"/>
  <c r="T57" i="169"/>
  <c r="U57" i="169"/>
  <c r="S53" i="158" l="1"/>
  <c r="S41" i="158"/>
  <c r="S39" i="158"/>
  <c r="S13" i="158"/>
  <c r="S12" i="158"/>
  <c r="S11" i="158"/>
  <c r="S10" i="158"/>
  <c r="S9" i="158"/>
  <c r="S8" i="158"/>
  <c r="S6" i="158"/>
  <c r="S4" i="158"/>
  <c r="K17" i="163"/>
  <c r="N16" i="163"/>
  <c r="M16" i="163"/>
  <c r="K15" i="163"/>
  <c r="K13" i="163"/>
  <c r="K12" i="163"/>
  <c r="M15" i="163"/>
  <c r="M14" i="163"/>
  <c r="K14" i="163"/>
  <c r="M13" i="163"/>
  <c r="N13" i="163"/>
  <c r="O13" i="163" s="1"/>
  <c r="P13" i="163" s="1"/>
  <c r="M12" i="163"/>
  <c r="N12" i="163" s="1"/>
  <c r="O12" i="163" s="1"/>
  <c r="P12" i="163" s="1"/>
  <c r="M19" i="163"/>
  <c r="N19" i="163" s="1"/>
  <c r="O19" i="163" s="1"/>
  <c r="P19" i="163" s="1"/>
  <c r="K19" i="163"/>
  <c r="M18" i="163"/>
  <c r="K18" i="163"/>
  <c r="N18" i="163" s="1"/>
  <c r="O18" i="163" s="1"/>
  <c r="P18" i="163" s="1"/>
  <c r="M17" i="163"/>
  <c r="O16" i="163"/>
  <c r="P16" i="163" s="1"/>
  <c r="K11" i="163"/>
  <c r="N10" i="163"/>
  <c r="L9" i="163"/>
  <c r="M9" i="163" s="1"/>
  <c r="K8" i="163"/>
  <c r="K7" i="163"/>
  <c r="K6" i="163"/>
  <c r="K5" i="163"/>
  <c r="N5" i="163" s="1"/>
  <c r="O5" i="163" s="1"/>
  <c r="P5" i="163" s="1"/>
  <c r="M10" i="163"/>
  <c r="K9" i="163"/>
  <c r="M8" i="163"/>
  <c r="N8" i="163"/>
  <c r="O8" i="163" s="1"/>
  <c r="P8" i="163" s="1"/>
  <c r="M7" i="163"/>
  <c r="M6" i="163"/>
  <c r="M5" i="163"/>
  <c r="R49" i="158"/>
  <c r="R48" i="158"/>
  <c r="R47" i="158"/>
  <c r="R45" i="158"/>
  <c r="R43" i="158"/>
  <c r="R42" i="158"/>
  <c r="R41" i="158"/>
  <c r="R40" i="158"/>
  <c r="R38" i="158"/>
  <c r="R37" i="158"/>
  <c r="R26" i="158"/>
  <c r="R24" i="158"/>
  <c r="R22" i="158"/>
  <c r="R20" i="158"/>
  <c r="R19" i="158"/>
  <c r="R18" i="158"/>
  <c r="R17" i="158"/>
  <c r="R36" i="158"/>
  <c r="R35" i="158"/>
  <c r="R34" i="158"/>
  <c r="R33" i="158"/>
  <c r="R32" i="158"/>
  <c r="R31" i="158"/>
  <c r="R30" i="158"/>
  <c r="R29" i="158"/>
  <c r="R28" i="158"/>
  <c r="R27" i="158"/>
  <c r="R25" i="158"/>
  <c r="R23" i="158"/>
  <c r="R16" i="158"/>
  <c r="R15" i="158"/>
  <c r="Q13" i="158"/>
  <c r="Q12" i="158"/>
  <c r="Q11" i="158"/>
  <c r="Q9" i="158"/>
  <c r="Q8" i="158"/>
  <c r="Q7" i="158"/>
  <c r="Q6" i="158"/>
  <c r="Q5" i="158"/>
  <c r="Q4" i="158"/>
  <c r="N17" i="163" l="1"/>
  <c r="O17" i="163" s="1"/>
  <c r="P17" i="163" s="1"/>
  <c r="N15" i="163"/>
  <c r="O15" i="163" s="1"/>
  <c r="P15" i="163" s="1"/>
  <c r="N14" i="163"/>
  <c r="O14" i="163" s="1"/>
  <c r="P14" i="163" s="1"/>
  <c r="O10" i="163"/>
  <c r="P10" i="163" s="1"/>
  <c r="N9" i="163"/>
  <c r="O9" i="163" s="1"/>
  <c r="P9" i="163" s="1"/>
  <c r="N7" i="163"/>
  <c r="O7" i="163" s="1"/>
  <c r="P7" i="163" s="1"/>
  <c r="N6" i="163"/>
  <c r="O6" i="163" s="1"/>
  <c r="P6" i="163" s="1"/>
  <c r="A8" i="169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9" i="169"/>
  <c r="T37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9" i="169"/>
  <c r="N37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61" i="158" l="1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61" i="158" l="1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61" i="158" l="1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21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29" i="163"/>
  <c r="F4" i="167" l="1"/>
  <c r="D4" i="167"/>
  <c r="S39" i="162"/>
  <c r="S40" i="162" s="1"/>
  <c r="K20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J72" i="160"/>
  <c r="T60" i="158"/>
  <c r="W60" i="158" s="1"/>
  <c r="X60" i="158" s="1"/>
  <c r="U60" i="158"/>
  <c r="V60" i="158"/>
  <c r="Y60" i="158"/>
  <c r="U59" i="158"/>
  <c r="Y59" i="158"/>
  <c r="V59" i="158"/>
  <c r="T59" i="158"/>
  <c r="W59" i="158" s="1"/>
  <c r="X59" i="158" s="1"/>
  <c r="J70" i="160"/>
  <c r="U58" i="158"/>
  <c r="Y58" i="158"/>
  <c r="V58" i="158"/>
  <c r="T58" i="158"/>
  <c r="W58" i="158" s="1"/>
  <c r="X58" i="158" s="1"/>
  <c r="U57" i="158"/>
  <c r="Y57" i="158"/>
  <c r="V57" i="158"/>
  <c r="T57" i="158"/>
  <c r="W57" i="158" s="1"/>
  <c r="X57" i="158" s="1"/>
  <c r="U56" i="158"/>
  <c r="Y56" i="158"/>
  <c r="V56" i="158"/>
  <c r="T56" i="158"/>
  <c r="W56" i="158" s="1"/>
  <c r="X56" i="158" s="1"/>
  <c r="J67" i="160"/>
  <c r="U55" i="158"/>
  <c r="Y55" i="158"/>
  <c r="V55" i="158"/>
  <c r="T55" i="158"/>
  <c r="W55" i="158" s="1"/>
  <c r="X55" i="158" s="1"/>
  <c r="F58" i="159"/>
  <c r="U54" i="158"/>
  <c r="Y54" i="158"/>
  <c r="V54" i="158"/>
  <c r="T54" i="158"/>
  <c r="W54" i="158" s="1"/>
  <c r="X54" i="158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M72" i="160" l="1"/>
  <c r="H58" i="159"/>
  <c r="J58" i="159" s="1"/>
  <c r="M70" i="160"/>
  <c r="M67" i="160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A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24" i="163"/>
  <c r="K24" i="163"/>
  <c r="M23" i="163"/>
  <c r="K23" i="163"/>
  <c r="N23" i="163" s="1"/>
  <c r="O23" i="163" s="1"/>
  <c r="P23" i="163" s="1"/>
  <c r="M22" i="163"/>
  <c r="K22" i="163"/>
  <c r="M21" i="163"/>
  <c r="M20" i="163"/>
  <c r="M11" i="163"/>
  <c r="N21" i="163" l="1"/>
  <c r="O21" i="163" s="1"/>
  <c r="P21" i="163" s="1"/>
  <c r="N11" i="163"/>
  <c r="O11" i="163" s="1"/>
  <c r="P11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22" i="163"/>
  <c r="O22" i="163" s="1"/>
  <c r="P22" i="163" s="1"/>
  <c r="N20" i="163"/>
  <c r="O20" i="163" s="1"/>
  <c r="P20" i="163" s="1"/>
  <c r="N24" i="163"/>
  <c r="O24" i="163" s="1"/>
  <c r="P24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H50" i="158"/>
  <c r="K62" i="160" s="1"/>
  <c r="I50" i="158"/>
  <c r="E51" i="158"/>
  <c r="I63" i="160" s="1"/>
  <c r="F51" i="158"/>
  <c r="H63" i="160" s="1"/>
  <c r="G51" i="158"/>
  <c r="H51" i="158"/>
  <c r="K63" i="160" s="1"/>
  <c r="I51" i="158"/>
  <c r="E52" i="158"/>
  <c r="I64" i="160" s="1"/>
  <c r="F52" i="158"/>
  <c r="H64" i="160" s="1"/>
  <c r="G52" i="158"/>
  <c r="H52" i="158"/>
  <c r="K64" i="160" s="1"/>
  <c r="I52" i="158"/>
  <c r="E53" i="158"/>
  <c r="I65" i="160" s="1"/>
  <c r="F53" i="158"/>
  <c r="H65" i="160" s="1"/>
  <c r="G53" i="158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65" i="160" l="1"/>
  <c r="U53" i="158"/>
  <c r="Y53" i="158"/>
  <c r="V53" i="158"/>
  <c r="T53" i="158"/>
  <c r="W53" i="158" s="1"/>
  <c r="X53" i="158" s="1"/>
  <c r="J64" i="160"/>
  <c r="U52" i="158"/>
  <c r="Y52" i="158"/>
  <c r="V52" i="158"/>
  <c r="T52" i="158"/>
  <c r="W52" i="158" s="1"/>
  <c r="X52" i="158" s="1"/>
  <c r="J63" i="160"/>
  <c r="U51" i="158"/>
  <c r="Y51" i="158"/>
  <c r="V51" i="158"/>
  <c r="T51" i="158"/>
  <c r="W51" i="158" s="1"/>
  <c r="X51" i="158" s="1"/>
  <c r="J62" i="160"/>
  <c r="U50" i="158"/>
  <c r="Y50" i="158"/>
  <c r="V50" i="158"/>
  <c r="T50" i="158"/>
  <c r="W50" i="158" s="1"/>
  <c r="X50" i="158" s="1"/>
  <c r="J61" i="160"/>
  <c r="U49" i="158"/>
  <c r="V49" i="158"/>
  <c r="Y49" i="158"/>
  <c r="T49" i="158"/>
  <c r="W49" i="158" s="1"/>
  <c r="X49" i="158" s="1"/>
  <c r="J60" i="160"/>
  <c r="U48" i="158"/>
  <c r="V48" i="158"/>
  <c r="Y48" i="158"/>
  <c r="T48" i="158"/>
  <c r="W48" i="158" s="1"/>
  <c r="X48" i="158" s="1"/>
  <c r="J59" i="160"/>
  <c r="U47" i="158"/>
  <c r="Y47" i="158"/>
  <c r="V47" i="158"/>
  <c r="T47" i="158"/>
  <c r="W47" i="158" s="1"/>
  <c r="X47" i="158" s="1"/>
  <c r="J58" i="160"/>
  <c r="U46" i="158"/>
  <c r="Y46" i="158"/>
  <c r="V46" i="158"/>
  <c r="T46" i="158"/>
  <c r="W46" i="158" s="1"/>
  <c r="X46" i="158" s="1"/>
  <c r="J57" i="160"/>
  <c r="U45" i="158"/>
  <c r="V45" i="158"/>
  <c r="Y45" i="158"/>
  <c r="T45" i="158"/>
  <c r="W45" i="158" s="1"/>
  <c r="X45" i="158" s="1"/>
  <c r="J56" i="160"/>
  <c r="U44" i="158"/>
  <c r="V44" i="158"/>
  <c r="Y44" i="158"/>
  <c r="T44" i="158"/>
  <c r="W44" i="158" s="1"/>
  <c r="X44" i="158" s="1"/>
  <c r="J55" i="160"/>
  <c r="U43" i="158"/>
  <c r="Y43" i="158"/>
  <c r="V43" i="158"/>
  <c r="T43" i="158"/>
  <c r="W43" i="158" s="1"/>
  <c r="X43" i="158" s="1"/>
  <c r="J54" i="160"/>
  <c r="U42" i="158"/>
  <c r="Y42" i="158"/>
  <c r="V42" i="158"/>
  <c r="T42" i="158"/>
  <c r="W42" i="158" s="1"/>
  <c r="X42" i="158" s="1"/>
  <c r="J53" i="160"/>
  <c r="U41" i="158"/>
  <c r="Y41" i="158"/>
  <c r="V41" i="158"/>
  <c r="T41" i="158"/>
  <c r="W41" i="158" s="1"/>
  <c r="X41" i="158" s="1"/>
  <c r="U16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L42" i="158"/>
  <c r="M42" i="158" s="1"/>
  <c r="P46" i="159" s="1"/>
  <c r="Q46" i="159" s="1"/>
  <c r="R46" i="159" s="1"/>
  <c r="S46" i="159" s="1"/>
  <c r="L54" i="160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L53" i="158"/>
  <c r="M53" i="158" s="1"/>
  <c r="P57" i="159" s="1"/>
  <c r="L65" i="160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L40" i="158"/>
  <c r="M40" i="158" s="1"/>
  <c r="P44" i="159" s="1"/>
  <c r="Q44" i="159" s="1"/>
  <c r="L52" i="160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37" i="160" l="1"/>
  <c r="T31" i="169"/>
  <c r="N31" i="169"/>
  <c r="T28" i="169"/>
  <c r="N28" i="169"/>
  <c r="T18" i="169"/>
  <c r="N18" i="169"/>
  <c r="T21" i="169"/>
  <c r="N21" i="169"/>
  <c r="T26" i="169"/>
  <c r="N26" i="169"/>
  <c r="T29" i="169"/>
  <c r="N29" i="169"/>
  <c r="T34" i="169"/>
  <c r="N34" i="169"/>
  <c r="T20" i="169"/>
  <c r="N20" i="169"/>
  <c r="T13" i="169"/>
  <c r="N13" i="169"/>
  <c r="T15" i="169"/>
  <c r="N15" i="169"/>
  <c r="T36" i="169"/>
  <c r="N36" i="169"/>
  <c r="T24" i="169"/>
  <c r="N24" i="169"/>
  <c r="T23" i="169"/>
  <c r="N23" i="169"/>
  <c r="T16" i="169"/>
  <c r="N16" i="169"/>
  <c r="T27" i="169"/>
  <c r="N27" i="169"/>
  <c r="T32" i="169"/>
  <c r="N32" i="169"/>
  <c r="T35" i="169"/>
  <c r="N35" i="169"/>
  <c r="T17" i="169"/>
  <c r="N17" i="169"/>
  <c r="T22" i="169"/>
  <c r="N22" i="169"/>
  <c r="T30" i="169"/>
  <c r="N30" i="169"/>
  <c r="T14" i="169"/>
  <c r="N14" i="169"/>
  <c r="T33" i="169"/>
  <c r="N33" i="169"/>
  <c r="T38" i="169"/>
  <c r="N38" i="169"/>
  <c r="T25" i="169"/>
  <c r="N25" i="169"/>
  <c r="M45" i="160"/>
  <c r="M47" i="160"/>
  <c r="M58" i="160"/>
  <c r="M52" i="160"/>
  <c r="M40" i="160"/>
  <c r="M34" i="160"/>
  <c r="M60" i="160"/>
  <c r="AH34" i="159"/>
  <c r="AH45" i="159"/>
  <c r="M50" i="160"/>
  <c r="M41" i="160"/>
  <c r="M35" i="160"/>
  <c r="AH22" i="159"/>
  <c r="AH30" i="159"/>
  <c r="M65" i="160"/>
  <c r="M54" i="160"/>
  <c r="AH8" i="159"/>
  <c r="M62" i="160"/>
  <c r="AH55" i="159"/>
  <c r="AH23" i="159"/>
  <c r="AH39" i="159"/>
  <c r="M25" i="160"/>
  <c r="M59" i="160"/>
  <c r="AH57" i="159"/>
  <c r="AH56" i="159"/>
  <c r="AH54" i="159"/>
  <c r="AH53" i="159"/>
  <c r="AH52" i="159"/>
  <c r="AH51" i="159"/>
  <c r="AH50" i="159"/>
  <c r="AH49" i="159"/>
  <c r="M57" i="160"/>
  <c r="AH48" i="159"/>
  <c r="AH47" i="159"/>
  <c r="AH46" i="159"/>
  <c r="M53" i="160"/>
  <c r="AH44" i="159"/>
  <c r="AH43" i="159"/>
  <c r="M51" i="160"/>
  <c r="AH42" i="159"/>
  <c r="AH41" i="159"/>
  <c r="AH40" i="159"/>
  <c r="AH38" i="159"/>
  <c r="AH37" i="159"/>
  <c r="AH36" i="159"/>
  <c r="AH35" i="159"/>
  <c r="AH33" i="159"/>
  <c r="AH32" i="159"/>
  <c r="AH31" i="159"/>
  <c r="AH29" i="159"/>
  <c r="AH28" i="159"/>
  <c r="AH27" i="159"/>
  <c r="AH26" i="159"/>
  <c r="AH25" i="159"/>
  <c r="AH24" i="159"/>
  <c r="M31" i="160"/>
  <c r="AH21" i="159"/>
  <c r="AH20" i="159"/>
  <c r="AH19" i="159"/>
  <c r="AH18" i="159"/>
  <c r="M26" i="160"/>
  <c r="AH17" i="159"/>
  <c r="AH16" i="159"/>
  <c r="AH15" i="159"/>
  <c r="AH14" i="159"/>
  <c r="AH13" i="159"/>
  <c r="AH12" i="159"/>
  <c r="AH11" i="159"/>
  <c r="AH10" i="159"/>
  <c r="AH9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S81" i="159" s="1"/>
  <c r="T18" i="159"/>
  <c r="U18" i="159" s="1"/>
  <c r="V18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R81" i="159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<sst xmlns="http://schemas.openxmlformats.org/spreadsheetml/2006/main" count="2279" uniqueCount="561">
  <si>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</si>
  <si>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</si>
  <si>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</si>
  <si>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</si>
  <si>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</si>
  <si>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</si>
  <si>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</si>
  <si>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</si>
  <si>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</si>
  <si>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</si>
  <si>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</si>
  <si>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</si>
  <si>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</si>
  <si>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</si>
  <si>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</si>
  <si>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</si>
  <si>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</si>
  <si>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</si>
  <si>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</si>
  <si>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</si>
  <si>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</si>
  <si>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</si>
  <si>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</si>
  <si>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</si>
  <si>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</si>
  <si>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</si>
  <si>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</si>
  <si>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</si>
  <si>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</si>
  <si>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</si>
  <si>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</si>
  <si>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</si>
  <si>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</si>
  <si>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</si>
  <si>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</si>
  <si>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</si>
  <si>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</si>
  <si>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</si>
  <si>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</si>
  <si>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</si>
  <si>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</si>
  <si>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</si>
  <si>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</si>
  <si>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</si>
  <si>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</si>
  <si>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</si>
  <si>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</si>
  <si>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</si>
  <si>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</si>
  <si>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</si>
  <si>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</si>
  <si>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</si>
  <si>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</si>
  <si>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</si>
  <si>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</si>
  <si>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</si>
  <si>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</si>
  <si>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</si>
  <si>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</si>
  <si>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</si>
  <si>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</si>
  <si>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</si>
  <si>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</si>
  <si>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</si>
  <si>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</si>
  <si>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</si>
  <si>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</si>
  <si>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</si>
  <si>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</si>
  <si>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</si>
  <si>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</si>
  <si>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</si>
  <si>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</si>
  <si>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</si>
  <si>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</si>
  <si>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</si>
  <si>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</si>
  <si>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</si>
  <si>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</si>
  <si>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</si>
  <si>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</si>
  <si>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</si>
  <si>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</si>
  <si>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</si>
  <si>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</si>
  <si>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</si>
  <si>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</si>
  <si>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</si>
  <si>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</si>
  <si>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</si>
  <si>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</si>
  <si>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</si>
  <si>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</si>
  <si>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</si>
  <si>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</si>
  <si>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</si>
  <si>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</si>
  <si>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</si>
  <si>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</si>
  <si>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</si>
  <si>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</si>
  <si>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</si>
  <si>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</si>
  <si>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</si>
  <si>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</si>
  <si>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</si>
  <si>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</si>
  <si>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</si>
  <si>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</si>
  <si>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</si>
  <si>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</si>
  <si>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</si>
  <si>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</si>
  <si>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</si>
  <si>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</si>
  <si>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</si>
  <si>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</si>
  <si>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</si>
  <si>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</si>
  <si>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</si>
  <si>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</si>
  <si>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</si>
  <si>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</si>
  <si>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</si>
  <si>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</si>
  <si>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</si>
  <si>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</si>
  <si>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</si>
  <si>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</si>
  <si>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</si>
  <si>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</si>
  <si>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</si>
  <si>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</si>
  <si>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</si>
  <si>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</si>
  <si>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</si>
  <si>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</si>
  <si>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</si>
  <si>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</si>
  <si>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</si>
  <si>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</si>
  <si>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</si>
  <si>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</si>
  <si>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</si>
  <si>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</si>
  <si>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</si>
  <si>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</si>
  <si>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</si>
  <si>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</si>
  <si>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</si>
  <si>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</si>
  <si>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</si>
  <si>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</si>
  <si>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</si>
  <si>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</si>
  <si>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</si>
  <si>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</si>
  <si>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</si>
  <si>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</si>
  <si>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</si>
  <si>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</si>
  <si>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</si>
  <si>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</si>
  <si>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</si>
  <si>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</si>
  <si>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</si>
  <si>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</si>
  <si>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</si>
  <si>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</si>
  <si>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</si>
  <si>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</si>
  <si>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</si>
  <si>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</si>
  <si>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</si>
  <si>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</si>
  <si>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</si>
  <si>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</si>
  <si>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</si>
  <si>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</si>
  <si>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</si>
  <si>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</si>
  <si>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</si>
  <si>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</si>
  <si>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</si>
  <si>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</si>
  <si>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</si>
  <si>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</si>
  <si>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</si>
  <si>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</si>
  <si>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</si>
  <si>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</si>
  <si>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</si>
  <si>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</si>
  <si>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</si>
  <si>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</si>
  <si>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</si>
  <si>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</si>
  <si>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</si>
  <si>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</si>
  <si>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</si>
  <si>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</si>
  <si>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</si>
  <si>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</si>
  <si>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</si>
  <si>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</si>
  <si>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</si>
  <si>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</si>
  <si>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</si>
  <si>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</si>
  <si>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</si>
  <si>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</si>
  <si>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</si>
  <si>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</si>
  <si>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</si>
  <si>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</si>
  <si>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</si>
  <si>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</si>
  <si>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</si>
  <si>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</si>
  <si>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</si>
  <si>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</si>
  <si>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</si>
  <si>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</si>
  <si>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</si>
  <si>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</si>
  <si>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</si>
  <si>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</si>
  <si>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</si>
  <si>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</si>
  <si>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</si>
  <si>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</si>
  <si>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</si>
  <si>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</si>
  <si>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</si>
  <si>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</si>
  <si>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</si>
  <si>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</si>
  <si>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</si>
  <si>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</si>
  <si>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</si>
  <si>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</si>
  <si>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</si>
  <si>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</si>
  <si>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</si>
  <si>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</si>
  <si>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</si>
  <si>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</si>
  <si>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</si>
  <si>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</si>
  <si>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</si>
  <si>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</si>
  <si>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</si>
  <si>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</si>
  <si>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</si>
  <si>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</si>
  <si>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</si>
  <si>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</si>
  <si>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</si>
  <si>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</si>
  <si>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</si>
  <si>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</si>
  <si>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</si>
  <si>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</si>
  <si>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</si>
  <si>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</si>
  <si>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</si>
  <si>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</si>
  <si>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</si>
  <si>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</si>
  <si>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</si>
  <si>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</si>
  <si>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</si>
  <si>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</si>
  <si>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</si>
  <si>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</si>
  <si>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</si>
  <si>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</si>
  <si>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</si>
  <si>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</si>
  <si>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</si>
  <si>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</si>
  <si>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</si>
  <si>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</si>
  <si>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</si>
  <si>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</si>
  <si>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</si>
  <si>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</si>
  <si>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</si>
  <si>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</si>
  <si>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</si>
  <si>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</si>
  <si>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</si>
  <si>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</si>
  <si>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</si>
  <si>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</si>
  <si>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</si>
  <si>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</si>
  <si>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</si>
  <si>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</si>
  <si>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</si>
  <si>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</si>
  <si>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</si>
  <si>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</si>
  <si>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</si>
  <si>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</si>
  <si>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</si>
  <si>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</si>
  <si>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</si>
  <si>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</si>
  <si>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</si>
  <si>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</si>
  <si>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</si>
  <si>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</si>
  <si>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</si>
  <si>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</si>
  <si>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</si>
  <si>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</si>
  <si>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</si>
  <si>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</si>
  <si>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</si>
  <si>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</si>
  <si>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</si>
  <si>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</si>
  <si>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</si>
  <si>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</si>
  <si>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</si>
  <si>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</si>
  <si>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</si>
  <si>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</si>
  <si>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</si>
  <si>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</si>
  <si>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</si>
  <si>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</si>
  <si>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</si>
  <si>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</si>
  <si>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</si>
  <si>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</si>
  <si>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</si>
  <si>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</si>
  <si>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</si>
  <si>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</si>
  <si>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</si>
  <si>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</si>
  <si>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</si>
  <si>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</si>
  <si>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</si>
  <si>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</si>
  <si>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</si>
  <si>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</si>
  <si>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</si>
  <si>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</si>
  <si>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</si>
  <si>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</si>
  <si>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</si>
  <si>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</si>
  <si>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</si>
  <si>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</si>
  <si>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</si>
  <si>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</si>
  <si>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</si>
  <si>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</si>
  <si>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</si>
  <si>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</si>
  <si>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</si>
  <si>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</si>
  <si>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</si>
  <si>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</si>
  <si>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</si>
  <si>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</si>
  <si>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</si>
  <si>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</si>
  <si>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</si>
  <si>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</si>
  <si>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</si>
  <si>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</si>
  <si>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</si>
  <si>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</si>
  <si>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</si>
  <si>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</si>
  <si>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</si>
  <si>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</si>
  <si>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</si>
  <si>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</si>
  <si>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</si>
  <si>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</si>
  <si>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</si>
  <si>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</si>
  <si>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</si>
  <si>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</si>
  <si>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</si>
  <si>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</si>
  <si>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</si>
  <si>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</si>
  <si>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</si>
  <si>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</si>
  <si>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</si>
  <si>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</si>
  <si>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</si>
  <si>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</si>
  <si>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</si>
  <si>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</si>
  <si>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</si>
  <si>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</si>
  <si>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</si>
  <si>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</si>
  <si>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</si>
  <si>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</si>
  <si>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</si>
  <si>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</si>
  <si>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</si>
  <si>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</si>
  <si>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</si>
  <si>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</si>
  <si>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</si>
  <si>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</si>
  <si>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</si>
  <si>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</si>
  <si>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</si>
  <si>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</si>
  <si>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Mr. Peeyush Jain</t>
  </si>
  <si>
    <t>Bangalore</t>
  </si>
  <si>
    <t>Wood Effect</t>
  </si>
  <si>
    <t>SW1</t>
  </si>
  <si>
    <t>M14600</t>
  </si>
  <si>
    <t>3 TRACK 2 SHUTTER SLIDING WINDOW</t>
  </si>
  <si>
    <t>3 TRACK 2 SHUTTER SLIDING DOOR</t>
  </si>
  <si>
    <t>SS</t>
  </si>
  <si>
    <t>DINING</t>
  </si>
  <si>
    <t>SW2</t>
  </si>
  <si>
    <t>UTILITY</t>
  </si>
  <si>
    <t>SW3</t>
  </si>
  <si>
    <t>3 TRACK 2 SHUTTER SLIDING DOOR WITH BOTH ENDS FIXED</t>
  </si>
  <si>
    <t>GRANDMOTHER ROOM</t>
  </si>
  <si>
    <t>SW4</t>
  </si>
  <si>
    <t>3 TRACK 2 SHUTTER SLIDING WINDOW WITH BOTH ENDS FIXED</t>
  </si>
  <si>
    <t>NA</t>
  </si>
  <si>
    <t>SD1</t>
  </si>
  <si>
    <t>FORMAL LIVING ROOM</t>
  </si>
  <si>
    <t>SD2</t>
  </si>
  <si>
    <t>VARIES</t>
  </si>
  <si>
    <t>M7</t>
  </si>
  <si>
    <t>CURTAIN WALL WITH SHAPE</t>
  </si>
  <si>
    <t>NO</t>
  </si>
  <si>
    <t>HOME THEATER</t>
  </si>
  <si>
    <t>SD3 PART 2</t>
  </si>
  <si>
    <t>SD3 PART 1</t>
  </si>
  <si>
    <t>SD4</t>
  </si>
  <si>
    <t>COVERED TERRACE</t>
  </si>
  <si>
    <t>SD5</t>
  </si>
  <si>
    <t>W1</t>
  </si>
  <si>
    <t>M15000</t>
  </si>
  <si>
    <t>FIXED GLASS</t>
  </si>
  <si>
    <t>STAIRCASE LANDING</t>
  </si>
  <si>
    <t>W2</t>
  </si>
  <si>
    <t>SIDE HUNG WINDOW</t>
  </si>
  <si>
    <t>RETRACTABLE</t>
  </si>
  <si>
    <t>STAIRCASE PASSAGE</t>
  </si>
  <si>
    <t>W3</t>
  </si>
  <si>
    <t>FRENCH CASEMENT WINDOW</t>
  </si>
  <si>
    <t>NORMATHAS OFFICE</t>
  </si>
  <si>
    <t>W4</t>
  </si>
  <si>
    <t>CORRIDOR 2</t>
  </si>
  <si>
    <t>W5</t>
  </si>
  <si>
    <t>FRENCH CASEMENT WINDOW WITH FIXED GLASS</t>
  </si>
  <si>
    <t>KITCHEN</t>
  </si>
  <si>
    <t>W6</t>
  </si>
  <si>
    <t>GUEST ROOM</t>
  </si>
  <si>
    <t>W7</t>
  </si>
  <si>
    <t>2 SIDE HUNG WINDOWS WITH CENTER FIXED</t>
  </si>
  <si>
    <t>W8</t>
  </si>
  <si>
    <t>FIXED GLASS 4 NO'S</t>
  </si>
  <si>
    <t>PEEYUSH JAIN'S OFFICE</t>
  </si>
  <si>
    <t>W9</t>
  </si>
  <si>
    <t>FIXED GLASS 3 NO'S WITH DOOR</t>
  </si>
  <si>
    <t>W10</t>
  </si>
  <si>
    <t>2 FRENCH CASEMENT WINDOW</t>
  </si>
  <si>
    <t>FAMILY ROOM</t>
  </si>
  <si>
    <t>W11</t>
  </si>
  <si>
    <t>FRNCH CASEMENT WINDOW WITH FIXED GALSS</t>
  </si>
  <si>
    <t>SUITE BEDROOM</t>
  </si>
  <si>
    <t>W12</t>
  </si>
  <si>
    <t>W13</t>
  </si>
  <si>
    <t>W14</t>
  </si>
  <si>
    <t>FRENCH CASEMENT WINDWO</t>
  </si>
  <si>
    <t>V1</t>
  </si>
  <si>
    <t>-</t>
  </si>
  <si>
    <t>GLASS LOUVERS</t>
  </si>
  <si>
    <t>6MM (A)</t>
  </si>
  <si>
    <t>WORK STATION</t>
  </si>
  <si>
    <t>V1A</t>
  </si>
  <si>
    <t>SERVANTS WC</t>
  </si>
  <si>
    <t>V2</t>
  </si>
  <si>
    <t>V3</t>
  </si>
  <si>
    <t>V4</t>
  </si>
  <si>
    <t>6MM</t>
  </si>
  <si>
    <t>2 SIDE HUNG WINDOWS WITH CENTER FIXED GLASS TO GLASS JOINT</t>
  </si>
  <si>
    <t>V5</t>
  </si>
  <si>
    <t>V6</t>
  </si>
  <si>
    <t>V7</t>
  </si>
  <si>
    <t>V8</t>
  </si>
  <si>
    <t>STORE</t>
  </si>
  <si>
    <t>CW1</t>
  </si>
  <si>
    <t>2 SIDE HUNG WINDOWS WITH CENTER FIXED 2 NO'S</t>
  </si>
  <si>
    <t>POOJA ROOM</t>
  </si>
  <si>
    <t>CW2</t>
  </si>
  <si>
    <t>FRENCH WINDOW WITH SIDE HUNG AND CENTER FIXED</t>
  </si>
  <si>
    <t>STUDY ROOM</t>
  </si>
  <si>
    <t>CW3</t>
  </si>
  <si>
    <t>FIXED GLASS 11 NO'S</t>
  </si>
  <si>
    <t>LIVING DOUBLE HEIGHT</t>
  </si>
  <si>
    <t>W15</t>
  </si>
  <si>
    <t>2 FRENCH CASEMENT WINDOW WITH 7 FIXED</t>
  </si>
  <si>
    <t>CORRIDOR</t>
  </si>
  <si>
    <t>W16</t>
  </si>
  <si>
    <t>M7 &amp; M15000</t>
  </si>
  <si>
    <t>CURTAIN WALL WITH SHAPE WITH FRENCH DOOR AND SINGLE DOOR</t>
  </si>
  <si>
    <t>W17</t>
  </si>
  <si>
    <t>4 FRENCH WINDOWS</t>
  </si>
  <si>
    <t>GYM</t>
  </si>
  <si>
    <t>W18</t>
  </si>
  <si>
    <t>2 FRENCH WINDOWS WITH CENTER FIXED</t>
  </si>
  <si>
    <t>W19</t>
  </si>
  <si>
    <t>W20</t>
  </si>
  <si>
    <t>SIDE HUNG WINDOW WITH 2 FIXED</t>
  </si>
  <si>
    <t>FIXED GLASS 3 NO'S</t>
  </si>
  <si>
    <t>SFD1</t>
  </si>
  <si>
    <t>M9800</t>
  </si>
  <si>
    <t>SLIDE &amp; FOLD WITH 3 LEAFS</t>
  </si>
  <si>
    <t>LIVING ROOM</t>
  </si>
  <si>
    <t>SFD2</t>
  </si>
  <si>
    <t>SLIDE &amp; FOLD WITH 5 LEAFS</t>
  </si>
  <si>
    <t>DINING ROOM</t>
  </si>
  <si>
    <t>SFD3</t>
  </si>
  <si>
    <t>GUEST BEDROOM</t>
  </si>
  <si>
    <t>D1</t>
  </si>
  <si>
    <t>SIDE HUNG DOOR</t>
  </si>
  <si>
    <t>D2</t>
  </si>
  <si>
    <t>D3</t>
  </si>
  <si>
    <t>DW1</t>
  </si>
  <si>
    <t>M15000 &amp; M14600</t>
  </si>
  <si>
    <t>3 TRACK 2 SHUTTER SLIDING DOOR WITH SINGLE DOOR AND TOP FIXED</t>
  </si>
  <si>
    <t>ELECTRICAL ROOM</t>
  </si>
  <si>
    <t>MD</t>
  </si>
  <si>
    <t>SIDE HUNG DOOR WITH 3 FIXED</t>
  </si>
  <si>
    <t>ENTRANCE DOOR</t>
  </si>
  <si>
    <t>PD1</t>
  </si>
  <si>
    <t>POCKET DOOR</t>
  </si>
  <si>
    <t>PD2</t>
  </si>
  <si>
    <t>PD3</t>
  </si>
  <si>
    <t>PD4</t>
  </si>
  <si>
    <t>PD5</t>
  </si>
  <si>
    <t>6mm :- 6mm Clear Toughened Glass</t>
  </si>
  <si>
    <t>6mm (A) :- 6mm Clear Anealed Glass</t>
  </si>
  <si>
    <t>50X5</t>
  </si>
  <si>
    <t>80X40X3</t>
  </si>
  <si>
    <t>BRACKETS</t>
  </si>
  <si>
    <t>40 X 40 X 4</t>
  </si>
  <si>
    <t>20 X 40 X 4</t>
  </si>
  <si>
    <t>Transportation is extra as actuals.</t>
  </si>
  <si>
    <t>Glass to Glass Silicon Joint</t>
  </si>
  <si>
    <t>ABPL-DE-19.20-2115-OP-2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</si>
</sst>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5" fillId="0" borderId="0"/>
    <xf numFmtId="199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9" fontId="15" fillId="0" borderId="0" applyFill="0" applyBorder="0" applyAlignment="0" applyProtection="0"/>
    <xf numFmtId="166" fontId="15" fillId="0" borderId="0" applyFont="0" applyFill="0" applyBorder="0" applyAlignment="0" applyProtection="0"/>
    <xf numFmtId="199" fontId="23" fillId="0" borderId="0"/>
    <xf numFmtId="199" fontId="14" fillId="0" borderId="0"/>
    <xf numFmtId="199" fontId="24" fillId="0" borderId="0"/>
    <xf numFmtId="166" fontId="24" fillId="0" borderId="0" applyFont="0" applyFill="0" applyBorder="0" applyAlignment="0" applyProtection="0"/>
    <xf numFmtId="199" fontId="15" fillId="0" borderId="0"/>
    <xf numFmtId="199" fontId="14" fillId="0" borderId="0"/>
    <xf numFmtId="199" fontId="14" fillId="0" borderId="0"/>
    <xf numFmtId="199" fontId="2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4" fillId="0" borderId="0"/>
    <xf numFmtId="199" fontId="13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199" fontId="26" fillId="0" borderId="0"/>
    <xf numFmtId="199" fontId="24" fillId="0" borderId="0"/>
    <xf numFmtId="199" fontId="24" fillId="0" borderId="0"/>
    <xf numFmtId="199" fontId="13" fillId="0" borderId="0"/>
    <xf numFmtId="199" fontId="1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3" fillId="0" borderId="0" applyFont="0" applyFill="0" applyBorder="0" applyAlignment="0" applyProtection="0"/>
    <xf numFmtId="199" fontId="12" fillId="0" borderId="0"/>
    <xf numFmtId="166" fontId="27" fillId="0" borderId="0" applyFont="0" applyFill="0" applyBorder="0" applyAlignment="0" applyProtection="0"/>
    <xf numFmtId="199" fontId="15" fillId="0" borderId="0"/>
    <xf numFmtId="172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99" fontId="31" fillId="0" borderId="0"/>
    <xf numFmtId="199" fontId="32" fillId="0" borderId="0"/>
    <xf numFmtId="199" fontId="15" fillId="0" borderId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99" fontId="39" fillId="0" borderId="0" applyNumberFormat="0" applyFill="0" applyBorder="0" applyAlignment="0" applyProtection="0"/>
    <xf numFmtId="174" fontId="40" fillId="0" borderId="0" applyFill="0" applyBorder="0" applyAlignment="0"/>
    <xf numFmtId="199" fontId="41" fillId="0" borderId="0"/>
    <xf numFmtId="199" fontId="42" fillId="0" borderId="0">
      <alignment vertical="center"/>
    </xf>
    <xf numFmtId="167" fontId="15" fillId="0" borderId="0" applyFill="0" applyBorder="0" applyAlignment="0" applyProtection="0"/>
    <xf numFmtId="166" fontId="24" fillId="0" borderId="0" applyFont="0" applyFill="0" applyBorder="0" applyAlignment="0" applyProtection="0"/>
    <xf numFmtId="175" fontId="43" fillId="0" borderId="0">
      <protection locked="0"/>
    </xf>
    <xf numFmtId="199" fontId="44" fillId="0" borderId="0" applyNumberFormat="0" applyAlignment="0">
      <alignment horizontal="left"/>
    </xf>
    <xf numFmtId="176" fontId="45" fillId="10" borderId="0" applyFill="0">
      <alignment horizontal="left" vertical="top"/>
      <protection locked="0"/>
    </xf>
    <xf numFmtId="177" fontId="15" fillId="0" borderId="0">
      <alignment horizontal="center"/>
    </xf>
    <xf numFmtId="178" fontId="43" fillId="0" borderId="0">
      <protection locked="0"/>
    </xf>
    <xf numFmtId="199" fontId="43" fillId="0" borderId="0">
      <protection locked="0"/>
    </xf>
    <xf numFmtId="179" fontId="46" fillId="0" borderId="0" applyFont="0" applyFill="0" applyBorder="0">
      <alignment horizontal="left" vertical="top" wrapText="1"/>
      <protection locked="0"/>
    </xf>
    <xf numFmtId="199" fontId="47" fillId="0" borderId="0" applyNumberFormat="0" applyAlignment="0">
      <alignment horizontal="left"/>
    </xf>
    <xf numFmtId="199" fontId="4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0" fontId="15" fillId="0" borderId="0">
      <protection locked="0"/>
    </xf>
    <xf numFmtId="181" fontId="43" fillId="0" borderId="0">
      <protection locked="0"/>
    </xf>
    <xf numFmtId="182" fontId="46" fillId="0" borderId="0" applyFont="0">
      <alignment horizontal="left"/>
      <protection locked="0"/>
    </xf>
    <xf numFmtId="38" fontId="49" fillId="9" borderId="0" applyNumberFormat="0" applyBorder="0" applyAlignment="0" applyProtection="0"/>
    <xf numFmtId="176" fontId="50" fillId="0" borderId="0">
      <alignment horizontal="left"/>
    </xf>
    <xf numFmtId="199" fontId="28" fillId="0" borderId="27" applyNumberFormat="0" applyAlignment="0" applyProtection="0">
      <alignment horizontal="left" vertical="center"/>
    </xf>
    <xf numFmtId="199" fontId="28" fillId="0" borderId="2">
      <alignment horizontal="left" vertical="center"/>
    </xf>
    <xf numFmtId="180" fontId="15" fillId="0" borderId="0">
      <protection locked="0"/>
    </xf>
    <xf numFmtId="180" fontId="15" fillId="0" borderId="0">
      <protection locked="0"/>
    </xf>
    <xf numFmtId="10" fontId="49" fillId="9" borderId="1" applyNumberFormat="0" applyBorder="0" applyAlignment="0" applyProtection="0"/>
    <xf numFmtId="176" fontId="46" fillId="0" borderId="0" applyFont="0">
      <alignment horizontal="left"/>
    </xf>
    <xf numFmtId="176" fontId="46" fillId="0" borderId="0" applyFont="0" applyFill="0" applyBorder="0">
      <alignment horizontal="left"/>
    </xf>
    <xf numFmtId="40" fontId="49" fillId="0" borderId="0" applyFont="0">
      <protection locked="0"/>
    </xf>
    <xf numFmtId="176" fontId="46" fillId="0" borderId="0" applyFont="0" applyFill="0" applyBorder="0">
      <alignment horizontal="left"/>
    </xf>
    <xf numFmtId="176" fontId="46" fillId="0" borderId="0" applyFont="0" applyFill="0" applyBorder="0">
      <alignment horizontal="left"/>
    </xf>
    <xf numFmtId="183" fontId="15" fillId="0" borderId="0"/>
    <xf numFmtId="179" fontId="51" fillId="0" borderId="0">
      <alignment horizontal="left" vertical="top"/>
      <protection locked="0"/>
    </xf>
    <xf numFmtId="179" fontId="49" fillId="0" borderId="0" applyFont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6" fontId="46" fillId="0" borderId="0" applyFont="0" applyFill="0" applyBorder="0">
      <alignment horizontal="left"/>
    </xf>
    <xf numFmtId="199" fontId="52" fillId="0" borderId="25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76" fontId="46" fillId="0" borderId="0" applyFont="0">
      <alignment horizontal="left"/>
    </xf>
    <xf numFmtId="188" fontId="53" fillId="0" borderId="0"/>
    <xf numFmtId="199" fontId="15" fillId="0" borderId="0"/>
    <xf numFmtId="199" fontId="27" fillId="0" borderId="0"/>
    <xf numFmtId="199" fontId="15" fillId="0" borderId="0"/>
    <xf numFmtId="182" fontId="49" fillId="0" borderId="0" applyFont="0">
      <protection locked="0"/>
    </xf>
    <xf numFmtId="189" fontId="15" fillId="0" borderId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0" fontId="46" fillId="0" borderId="0" applyFont="0">
      <protection locked="0"/>
    </xf>
    <xf numFmtId="40" fontId="50" fillId="0" borderId="0" applyFont="0">
      <protection locked="0"/>
    </xf>
    <xf numFmtId="190" fontId="54" fillId="0" borderId="0" applyNumberFormat="0" applyFill="0" applyBorder="0" applyAlignment="0" applyProtection="0">
      <alignment horizontal="left"/>
    </xf>
    <xf numFmtId="179" fontId="55" fillId="0" borderId="0" applyFont="0">
      <alignment horizontal="left"/>
    </xf>
    <xf numFmtId="191" fontId="15" fillId="0" borderId="0" applyFont="0" applyFill="0" applyBorder="0" applyAlignment="0" applyProtection="0"/>
    <xf numFmtId="179" fontId="56" fillId="0" borderId="0">
      <alignment horizontal="right" vertical="top"/>
      <protection locked="0"/>
    </xf>
    <xf numFmtId="199" fontId="52" fillId="0" borderId="0"/>
    <xf numFmtId="199" fontId="57" fillId="0" borderId="0" applyNumberFormat="0" applyProtection="0">
      <alignment wrapText="1"/>
      <protection locked="0"/>
    </xf>
    <xf numFmtId="192" fontId="58" fillId="0" borderId="28">
      <alignment vertical="center"/>
    </xf>
    <xf numFmtId="179" fontId="46" fillId="0" borderId="0" applyFont="0">
      <protection locked="0"/>
    </xf>
    <xf numFmtId="179" fontId="46" fillId="0" borderId="0" applyFill="0" applyProtection="0">
      <protection locked="0"/>
    </xf>
    <xf numFmtId="176" fontId="56" fillId="11" borderId="0" applyNumberFormat="0" applyAlignment="0">
      <alignment horizontal="left" vertical="top"/>
    </xf>
    <xf numFmtId="40" fontId="25" fillId="0" borderId="0"/>
    <xf numFmtId="176" fontId="59" fillId="0" borderId="26" applyNumberFormat="0" applyFill="0" applyProtection="0">
      <alignment horizontal="center"/>
    </xf>
    <xf numFmtId="179" fontId="50" fillId="0" borderId="0"/>
    <xf numFmtId="193" fontId="46" fillId="0" borderId="0" applyFill="0">
      <alignment horizontal="center"/>
    </xf>
    <xf numFmtId="179" fontId="46" fillId="0" borderId="0" applyFont="0">
      <alignment horizontal="center"/>
      <protection locked="0"/>
    </xf>
    <xf numFmtId="188" fontId="51" fillId="0" borderId="1">
      <alignment horizontal="center" vertical="center"/>
    </xf>
    <xf numFmtId="184" fontId="15" fillId="0" borderId="0" applyFont="0" applyFill="0" applyBorder="0" applyAlignment="0" applyProtection="0"/>
    <xf numFmtId="40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99" fontId="61" fillId="0" borderId="0"/>
    <xf numFmtId="173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99" fontId="11" fillId="0" borderId="0"/>
    <xf numFmtId="199" fontId="27" fillId="0" borderId="0"/>
    <xf numFmtId="199" fontId="27" fillId="0" borderId="0"/>
    <xf numFmtId="199" fontId="10" fillId="0" borderId="0"/>
    <xf numFmtId="199" fontId="9" fillId="0" borderId="0"/>
    <xf numFmtId="9" fontId="9" fillId="0" borderId="0" applyFont="0" applyFill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2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3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4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6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7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29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30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5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28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27" fillId="31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32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29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0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5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6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7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8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3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4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7" fillId="39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8" fillId="23" borderId="0" applyNumberFormat="0" applyBorder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79" fillId="40" borderId="64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99" fontId="80" fillId="41" borderId="65" applyNumberFormat="0" applyAlignment="0" applyProtection="0"/>
    <xf numFmtId="166" fontId="15" fillId="0" borderId="0" applyFont="0" applyFill="0" applyBorder="0" applyAlignment="0" applyProtection="0"/>
    <xf numFmtId="199" fontId="15" fillId="0" borderId="0" applyFill="0" applyBorder="0" applyAlignment="0" applyProtection="0"/>
    <xf numFmtId="169" fontId="15" fillId="0" borderId="0" applyFill="0" applyBorder="0" applyAlignment="0" applyProtection="0"/>
    <xf numFmtId="199" fontId="9" fillId="0" borderId="0" applyProtection="0">
      <alignment horizontal="center" vertical="center"/>
    </xf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9" fontId="81" fillId="0" borderId="0" applyNumberFormat="0" applyFill="0" applyBorder="0" applyAlignment="0" applyProtection="0"/>
    <xf numFmtId="198" fontId="9" fillId="2" borderId="0">
      <alignment horizontal="left" vertical="center" indent="1"/>
    </xf>
    <xf numFmtId="199" fontId="82" fillId="24" borderId="0" applyNumberFormat="0" applyBorder="0" applyAlignment="0" applyProtection="0"/>
    <xf numFmtId="199" fontId="68" fillId="12" borderId="0" applyNumberFormat="0" applyBorder="0" applyAlignment="0" applyProtection="0"/>
    <xf numFmtId="199" fontId="82" fillId="24" borderId="0" applyNumberFormat="0" applyBorder="0" applyAlignment="0" applyProtection="0"/>
    <xf numFmtId="199" fontId="82" fillId="24" borderId="0" applyNumberFormat="0" applyBorder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3" fillId="0" borderId="66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4" fillId="0" borderId="67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68" applyNumberFormat="0" applyFill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5" fillId="0" borderId="0" applyNumberFormat="0" applyFill="0" applyBorder="0" applyAlignment="0" applyProtection="0"/>
    <xf numFmtId="199" fontId="86" fillId="0" borderId="0" applyNumberFormat="0" applyFill="0" applyBorder="0" applyAlignment="0" applyProtection="0">
      <alignment vertical="top"/>
      <protection locked="0"/>
    </xf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7" fillId="27" borderId="64" applyNumberFormat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8" fillId="0" borderId="69" applyNumberFormat="0" applyFill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89" fillId="42" borderId="0" applyNumberFormat="0" applyBorder="0" applyAlignment="0" applyProtection="0"/>
    <xf numFmtId="199" fontId="90" fillId="0" borderId="0"/>
    <xf numFmtId="199" fontId="9" fillId="0" borderId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15" fillId="43" borderId="70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99" fontId="91" fillId="40" borderId="71" applyNumberFormat="0" applyAlignment="0" applyProtection="0"/>
    <xf numFmtId="164" fontId="9" fillId="0" borderId="0" applyProtection="0">
      <alignment horizontal="right" vertical="center" indent="1"/>
    </xf>
    <xf numFmtId="199" fontId="9" fillId="0" borderId="0" applyProtection="0">
      <alignment horizontal="left" vertical="center" wrapText="1" indent="1"/>
    </xf>
    <xf numFmtId="199" fontId="9" fillId="0" borderId="0" applyProtection="0">
      <alignment horizontal="right" vertical="center" indent="1"/>
    </xf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3" fillId="0" borderId="72" applyNumberFormat="0" applyFill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99" fontId="94" fillId="0" borderId="0" applyNumberFormat="0" applyFill="0" applyBorder="0" applyAlignment="0" applyProtection="0"/>
    <xf numFmtId="166" fontId="100" fillId="0" borderId="0" applyFont="0" applyFill="0" applyBorder="0" applyAlignment="0" applyProtection="0"/>
    <xf numFmtId="199" fontId="8" fillId="0" borderId="0"/>
    <xf numFmtId="199" fontId="8" fillId="0" borderId="0"/>
    <xf numFmtId="199" fontId="102" fillId="0" borderId="0" applyNumberFormat="0" applyFill="0" applyBorder="0" applyAlignment="0" applyProtection="0"/>
    <xf numFmtId="199" fontId="24" fillId="0" borderId="0"/>
    <xf numFmtId="199" fontId="8" fillId="0" borderId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99" fontId="15" fillId="0" borderId="0">
      <alignment vertical="center"/>
    </xf>
    <xf numFmtId="199" fontId="103" fillId="0" borderId="0"/>
    <xf numFmtId="19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99" fontId="15" fillId="0" borderId="0"/>
    <xf numFmtId="199" fontId="8" fillId="0" borderId="0"/>
    <xf numFmtId="43" fontId="8" fillId="0" borderId="0" applyFont="0" applyFill="0" applyBorder="0" applyAlignment="0" applyProtection="0"/>
    <xf numFmtId="199" fontId="26" fillId="0" borderId="0"/>
    <xf numFmtId="199" fontId="24" fillId="0" borderId="0"/>
    <xf numFmtId="199" fontId="24" fillId="0" borderId="0"/>
    <xf numFmtId="199" fontId="8" fillId="0" borderId="0"/>
    <xf numFmtId="199" fontId="104" fillId="0" borderId="0"/>
    <xf numFmtId="199" fontId="86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9" fontId="15" fillId="0" borderId="0"/>
    <xf numFmtId="43" fontId="15" fillId="0" borderId="0" applyFont="0" applyFill="0" applyBorder="0" applyAlignment="0" applyProtection="0"/>
    <xf numFmtId="199" fontId="8" fillId="0" borderId="0"/>
    <xf numFmtId="19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199" fontId="8" fillId="0" borderId="0"/>
    <xf numFmtId="199" fontId="15" fillId="0" borderId="0">
      <alignment vertical="center"/>
    </xf>
    <xf numFmtId="199" fontId="15" fillId="0" borderId="0"/>
    <xf numFmtId="9" fontId="15" fillId="0" borderId="0" applyFont="0" applyFill="0" applyBorder="0" applyAlignment="0" applyProtection="0"/>
    <xf numFmtId="199" fontId="8" fillId="0" borderId="0"/>
    <xf numFmtId="43" fontId="24" fillId="0" borderId="0" applyFont="0" applyFill="0" applyBorder="0" applyAlignment="0" applyProtection="0"/>
    <xf numFmtId="0" fontId="6" fillId="0" borderId="0"/>
    <xf numFmtId="9" fontId="10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" fillId="0" borderId="0"/>
  </cellStyleXfs>
  <cellXfs count="557">
    <xf numFmtId="199" fontId="0" fillId="0" borderId="0" xfId="0"/>
    <xf numFmtId="199" fontId="17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9" fillId="4" borderId="10" xfId="4" applyNumberFormat="1" applyFont="1" applyFill="1" applyBorder="1" applyAlignment="1">
      <alignment horizontal="center" vertical="center"/>
    </xf>
    <xf numFmtId="199" fontId="19" fillId="4" borderId="10" xfId="0" applyFont="1" applyFill="1" applyBorder="1" applyAlignment="1">
      <alignment horizontal="center" vertical="center"/>
    </xf>
    <xf numFmtId="166" fontId="19" fillId="2" borderId="18" xfId="4" applyNumberFormat="1" applyFont="1" applyFill="1" applyBorder="1" applyAlignment="1">
      <alignment vertical="center"/>
    </xf>
    <xf numFmtId="166" fontId="20" fillId="2" borderId="18" xfId="4" applyNumberFormat="1" applyFont="1" applyFill="1" applyBorder="1" applyAlignment="1">
      <alignment vertical="center"/>
    </xf>
    <xf numFmtId="166" fontId="20" fillId="2" borderId="9" xfId="4" applyNumberFormat="1" applyFont="1" applyFill="1" applyBorder="1" applyAlignment="1">
      <alignment horizontal="center" vertical="center"/>
    </xf>
    <xf numFmtId="168" fontId="20" fillId="4" borderId="1" xfId="4" applyNumberFormat="1" applyFont="1" applyFill="1" applyBorder="1" applyAlignment="1">
      <alignment horizontal="center" vertical="center"/>
    </xf>
    <xf numFmtId="166" fontId="20" fillId="4" borderId="1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horizontal="center" vertical="center"/>
    </xf>
    <xf numFmtId="166" fontId="20" fillId="2" borderId="0" xfId="4" applyNumberFormat="1" applyFont="1" applyFill="1" applyBorder="1" applyAlignment="1">
      <alignment vertical="center"/>
    </xf>
    <xf numFmtId="166" fontId="20" fillId="2" borderId="14" xfId="4" applyNumberFormat="1" applyFont="1" applyFill="1" applyBorder="1" applyAlignment="1">
      <alignment horizontal="center" vertical="center"/>
    </xf>
    <xf numFmtId="199" fontId="20" fillId="2" borderId="3" xfId="0" applyFont="1" applyFill="1" applyBorder="1" applyAlignment="1">
      <alignment vertical="center"/>
    </xf>
    <xf numFmtId="199" fontId="21" fillId="5" borderId="20" xfId="0" applyFont="1" applyFill="1" applyBorder="1" applyAlignment="1">
      <alignment horizontal="center" vertical="center"/>
    </xf>
    <xf numFmtId="199" fontId="21" fillId="5" borderId="1" xfId="0" applyFont="1" applyFill="1" applyBorder="1" applyAlignment="1">
      <alignment horizontal="center" vertical="center"/>
    </xf>
    <xf numFmtId="166" fontId="21" fillId="5" borderId="1" xfId="4" applyNumberFormat="1" applyFont="1" applyFill="1" applyBorder="1" applyAlignment="1">
      <alignment horizontal="center" vertical="center"/>
    </xf>
    <xf numFmtId="166" fontId="21" fillId="5" borderId="1" xfId="7" applyFont="1" applyFill="1" applyBorder="1" applyAlignment="1">
      <alignment horizontal="center" vertical="center"/>
    </xf>
    <xf numFmtId="166" fontId="21" fillId="5" borderId="21" xfId="7" applyFont="1" applyFill="1" applyBorder="1" applyAlignment="1">
      <alignment horizontal="center" vertical="center"/>
    </xf>
    <xf numFmtId="199" fontId="17" fillId="6" borderId="20" xfId="0" applyFont="1" applyFill="1" applyBorder="1" applyAlignment="1">
      <alignment horizontal="center" vertical="center"/>
    </xf>
    <xf numFmtId="199" fontId="17" fillId="6" borderId="1" xfId="0" applyFont="1" applyFill="1" applyBorder="1" applyAlignment="1">
      <alignment horizontal="left" vertical="center"/>
    </xf>
    <xf numFmtId="199" fontId="17" fillId="6" borderId="1" xfId="0" applyFont="1" applyFill="1" applyBorder="1" applyAlignment="1">
      <alignment horizontal="center" vertical="center"/>
    </xf>
    <xf numFmtId="199" fontId="20" fillId="2" borderId="20" xfId="0" applyFont="1" applyFill="1" applyBorder="1" applyAlignment="1">
      <alignment horizontal="center" vertical="center"/>
    </xf>
    <xf numFmtId="199" fontId="17" fillId="2" borderId="1" xfId="0" applyFont="1" applyFill="1" applyBorder="1" applyAlignment="1">
      <alignment horizontal="left" vertical="center"/>
    </xf>
    <xf numFmtId="199" fontId="20" fillId="2" borderId="1" xfId="0" applyFont="1" applyFill="1" applyBorder="1" applyAlignment="1">
      <alignment horizontal="center" vertical="center"/>
    </xf>
    <xf numFmtId="199" fontId="20" fillId="2" borderId="7" xfId="0" applyFont="1" applyFill="1" applyBorder="1" applyAlignment="1">
      <alignment horizontal="center" vertical="center"/>
    </xf>
    <xf numFmtId="168" fontId="20" fillId="2" borderId="7" xfId="4" applyNumberFormat="1" applyFont="1" applyFill="1" applyBorder="1" applyAlignment="1">
      <alignment horizontal="center" vertical="center"/>
    </xf>
    <xf numFmtId="166" fontId="20" fillId="2" borderId="1" xfId="4" applyNumberFormat="1" applyFont="1" applyFill="1" applyBorder="1" applyAlignment="1">
      <alignment horizontal="center" vertical="center"/>
    </xf>
    <xf numFmtId="1" fontId="18" fillId="3" borderId="21" xfId="0" applyNumberFormat="1" applyFont="1" applyFill="1" applyBorder="1" applyAlignment="1">
      <alignment horizontal="center" vertical="center"/>
    </xf>
    <xf numFmtId="9" fontId="22" fillId="4" borderId="1" xfId="0" applyNumberFormat="1" applyFont="1" applyFill="1" applyBorder="1" applyAlignment="1">
      <alignment vertical="center"/>
    </xf>
    <xf numFmtId="199" fontId="22" fillId="4" borderId="23" xfId="0" applyFont="1" applyFill="1" applyBorder="1" applyAlignment="1">
      <alignment vertical="center"/>
    </xf>
    <xf numFmtId="199" fontId="22" fillId="4" borderId="24" xfId="0" applyFont="1" applyFill="1" applyBorder="1" applyAlignment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" fontId="18" fillId="6" borderId="21" xfId="0" applyNumberFormat="1" applyFont="1" applyFill="1" applyBorder="1" applyAlignment="1">
      <alignment horizontal="right" vertical="center"/>
    </xf>
    <xf numFmtId="1" fontId="18" fillId="2" borderId="2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7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7" fillId="8" borderId="1" xfId="0" applyFont="1" applyFill="1" applyBorder="1" applyAlignment="1">
      <alignment horizontal="left" vertical="center"/>
    </xf>
    <xf numFmtId="199" fontId="17" fillId="8" borderId="1" xfId="0" applyFont="1" applyFill="1" applyBorder="1" applyAlignment="1">
      <alignment horizontal="center" vertical="center"/>
    </xf>
    <xf numFmtId="1" fontId="18" fillId="8" borderId="21" xfId="0" applyNumberFormat="1" applyFont="1" applyFill="1" applyBorder="1" applyAlignment="1">
      <alignment horizontal="right" vertical="center"/>
    </xf>
    <xf numFmtId="199" fontId="20" fillId="2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right" vertical="center"/>
    </xf>
    <xf numFmtId="199" fontId="27" fillId="0" borderId="0" xfId="130"/>
    <xf numFmtId="199" fontId="62" fillId="9" borderId="0" xfId="129" applyFont="1" applyFill="1" applyBorder="1" applyProtection="1"/>
    <xf numFmtId="199" fontId="70" fillId="2" borderId="0" xfId="132" applyFont="1" applyFill="1"/>
    <xf numFmtId="199" fontId="70" fillId="2" borderId="0" xfId="132" applyFont="1" applyFill="1" applyAlignment="1">
      <alignment horizontal="center"/>
    </xf>
    <xf numFmtId="10" fontId="71" fillId="14" borderId="11" xfId="132" applyNumberFormat="1" applyFont="1" applyFill="1" applyBorder="1" applyAlignment="1">
      <alignment horizontal="center"/>
    </xf>
    <xf numFmtId="9" fontId="71" fillId="14" borderId="11" xfId="132" applyNumberFormat="1" applyFont="1" applyFill="1" applyBorder="1" applyAlignment="1">
      <alignment horizontal="center"/>
    </xf>
    <xf numFmtId="195" fontId="71" fillId="14" borderId="11" xfId="132" applyNumberFormat="1" applyFont="1" applyFill="1" applyBorder="1" applyAlignment="1">
      <alignment horizontal="center"/>
    </xf>
    <xf numFmtId="199" fontId="71" fillId="2" borderId="47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/>
    </xf>
    <xf numFmtId="199" fontId="71" fillId="2" borderId="48" xfId="132" applyFont="1" applyFill="1" applyBorder="1" applyAlignment="1">
      <alignment horizontal="center" vertical="center" wrapText="1"/>
    </xf>
    <xf numFmtId="199" fontId="71" fillId="2" borderId="48" xfId="132" applyFont="1" applyFill="1" applyBorder="1" applyAlignment="1">
      <alignment horizontal="left" vertical="center"/>
    </xf>
    <xf numFmtId="10" fontId="71" fillId="2" borderId="48" xfId="132" applyNumberFormat="1" applyFont="1" applyFill="1" applyBorder="1" applyAlignment="1">
      <alignment horizontal="center"/>
    </xf>
    <xf numFmtId="9" fontId="71" fillId="2" borderId="48" xfId="132" applyNumberFormat="1" applyFont="1" applyFill="1" applyBorder="1" applyAlignment="1">
      <alignment horizontal="center"/>
    </xf>
    <xf numFmtId="9" fontId="71" fillId="2" borderId="48" xfId="133" applyFont="1" applyFill="1" applyBorder="1" applyAlignment="1">
      <alignment horizontal="center"/>
    </xf>
    <xf numFmtId="199" fontId="72" fillId="2" borderId="48" xfId="132" applyFont="1" applyFill="1" applyBorder="1" applyAlignment="1">
      <alignment horizontal="center" vertical="center"/>
    </xf>
    <xf numFmtId="199" fontId="71" fillId="16" borderId="45" xfId="132" applyFont="1" applyFill="1" applyBorder="1" applyAlignment="1">
      <alignment horizontal="center" vertical="center"/>
    </xf>
    <xf numFmtId="199" fontId="71" fillId="16" borderId="44" xfId="132" applyFont="1" applyFill="1" applyBorder="1" applyAlignment="1">
      <alignment horizontal="center" vertical="center"/>
    </xf>
    <xf numFmtId="199" fontId="71" fillId="2" borderId="49" xfId="132" applyFont="1" applyFill="1" applyBorder="1" applyAlignment="1">
      <alignment horizontal="center" vertical="center" wrapText="1"/>
    </xf>
    <xf numFmtId="199" fontId="71" fillId="2" borderId="13" xfId="132" applyFont="1" applyFill="1" applyBorder="1" applyAlignment="1">
      <alignment horizontal="center" vertical="center" wrapText="1"/>
    </xf>
    <xf numFmtId="199" fontId="71" fillId="2" borderId="14" xfId="132" applyFont="1" applyFill="1" applyBorder="1" applyAlignment="1">
      <alignment horizontal="center" vertical="center" wrapText="1"/>
    </xf>
    <xf numFmtId="199" fontId="70" fillId="2" borderId="50" xfId="132" applyFont="1" applyFill="1" applyBorder="1"/>
    <xf numFmtId="196" fontId="15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6" fontId="15" fillId="20" borderId="53" xfId="12" applyNumberFormat="1" applyFont="1" applyFill="1" applyBorder="1" applyAlignment="1">
      <alignment horizontal="center" vertical="center" wrapText="1"/>
    </xf>
    <xf numFmtId="194" fontId="74" fillId="15" borderId="54" xfId="132" applyNumberFormat="1" applyFont="1" applyFill="1" applyBorder="1" applyAlignment="1">
      <alignment horizontal="center"/>
    </xf>
    <xf numFmtId="2" fontId="73" fillId="15" borderId="54" xfId="132" applyNumberFormat="1" applyFont="1" applyFill="1" applyBorder="1" applyAlignment="1">
      <alignment horizontal="center"/>
    </xf>
    <xf numFmtId="197" fontId="15" fillId="20" borderId="53" xfId="12" applyNumberFormat="1" applyFont="1" applyFill="1" applyBorder="1" applyAlignment="1">
      <alignment horizontal="left" vertical="center" wrapText="1"/>
    </xf>
    <xf numFmtId="2" fontId="75" fillId="15" borderId="54" xfId="132" applyNumberFormat="1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99" fontId="75" fillId="15" borderId="54" xfId="132" applyFont="1" applyFill="1" applyBorder="1" applyAlignment="1">
      <alignment horizontal="center"/>
    </xf>
    <xf numFmtId="1" fontId="75" fillId="15" borderId="54" xfId="132" applyNumberFormat="1" applyFont="1" applyFill="1" applyBorder="1" applyAlignment="1">
      <alignment horizontal="center"/>
    </xf>
    <xf numFmtId="2" fontId="73" fillId="15" borderId="55" xfId="132" applyNumberFormat="1" applyFont="1" applyFill="1" applyBorder="1" applyAlignment="1">
      <alignment horizontal="center"/>
    </xf>
    <xf numFmtId="195" fontId="70" fillId="15" borderId="0" xfId="133" applyNumberFormat="1" applyFont="1" applyFill="1" applyAlignment="1">
      <alignment horizontal="center" vertical="center"/>
    </xf>
    <xf numFmtId="2" fontId="72" fillId="15" borderId="35" xfId="132" applyNumberFormat="1" applyFont="1" applyFill="1" applyBorder="1" applyAlignment="1">
      <alignment horizontal="center"/>
    </xf>
    <xf numFmtId="2" fontId="74" fillId="15" borderId="56" xfId="132" applyNumberFormat="1" applyFont="1" applyFill="1" applyBorder="1" applyAlignment="1">
      <alignment horizontal="center"/>
    </xf>
    <xf numFmtId="199" fontId="70" fillId="15" borderId="0" xfId="132" applyFont="1" applyFill="1" applyAlignment="1">
      <alignment horizontal="center"/>
    </xf>
    <xf numFmtId="2" fontId="70" fillId="15" borderId="42" xfId="132" applyNumberFormat="1" applyFont="1" applyFill="1" applyBorder="1" applyAlignment="1">
      <alignment horizontal="center"/>
    </xf>
    <xf numFmtId="2" fontId="70" fillId="2" borderId="0" xfId="132" applyNumberFormat="1" applyFont="1" applyFill="1"/>
    <xf numFmtId="199" fontId="70" fillId="2" borderId="0" xfId="132" applyFont="1" applyFill="1" applyBorder="1"/>
    <xf numFmtId="194" fontId="70" fillId="2" borderId="0" xfId="132" applyNumberFormat="1" applyFont="1" applyFill="1"/>
    <xf numFmtId="2" fontId="71" fillId="7" borderId="61" xfId="132" applyNumberFormat="1" applyFont="1" applyFill="1" applyBorder="1" applyAlignment="1">
      <alignment horizontal="center" vertical="center"/>
    </xf>
    <xf numFmtId="2" fontId="71" fillId="14" borderId="61" xfId="132" applyNumberFormat="1" applyFont="1" applyFill="1" applyBorder="1" applyAlignment="1">
      <alignment horizontal="center" vertical="center"/>
    </xf>
    <xf numFmtId="194" fontId="71" fillId="7" borderId="61" xfId="132" applyNumberFormat="1" applyFont="1" applyFill="1" applyBorder="1" applyAlignment="1">
      <alignment horizontal="center" vertical="center"/>
    </xf>
    <xf numFmtId="199" fontId="70" fillId="14" borderId="61" xfId="132" applyFont="1" applyFill="1" applyBorder="1" applyAlignment="1">
      <alignment horizontal="center"/>
    </xf>
    <xf numFmtId="2" fontId="70" fillId="14" borderId="63" xfId="132" applyNumberFormat="1" applyFont="1" applyFill="1" applyBorder="1" applyAlignment="1">
      <alignment horizontal="center"/>
    </xf>
    <xf numFmtId="195" fontId="70" fillId="2" borderId="0" xfId="132" applyNumberFormat="1" applyFont="1" applyFill="1" applyAlignment="1">
      <alignment horizontal="center"/>
    </xf>
    <xf numFmtId="199" fontId="96" fillId="2" borderId="0" xfId="132" applyFont="1" applyFill="1" applyAlignment="1">
      <alignment vertical="center"/>
    </xf>
    <xf numFmtId="199" fontId="96" fillId="2" borderId="0" xfId="132" applyFont="1" applyFill="1" applyAlignment="1">
      <alignment horizontal="left" vertical="center"/>
    </xf>
    <xf numFmtId="2" fontId="96" fillId="2" borderId="0" xfId="132" applyNumberFormat="1" applyFont="1" applyFill="1" applyAlignment="1">
      <alignment horizontal="left" vertical="center"/>
    </xf>
    <xf numFmtId="1" fontId="96" fillId="2" borderId="0" xfId="132" applyNumberFormat="1" applyFont="1" applyFill="1" applyAlignment="1">
      <alignment vertical="center"/>
    </xf>
    <xf numFmtId="199" fontId="96" fillId="2" borderId="0" xfId="132" applyFont="1" applyFill="1" applyAlignment="1">
      <alignment horizontal="center" vertical="center"/>
    </xf>
    <xf numFmtId="199" fontId="96" fillId="0" borderId="0" xfId="132" applyFont="1" applyAlignment="1">
      <alignment vertical="center"/>
    </xf>
    <xf numFmtId="199" fontId="96" fillId="0" borderId="0" xfId="132" applyFont="1" applyAlignment="1">
      <alignment horizontal="center" vertical="center"/>
    </xf>
    <xf numFmtId="2" fontId="74" fillId="15" borderId="85" xfId="132" applyNumberFormat="1" applyFont="1" applyFill="1" applyBorder="1" applyAlignment="1">
      <alignment horizontal="center"/>
    </xf>
    <xf numFmtId="3" fontId="76" fillId="45" borderId="54" xfId="132" applyNumberFormat="1" applyFont="1" applyFill="1" applyBorder="1" applyAlignment="1">
      <alignment horizontal="center"/>
    </xf>
    <xf numFmtId="199" fontId="66" fillId="0" borderId="86" xfId="129" applyFont="1" applyFill="1" applyBorder="1" applyAlignment="1" applyProtection="1">
      <alignment horizontal="center" vertical="center"/>
    </xf>
    <xf numFmtId="1" fontId="67" fillId="0" borderId="86" xfId="36" applyNumberFormat="1" applyFont="1" applyFill="1" applyBorder="1" applyAlignment="1">
      <alignment horizontal="center" vertical="center"/>
    </xf>
    <xf numFmtId="199" fontId="27" fillId="0" borderId="0" xfId="130" applyBorder="1"/>
    <xf numFmtId="199" fontId="8" fillId="0" borderId="86" xfId="270" applyBorder="1" applyAlignment="1">
      <alignment horizontal="center" vertical="center"/>
    </xf>
    <xf numFmtId="9" fontId="8" fillId="0" borderId="86" xfId="270" applyNumberFormat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2" fontId="8" fillId="16" borderId="86" xfId="270" applyNumberFormat="1" applyFill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2" fontId="8" fillId="47" borderId="86" xfId="270" applyNumberFormat="1" applyFill="1" applyBorder="1" applyAlignment="1">
      <alignment horizontal="center" vertical="center"/>
    </xf>
    <xf numFmtId="199" fontId="8" fillId="47" borderId="86" xfId="270" applyFill="1" applyBorder="1" applyAlignment="1">
      <alignment horizontal="center" vertical="center"/>
    </xf>
    <xf numFmtId="1" fontId="62" fillId="9" borderId="0" xfId="129" applyNumberFormat="1" applyFont="1" applyFill="1" applyBorder="1" applyProtection="1"/>
    <xf numFmtId="1" fontId="62" fillId="0" borderId="89" xfId="129" applyNumberFormat="1" applyFont="1" applyFill="1" applyBorder="1" applyAlignment="1" applyProtection="1">
      <alignment horizontal="center" vertical="center"/>
    </xf>
    <xf numFmtId="1" fontId="27" fillId="0" borderId="0" xfId="130" applyNumberFormat="1"/>
    <xf numFmtId="1" fontId="66" fillId="0" borderId="86" xfId="129" applyNumberFormat="1" applyFont="1" applyFill="1" applyBorder="1" applyAlignment="1" applyProtection="1">
      <alignment horizontal="center" vertical="center"/>
    </xf>
    <xf numFmtId="1" fontId="67" fillId="0" borderId="86" xfId="129" applyNumberFormat="1" applyFont="1" applyFill="1" applyBorder="1" applyAlignment="1">
      <alignment horizontal="center" vertical="center" wrapText="1"/>
    </xf>
    <xf numFmtId="1" fontId="66" fillId="0" borderId="5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/>
    </xf>
    <xf numFmtId="1" fontId="67" fillId="0" borderId="5" xfId="129" applyNumberFormat="1" applyFont="1" applyFill="1" applyBorder="1" applyAlignment="1">
      <alignment horizontal="center" vertical="center" wrapText="1"/>
    </xf>
    <xf numFmtId="1" fontId="66" fillId="0" borderId="86" xfId="129" applyNumberFormat="1" applyFont="1" applyFill="1" applyBorder="1" applyAlignment="1" applyProtection="1">
      <alignment horizontal="center" vertical="center" wrapText="1"/>
    </xf>
    <xf numFmtId="1" fontId="62" fillId="0" borderId="86" xfId="129" applyNumberFormat="1" applyFont="1" applyFill="1" applyBorder="1" applyAlignment="1" applyProtection="1">
      <alignment horizontal="center" vertical="center" wrapText="1"/>
    </xf>
    <xf numFmtId="1" fontId="96" fillId="0" borderId="0" xfId="132" applyNumberFormat="1" applyFont="1" applyAlignment="1">
      <alignment vertical="center"/>
    </xf>
    <xf numFmtId="2" fontId="67" fillId="0" borderId="91" xfId="36" applyNumberFormat="1" applyFont="1" applyFill="1" applyBorder="1" applyAlignment="1">
      <alignment horizontal="center" vertical="center" wrapText="1"/>
    </xf>
    <xf numFmtId="199" fontId="8" fillId="0" borderId="86" xfId="270" applyBorder="1" applyAlignment="1">
      <alignment horizontal="center" vertical="center"/>
    </xf>
    <xf numFmtId="199" fontId="66" fillId="0" borderId="5" xfId="129" applyFont="1" applyFill="1" applyBorder="1" applyAlignment="1" applyProtection="1">
      <alignment horizontal="center" vertical="center" wrapText="1"/>
    </xf>
    <xf numFmtId="199" fontId="7" fillId="0" borderId="86" xfId="270" applyFont="1" applyBorder="1" applyAlignment="1">
      <alignment horizontal="center" vertical="center"/>
    </xf>
    <xf numFmtId="1" fontId="71" fillId="16" borderId="43" xfId="132" applyNumberFormat="1" applyFont="1" applyFill="1" applyBorder="1" applyAlignment="1">
      <alignment horizontal="center" vertical="center"/>
    </xf>
    <xf numFmtId="3" fontId="76" fillId="0" borderId="54" xfId="132" applyNumberFormat="1" applyFont="1" applyFill="1" applyBorder="1" applyAlignment="1">
      <alignment horizontal="center"/>
    </xf>
    <xf numFmtId="1" fontId="73" fillId="15" borderId="51" xfId="132" applyNumberFormat="1" applyFont="1" applyFill="1" applyBorder="1" applyAlignment="1">
      <alignment horizontal="center"/>
    </xf>
    <xf numFmtId="1" fontId="74" fillId="15" borderId="52" xfId="132" applyNumberFormat="1" applyFont="1" applyFill="1" applyBorder="1" applyAlignment="1">
      <alignment horizontal="center" vertical="center" wrapText="1"/>
    </xf>
    <xf numFmtId="1" fontId="40" fillId="8" borderId="53" xfId="12" applyNumberFormat="1" applyFont="1" applyFill="1" applyBorder="1" applyAlignment="1">
      <alignment horizontal="center" vertical="center" wrapText="1"/>
    </xf>
    <xf numFmtId="1" fontId="74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2" fontId="96" fillId="4" borderId="0" xfId="132" applyNumberFormat="1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199" fontId="97" fillId="4" borderId="0" xfId="132" applyFont="1" applyFill="1" applyAlignment="1">
      <alignment vertical="center"/>
    </xf>
    <xf numFmtId="0" fontId="6" fillId="0" borderId="0" xfId="307"/>
    <xf numFmtId="0" fontId="6" fillId="0" borderId="86" xfId="307" applyBorder="1" applyAlignment="1">
      <alignment horizontal="center" vertical="center" wrapText="1"/>
    </xf>
    <xf numFmtId="2" fontId="6" fillId="0" borderId="0" xfId="307" applyNumberFormat="1"/>
    <xf numFmtId="199" fontId="71" fillId="14" borderId="1" xfId="132" applyFont="1" applyFill="1" applyBorder="1" applyAlignment="1">
      <alignment horizontal="center" vertical="center"/>
    </xf>
    <xf numFmtId="199" fontId="71" fillId="14" borderId="1" xfId="132" applyFont="1" applyFill="1" applyBorder="1" applyAlignment="1">
      <alignment horizontal="center" vertical="center" wrapText="1"/>
    </xf>
    <xf numFmtId="199" fontId="71" fillId="16" borderId="43" xfId="132" applyFont="1" applyFill="1" applyBorder="1" applyAlignment="1">
      <alignment horizontal="center" vertical="center"/>
    </xf>
    <xf numFmtId="199" fontId="72" fillId="14" borderId="17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66" fillId="0" borderId="34" xfId="129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62" fillId="0" borderId="0" xfId="130" applyFont="1"/>
    <xf numFmtId="1" fontId="27" fillId="0" borderId="0" xfId="130" applyNumberFormat="1" applyAlignment="1">
      <alignment wrapText="1"/>
    </xf>
    <xf numFmtId="199" fontId="62" fillId="9" borderId="0" xfId="129" applyFont="1" applyFill="1" applyBorder="1" applyAlignment="1" applyProtection="1">
      <alignment wrapText="1"/>
    </xf>
    <xf numFmtId="199" fontId="27" fillId="0" borderId="0" xfId="130" applyAlignment="1">
      <alignment wrapText="1"/>
    </xf>
    <xf numFmtId="195" fontId="71" fillId="14" borderId="11" xfId="133" applyNumberFormat="1" applyFont="1" applyFill="1" applyBorder="1" applyAlignment="1">
      <alignment horizontal="center"/>
    </xf>
    <xf numFmtId="199" fontId="71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6" fillId="0" borderId="86" xfId="129" applyNumberFormat="1" applyFont="1" applyFill="1" applyBorder="1" applyAlignment="1" applyProtection="1">
      <alignment vertical="center" wrapText="1"/>
    </xf>
    <xf numFmtId="0" fontId="64" fillId="8" borderId="86" xfId="129" applyNumberFormat="1" applyFont="1" applyFill="1" applyBorder="1" applyAlignment="1" applyProtection="1">
      <alignment horizontal="left"/>
    </xf>
    <xf numFmtId="0" fontId="64" fillId="9" borderId="86" xfId="129" applyNumberFormat="1" applyFont="1" applyFill="1" applyBorder="1" applyAlignment="1" applyProtection="1"/>
    <xf numFmtId="0" fontId="65" fillId="9" borderId="86" xfId="129" applyNumberFormat="1" applyFont="1" applyFill="1" applyBorder="1" applyAlignment="1" applyProtection="1"/>
    <xf numFmtId="0" fontId="64" fillId="8" borderId="87" xfId="129" applyNumberFormat="1" applyFont="1" applyFill="1" applyBorder="1" applyAlignment="1" applyProtection="1"/>
    <xf numFmtId="14" fontId="64" fillId="8" borderId="87" xfId="129" applyNumberFormat="1" applyFont="1" applyFill="1" applyBorder="1" applyAlignment="1" applyProtection="1"/>
    <xf numFmtId="0" fontId="62" fillId="8" borderId="88" xfId="129" applyNumberFormat="1" applyFont="1" applyFill="1" applyBorder="1" applyAlignment="1" applyProtection="1"/>
    <xf numFmtId="1" fontId="27" fillId="0" borderId="0" xfId="130" applyNumberFormat="1" applyAlignment="1">
      <alignment horizontal="center" vertical="center"/>
    </xf>
    <xf numFmtId="1" fontId="93" fillId="0" borderId="86" xfId="130" applyNumberFormat="1" applyFont="1" applyBorder="1" applyAlignment="1">
      <alignment horizontal="center" vertical="center" wrapText="1"/>
    </xf>
    <xf numFmtId="1" fontId="93" fillId="0" borderId="86" xfId="130" applyNumberFormat="1" applyFont="1" applyBorder="1" applyAlignment="1">
      <alignment horizontal="center" vertical="center"/>
    </xf>
    <xf numFmtId="1" fontId="27" fillId="0" borderId="86" xfId="130" applyNumberFormat="1" applyBorder="1" applyAlignment="1">
      <alignment horizontal="center" vertical="center"/>
    </xf>
    <xf numFmtId="1" fontId="27" fillId="49" borderId="86" xfId="130" applyNumberFormat="1" applyFill="1" applyBorder="1" applyAlignment="1">
      <alignment horizontal="center" vertical="center"/>
    </xf>
    <xf numFmtId="1" fontId="27" fillId="50" borderId="86" xfId="130" applyNumberFormat="1" applyFill="1" applyBorder="1" applyAlignment="1">
      <alignment horizontal="center" vertical="center"/>
    </xf>
    <xf numFmtId="199" fontId="70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6" fillId="2" borderId="47" xfId="132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center" vertical="center"/>
    </xf>
    <xf numFmtId="1" fontId="116" fillId="2" borderId="48" xfId="132" applyNumberFormat="1" applyFont="1" applyFill="1" applyBorder="1" applyAlignment="1">
      <alignment horizontal="left" vertical="center"/>
    </xf>
    <xf numFmtId="199" fontId="116" fillId="2" borderId="48" xfId="132" applyFont="1" applyFill="1" applyBorder="1" applyAlignment="1">
      <alignment horizontal="left" vertical="center"/>
    </xf>
    <xf numFmtId="199" fontId="116" fillId="2" borderId="92" xfId="132" applyFont="1" applyFill="1" applyBorder="1" applyAlignment="1">
      <alignment horizontal="left" vertical="center"/>
    </xf>
    <xf numFmtId="1" fontId="27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69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5" fillId="48" borderId="120" xfId="9" applyNumberFormat="1" applyFont="1" applyFill="1" applyBorder="1" applyAlignment="1">
      <alignment horizontal="center" vertical="center" wrapText="1"/>
    </xf>
    <xf numFmtId="199" fontId="67" fillId="51" borderId="129" xfId="0" applyFont="1" applyFill="1" applyBorder="1" applyAlignment="1">
      <alignment horizontal="center" vertical="center"/>
    </xf>
    <xf numFmtId="199" fontId="15" fillId="51" borderId="129" xfId="0" applyFont="1" applyFill="1" applyBorder="1"/>
    <xf numFmtId="199" fontId="0" fillId="51" borderId="129" xfId="0" applyFill="1" applyBorder="1"/>
    <xf numFmtId="199" fontId="15" fillId="51" borderId="129" xfId="0" applyFont="1" applyFill="1" applyBorder="1" applyAlignment="1">
      <alignment wrapText="1"/>
    </xf>
    <xf numFmtId="199" fontId="67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7" fillId="14" borderId="133" xfId="0" applyFont="1" applyFill="1" applyBorder="1" applyAlignment="1">
      <alignment horizontal="center" vertical="center"/>
    </xf>
    <xf numFmtId="202" fontId="67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7" fillId="52" borderId="131" xfId="0" applyNumberFormat="1" applyFont="1" applyFill="1" applyBorder="1" applyAlignment="1">
      <alignment horizontal="center" vertical="center"/>
    </xf>
    <xf numFmtId="202" fontId="67" fillId="52" borderId="132" xfId="0" applyNumberFormat="1" applyFont="1" applyFill="1" applyBorder="1" applyAlignment="1">
      <alignment horizontal="center" vertical="center"/>
    </xf>
    <xf numFmtId="203" fontId="67" fillId="52" borderId="133" xfId="0" applyNumberFormat="1" applyFont="1" applyFill="1" applyBorder="1" applyAlignment="1">
      <alignment horizontal="center" vertical="center"/>
    </xf>
    <xf numFmtId="202" fontId="67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5" fillId="0" borderId="0" xfId="0" applyNumberFormat="1" applyFont="1"/>
    <xf numFmtId="0" fontId="0" fillId="0" borderId="0" xfId="0" applyNumberFormat="1" applyAlignment="1">
      <alignment horizontal="right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8" fillId="0" borderId="32" xfId="270" applyFill="1" applyBorder="1" applyAlignment="1">
      <alignment horizontal="center" vertical="center"/>
    </xf>
    <xf numFmtId="9" fontId="8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199" fontId="8" fillId="44" borderId="86" xfId="270" applyFill="1" applyBorder="1" applyAlignment="1">
      <alignment horizontal="center" vertical="center"/>
    </xf>
    <xf numFmtId="1" fontId="62" fillId="0" borderId="89" xfId="129" applyNumberFormat="1" applyFont="1" applyFill="1" applyBorder="1" applyAlignment="1" applyProtection="1">
      <alignment horizontal="center" vertical="center" wrapText="1"/>
    </xf>
    <xf numFmtId="199" fontId="4" fillId="0" borderId="86" xfId="270" applyFont="1" applyBorder="1" applyAlignment="1">
      <alignment horizontal="center" vertical="center"/>
    </xf>
    <xf numFmtId="199" fontId="15" fillId="0" borderId="0" xfId="0" applyFont="1"/>
    <xf numFmtId="199" fontId="8" fillId="0" borderId="33" xfId="270" applyFill="1" applyBorder="1" applyAlignment="1">
      <alignment horizontal="center" vertical="center"/>
    </xf>
    <xf numFmtId="0" fontId="4" fillId="0" borderId="0" xfId="307" applyFont="1"/>
    <xf numFmtId="0" fontId="4" fillId="0" borderId="1" xfId="307" applyFont="1" applyBorder="1" applyAlignment="1">
      <alignment horizontal="center" vertical="center" wrapText="1"/>
    </xf>
    <xf numFmtId="1" fontId="27" fillId="0" borderId="1" xfId="130" applyNumberFormat="1" applyBorder="1" applyAlignment="1">
      <alignment horizontal="center" vertical="center"/>
    </xf>
    <xf numFmtId="1" fontId="27" fillId="49" borderId="1" xfId="130" applyNumberFormat="1" applyFill="1" applyBorder="1" applyAlignment="1">
      <alignment horizontal="center" vertical="center"/>
    </xf>
    <xf numFmtId="1" fontId="93" fillId="0" borderId="1" xfId="130" applyNumberFormat="1" applyFont="1" applyBorder="1" applyAlignment="1">
      <alignment horizontal="center" vertical="center" wrapText="1"/>
    </xf>
    <xf numFmtId="199" fontId="15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3" fillId="0" borderId="0" xfId="309" applyFont="1" applyFill="1"/>
    <xf numFmtId="0" fontId="118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/>
    </xf>
    <xf numFmtId="0" fontId="119" fillId="4" borderId="0" xfId="309" applyFont="1" applyFill="1" applyBorder="1" applyAlignment="1">
      <alignment horizontal="center" vertical="center" wrapText="1"/>
    </xf>
    <xf numFmtId="0" fontId="118" fillId="0" borderId="0" xfId="309" applyFont="1" applyFill="1" applyAlignment="1">
      <alignment horizontal="center" vertical="center" wrapText="1"/>
    </xf>
    <xf numFmtId="0" fontId="3" fillId="0" borderId="0" xfId="309" applyFont="1"/>
    <xf numFmtId="9" fontId="119" fillId="4" borderId="0" xfId="309" applyNumberFormat="1" applyFont="1" applyFill="1" applyBorder="1" applyAlignment="1">
      <alignment horizontal="center" vertical="center"/>
    </xf>
    <xf numFmtId="9" fontId="119" fillId="4" borderId="0" xfId="309" applyNumberFormat="1" applyFont="1" applyFill="1" applyBorder="1" applyAlignment="1">
      <alignment horizontal="center" vertical="center" wrapText="1"/>
    </xf>
    <xf numFmtId="0" fontId="118" fillId="4" borderId="0" xfId="309" applyFont="1" applyFill="1" applyBorder="1" applyAlignment="1">
      <alignment horizontal="center" vertical="center" wrapText="1"/>
    </xf>
    <xf numFmtId="44" fontId="120" fillId="47" borderId="0" xfId="310" applyFont="1" applyFill="1"/>
    <xf numFmtId="207" fontId="120" fillId="0" borderId="0" xfId="309" applyNumberFormat="1" applyFont="1" applyFill="1" applyAlignment="1">
      <alignment horizontal="center" vertical="center"/>
    </xf>
    <xf numFmtId="44" fontId="3" fillId="0" borderId="0" xfId="309" applyNumberFormat="1" applyFont="1" applyFill="1"/>
    <xf numFmtId="0" fontId="118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20" fillId="0" borderId="0" xfId="310" applyFont="1" applyFill="1"/>
    <xf numFmtId="195" fontId="121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1" fillId="0" borderId="0" xfId="309" applyNumberFormat="1" applyFont="1" applyFill="1" applyAlignment="1">
      <alignment horizontal="center"/>
    </xf>
    <xf numFmtId="9" fontId="121" fillId="0" borderId="0" xfId="309" applyNumberFormat="1" applyFont="1" applyFill="1" applyAlignment="1">
      <alignment horizontal="center" vertical="center"/>
    </xf>
    <xf numFmtId="0" fontId="122" fillId="54" borderId="0" xfId="309" applyFont="1" applyFill="1" applyBorder="1" applyAlignment="1">
      <alignment vertical="center"/>
    </xf>
    <xf numFmtId="0" fontId="122" fillId="55" borderId="0" xfId="309" applyFont="1" applyFill="1" applyBorder="1" applyAlignment="1">
      <alignment horizontal="center" vertical="center"/>
    </xf>
    <xf numFmtId="0" fontId="122" fillId="56" borderId="0" xfId="309" applyFont="1" applyFill="1" applyBorder="1" applyAlignment="1">
      <alignment horizontal="center" vertical="center"/>
    </xf>
    <xf numFmtId="0" fontId="122" fillId="54" borderId="0" xfId="309" applyFont="1" applyFill="1" applyBorder="1" applyAlignment="1">
      <alignment horizontal="center" vertical="center"/>
    </xf>
    <xf numFmtId="0" fontId="123" fillId="0" borderId="0" xfId="311" applyFont="1"/>
    <xf numFmtId="0" fontId="124" fillId="57" borderId="0" xfId="309" applyFont="1" applyFill="1" applyBorder="1" applyAlignment="1">
      <alignment horizontal="center"/>
    </xf>
    <xf numFmtId="0" fontId="17" fillId="15" borderId="0" xfId="309" applyFont="1" applyFill="1" applyBorder="1" applyAlignment="1">
      <alignment horizontal="center"/>
    </xf>
    <xf numFmtId="0" fontId="17" fillId="4" borderId="0" xfId="309" applyFont="1" applyFill="1" applyBorder="1" applyAlignment="1">
      <alignment horizontal="center"/>
    </xf>
    <xf numFmtId="0" fontId="17" fillId="0" borderId="0" xfId="309" applyFont="1" applyBorder="1"/>
    <xf numFmtId="0" fontId="125" fillId="0" borderId="0" xfId="311" applyFont="1" applyAlignment="1">
      <alignment horizontal="left"/>
    </xf>
    <xf numFmtId="2" fontId="126" fillId="0" borderId="0" xfId="311" applyNumberFormat="1" applyFont="1" applyBorder="1" applyAlignment="1">
      <alignment horizontal="center" vertical="center" wrapText="1"/>
    </xf>
    <xf numFmtId="0" fontId="17" fillId="0" borderId="0" xfId="309" applyFont="1" applyBorder="1" applyAlignment="1">
      <alignment horizontal="center"/>
    </xf>
    <xf numFmtId="0" fontId="17" fillId="0" borderId="0" xfId="309" applyFont="1" applyBorder="1" applyAlignment="1">
      <alignment horizontal="center" vertical="center"/>
    </xf>
    <xf numFmtId="0" fontId="17" fillId="0" borderId="0" xfId="309" applyFont="1" applyBorder="1" applyAlignment="1">
      <alignment horizontal="left"/>
    </xf>
    <xf numFmtId="3" fontId="3" fillId="0" borderId="0" xfId="309" applyNumberFormat="1" applyFont="1" applyAlignment="1">
      <alignment horizontal="center" vertical="center"/>
    </xf>
    <xf numFmtId="0" fontId="17" fillId="0" borderId="0" xfId="309" applyFont="1" applyFill="1" applyBorder="1" applyAlignment="1">
      <alignment horizontal="center"/>
    </xf>
    <xf numFmtId="0" fontId="128" fillId="0" borderId="0" xfId="309" applyFont="1" applyBorder="1" applyAlignment="1">
      <alignment horizontal="center"/>
    </xf>
    <xf numFmtId="0" fontId="3" fillId="0" borderId="0" xfId="309" applyFont="1" applyFill="1" applyAlignment="1"/>
    <xf numFmtId="0" fontId="3" fillId="0" borderId="0" xfId="309" applyFont="1" applyFill="1" applyAlignment="1">
      <alignment horizontal="center"/>
    </xf>
    <xf numFmtId="0" fontId="3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7" fillId="52" borderId="141" xfId="0" applyNumberFormat="1" applyFont="1" applyFill="1" applyBorder="1" applyAlignment="1">
      <alignment horizontal="center" vertical="center"/>
    </xf>
    <xf numFmtId="202" fontId="67" fillId="52" borderId="135" xfId="0" applyNumberFormat="1" applyFont="1" applyFill="1" applyBorder="1" applyAlignment="1">
      <alignment horizontal="center" vertical="center"/>
    </xf>
    <xf numFmtId="199" fontId="67" fillId="6" borderId="129" xfId="0" applyFont="1" applyFill="1" applyBorder="1" applyAlignment="1">
      <alignment horizontal="center" vertical="center"/>
    </xf>
    <xf numFmtId="199" fontId="67" fillId="6" borderId="131" xfId="0" applyFont="1" applyFill="1" applyBorder="1" applyAlignment="1">
      <alignment horizontal="center" vertical="center"/>
    </xf>
    <xf numFmtId="199" fontId="67" fillId="6" borderId="140" xfId="0" applyFont="1" applyFill="1" applyBorder="1" applyAlignment="1">
      <alignment horizontal="center" vertical="center"/>
    </xf>
    <xf numFmtId="199" fontId="67" fillId="6" borderId="141" xfId="0" applyFont="1" applyFill="1" applyBorder="1" applyAlignment="1">
      <alignment horizontal="center" vertical="center"/>
    </xf>
    <xf numFmtId="0" fontId="67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7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3" fillId="0" borderId="3" xfId="130" applyNumberFormat="1" applyFont="1" applyBorder="1" applyAlignment="1">
      <alignment horizontal="center" vertical="center"/>
    </xf>
    <xf numFmtId="1" fontId="27" fillId="0" borderId="3" xfId="130" applyNumberFormat="1" applyBorder="1" applyAlignment="1">
      <alignment horizontal="center" vertical="center"/>
    </xf>
    <xf numFmtId="1" fontId="27" fillId="49" borderId="3" xfId="130" applyNumberFormat="1" applyFill="1" applyBorder="1" applyAlignment="1">
      <alignment horizontal="center" vertical="center"/>
    </xf>
    <xf numFmtId="1" fontId="27" fillId="3" borderId="1" xfId="130" applyNumberFormat="1" applyFill="1" applyBorder="1"/>
    <xf numFmtId="1" fontId="27" fillId="3" borderId="1" xfId="130" applyNumberFormat="1" applyFill="1" applyBorder="1" applyAlignment="1">
      <alignment horizontal="center" vertical="center"/>
    </xf>
    <xf numFmtId="0" fontId="131" fillId="59" borderId="0" xfId="312" applyFont="1" applyFill="1" applyBorder="1" applyAlignment="1">
      <alignment horizontal="center" vertical="center"/>
    </xf>
    <xf numFmtId="1" fontId="132" fillId="59" borderId="1" xfId="130" applyNumberFormat="1" applyFont="1" applyFill="1" applyBorder="1" applyAlignment="1">
      <alignment horizontal="center" vertical="center" wrapText="1"/>
    </xf>
    <xf numFmtId="0" fontId="2" fillId="0" borderId="0" xfId="312" applyBorder="1"/>
    <xf numFmtId="1" fontId="2" fillId="0" borderId="0" xfId="312" applyNumberFormat="1" applyBorder="1"/>
    <xf numFmtId="2" fontId="2" fillId="0" borderId="0" xfId="312" applyNumberFormat="1" applyBorder="1"/>
    <xf numFmtId="0" fontId="1" fillId="0" borderId="0" xfId="307" applyFont="1"/>
    <xf numFmtId="0" fontId="0" fillId="0" borderId="86" xfId="0" applyNumberFormat="1" applyBorder="1" applyAlignment="1">
      <alignment horizontal="center"/>
    </xf>
    <xf numFmtId="1" fontId="63" fillId="9" borderId="86" xfId="129" applyNumberFormat="1" applyFont="1" applyFill="1" applyBorder="1" applyAlignment="1" applyProtection="1">
      <alignment horizontal="center"/>
    </xf>
    <xf numFmtId="0" fontId="62" fillId="9" borderId="87" xfId="129" applyNumberFormat="1" applyFont="1" applyFill="1" applyBorder="1" applyAlignment="1" applyProtection="1">
      <alignment horizontal="left"/>
    </xf>
    <xf numFmtId="0" fontId="62" fillId="9" borderId="88" xfId="129" applyNumberFormat="1" applyFont="1" applyFill="1" applyBorder="1" applyAlignment="1" applyProtection="1">
      <alignment horizontal="left"/>
    </xf>
    <xf numFmtId="199" fontId="66" fillId="0" borderId="103" xfId="129" applyFont="1" applyFill="1" applyBorder="1" applyAlignment="1" applyProtection="1">
      <alignment horizontal="center" vertical="center" wrapText="1"/>
    </xf>
    <xf numFmtId="199" fontId="66" fillId="0" borderId="31" xfId="129" applyFont="1" applyFill="1" applyBorder="1" applyAlignment="1" applyProtection="1">
      <alignment horizontal="center" vertical="center" wrapText="1"/>
    </xf>
    <xf numFmtId="199" fontId="65" fillId="9" borderId="86" xfId="129" applyFont="1" applyFill="1" applyBorder="1" applyAlignment="1" applyProtection="1">
      <alignment horizontal="center"/>
    </xf>
    <xf numFmtId="1" fontId="66" fillId="0" borderId="102" xfId="129" applyNumberFormat="1" applyFont="1" applyFill="1" applyBorder="1" applyAlignment="1" applyProtection="1">
      <alignment horizontal="center" vertical="center" wrapText="1"/>
    </xf>
    <xf numFmtId="1" fontId="66" fillId="0" borderId="30" xfId="129" applyNumberFormat="1" applyFont="1" applyFill="1" applyBorder="1" applyAlignment="1" applyProtection="1">
      <alignment horizontal="center" vertical="center" wrapText="1"/>
    </xf>
    <xf numFmtId="199" fontId="66" fillId="0" borderId="32" xfId="129" applyFont="1" applyFill="1" applyBorder="1" applyAlignment="1" applyProtection="1">
      <alignment horizontal="center" vertical="center" wrapText="1"/>
    </xf>
    <xf numFmtId="199" fontId="66" fillId="0" borderId="5" xfId="129" applyFont="1" applyFill="1" applyBorder="1" applyAlignment="1" applyProtection="1">
      <alignment horizontal="center" vertical="center" wrapText="1"/>
    </xf>
    <xf numFmtId="199" fontId="15" fillId="0" borderId="5" xfId="0" applyFont="1" applyBorder="1"/>
    <xf numFmtId="1" fontId="65" fillId="9" borderId="29" xfId="129" applyNumberFormat="1" applyFont="1" applyFill="1" applyBorder="1" applyAlignment="1" applyProtection="1">
      <alignment horizontal="left"/>
    </xf>
    <xf numFmtId="1" fontId="65" fillId="9" borderId="0" xfId="129" applyNumberFormat="1" applyFont="1" applyFill="1" applyBorder="1" applyAlignment="1" applyProtection="1">
      <alignment horizontal="left"/>
    </xf>
    <xf numFmtId="1" fontId="93" fillId="3" borderId="1" xfId="130" applyNumberFormat="1" applyFont="1" applyFill="1" applyBorder="1" applyAlignment="1">
      <alignment horizontal="center" vertical="center"/>
    </xf>
    <xf numFmtId="0" fontId="118" fillId="0" borderId="138" xfId="309" applyFont="1" applyFill="1" applyBorder="1" applyAlignment="1">
      <alignment horizontal="left" vertical="center"/>
    </xf>
    <xf numFmtId="0" fontId="118" fillId="49" borderId="139" xfId="309" applyFont="1" applyFill="1" applyBorder="1" applyAlignment="1">
      <alignment horizontal="left" vertical="center"/>
    </xf>
    <xf numFmtId="0" fontId="118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7" fillId="58" borderId="0" xfId="309" applyFont="1" applyFill="1" applyBorder="1" applyAlignment="1">
      <alignment horizontal="center"/>
    </xf>
    <xf numFmtId="199" fontId="71" fillId="14" borderId="107" xfId="132" applyFont="1" applyFill="1" applyBorder="1" applyAlignment="1">
      <alignment horizontal="center" vertical="center" wrapText="1"/>
    </xf>
    <xf numFmtId="199" fontId="71" fillId="14" borderId="5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5" xfId="132" applyFont="1" applyFill="1" applyBorder="1" applyAlignment="1">
      <alignment horizontal="center" vertical="center"/>
    </xf>
    <xf numFmtId="194" fontId="75" fillId="15" borderId="62" xfId="132" applyNumberFormat="1" applyFont="1" applyFill="1" applyBorder="1" applyAlignment="1">
      <alignment horizontal="center"/>
    </xf>
    <xf numFmtId="194" fontId="75" fillId="15" borderId="60" xfId="132" applyNumberFormat="1" applyFont="1" applyFill="1" applyBorder="1" applyAlignment="1">
      <alignment horizontal="center"/>
    </xf>
    <xf numFmtId="199" fontId="69" fillId="13" borderId="33" xfId="132" applyFont="1" applyFill="1" applyBorder="1" applyAlignment="1">
      <alignment horizontal="center" vertical="center"/>
    </xf>
    <xf numFmtId="199" fontId="69" fillId="13" borderId="0" xfId="132" applyFont="1" applyFill="1" applyBorder="1" applyAlignment="1">
      <alignment horizontal="center" vertical="center"/>
    </xf>
    <xf numFmtId="199" fontId="71" fillId="14" borderId="39" xfId="132" applyFont="1" applyFill="1" applyBorder="1" applyAlignment="1">
      <alignment horizontal="center" vertical="center"/>
    </xf>
    <xf numFmtId="199" fontId="71" fillId="14" borderId="41" xfId="132" applyFont="1" applyFill="1" applyBorder="1" applyAlignment="1">
      <alignment horizontal="center" vertical="center"/>
    </xf>
    <xf numFmtId="199" fontId="71" fillId="14" borderId="45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 wrapText="1"/>
    </xf>
    <xf numFmtId="199" fontId="71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1" fillId="16" borderId="107" xfId="132" applyFont="1" applyFill="1" applyBorder="1" applyAlignment="1">
      <alignment horizontal="center" vertical="center" wrapText="1"/>
    </xf>
    <xf numFmtId="199" fontId="71" fillId="16" borderId="5" xfId="132" applyFont="1" applyFill="1" applyBorder="1" applyAlignment="1">
      <alignment horizontal="center" vertical="center" wrapText="1"/>
    </xf>
    <xf numFmtId="199" fontId="72" fillId="14" borderId="36" xfId="132" applyFont="1" applyFill="1" applyBorder="1" applyAlignment="1">
      <alignment horizontal="center" vertical="center"/>
    </xf>
    <xf numFmtId="199" fontId="72" fillId="14" borderId="37" xfId="132" applyFont="1" applyFill="1" applyBorder="1" applyAlignment="1">
      <alignment horizontal="center" vertical="center"/>
    </xf>
    <xf numFmtId="199" fontId="72" fillId="14" borderId="38" xfId="132" applyFont="1" applyFill="1" applyBorder="1" applyAlignment="1">
      <alignment horizontal="center" vertical="center"/>
    </xf>
    <xf numFmtId="199" fontId="71" fillId="15" borderId="107" xfId="132" applyFont="1" applyFill="1" applyBorder="1" applyAlignment="1">
      <alignment horizontal="center" vertical="center" wrapText="1"/>
    </xf>
    <xf numFmtId="199" fontId="71" fillId="15" borderId="32" xfId="132" applyFont="1" applyFill="1" applyBorder="1" applyAlignment="1">
      <alignment horizontal="center" vertical="center" wrapText="1"/>
    </xf>
    <xf numFmtId="199" fontId="71" fillId="15" borderId="43" xfId="132" applyFont="1" applyFill="1" applyBorder="1" applyAlignment="1">
      <alignment horizontal="center" vertical="center" wrapText="1"/>
    </xf>
    <xf numFmtId="199" fontId="71" fillId="14" borderId="90" xfId="132" applyFont="1" applyFill="1" applyBorder="1" applyAlignment="1">
      <alignment horizontal="center" vertical="center" wrapText="1"/>
    </xf>
    <xf numFmtId="199" fontId="72" fillId="14" borderId="107" xfId="132" applyFont="1" applyFill="1" applyBorder="1" applyAlignment="1">
      <alignment horizontal="center" vertical="center"/>
    </xf>
    <xf numFmtId="199" fontId="72" fillId="14" borderId="32" xfId="132" applyFont="1" applyFill="1" applyBorder="1" applyAlignment="1">
      <alignment horizontal="center" vertical="center"/>
    </xf>
    <xf numFmtId="199" fontId="72" fillId="14" borderId="43" xfId="132" applyFont="1" applyFill="1" applyBorder="1" applyAlignment="1">
      <alignment horizontal="center" vertical="center"/>
    </xf>
    <xf numFmtId="199" fontId="71" fillId="14" borderId="90" xfId="132" applyFont="1" applyFill="1" applyBorder="1" applyAlignment="1">
      <alignment horizontal="center" vertical="center"/>
    </xf>
    <xf numFmtId="2" fontId="71" fillId="14" borderId="107" xfId="132" applyNumberFormat="1" applyFont="1" applyFill="1" applyBorder="1" applyAlignment="1">
      <alignment horizontal="center" vertical="center"/>
    </xf>
    <xf numFmtId="2" fontId="71" fillId="14" borderId="32" xfId="132" applyNumberFormat="1" applyFont="1" applyFill="1" applyBorder="1" applyAlignment="1">
      <alignment horizontal="center" vertical="center"/>
    </xf>
    <xf numFmtId="2" fontId="71" fillId="14" borderId="43" xfId="132" applyNumberFormat="1" applyFont="1" applyFill="1" applyBorder="1" applyAlignment="1">
      <alignment horizontal="center" vertical="center"/>
    </xf>
    <xf numFmtId="199" fontId="70" fillId="8" borderId="42" xfId="132" applyFont="1" applyFill="1" applyBorder="1" applyAlignment="1">
      <alignment horizontal="center" vertical="center"/>
    </xf>
    <xf numFmtId="199" fontId="70" fillId="8" borderId="46" xfId="132" applyFont="1" applyFill="1" applyBorder="1" applyAlignment="1">
      <alignment horizontal="center" vertical="center"/>
    </xf>
    <xf numFmtId="199" fontId="71" fillId="16" borderId="62" xfId="132" applyFont="1" applyFill="1" applyBorder="1" applyAlignment="1">
      <alignment horizontal="center" vertical="center"/>
    </xf>
    <xf numFmtId="199" fontId="71" fillId="16" borderId="60" xfId="132" applyFont="1" applyFill="1" applyBorder="1" applyAlignment="1">
      <alignment horizontal="center" vertical="center"/>
    </xf>
    <xf numFmtId="199" fontId="71" fillId="17" borderId="107" xfId="132" applyFont="1" applyFill="1" applyBorder="1" applyAlignment="1">
      <alignment horizontal="center" vertical="center" wrapText="1"/>
    </xf>
    <xf numFmtId="199" fontId="71" fillId="17" borderId="32" xfId="132" applyFont="1" applyFill="1" applyBorder="1" applyAlignment="1">
      <alignment horizontal="center" vertical="center" wrapText="1"/>
    </xf>
    <xf numFmtId="199" fontId="71" fillId="17" borderId="43" xfId="132" applyFont="1" applyFill="1" applyBorder="1" applyAlignment="1">
      <alignment horizontal="center" vertical="center" wrapText="1"/>
    </xf>
    <xf numFmtId="199" fontId="71" fillId="18" borderId="107" xfId="132" applyFont="1" applyFill="1" applyBorder="1" applyAlignment="1">
      <alignment horizontal="center" vertical="center"/>
    </xf>
    <xf numFmtId="199" fontId="71" fillId="18" borderId="32" xfId="132" applyFont="1" applyFill="1" applyBorder="1" applyAlignment="1">
      <alignment horizontal="center" vertical="center"/>
    </xf>
    <xf numFmtId="199" fontId="71" fillId="18" borderId="43" xfId="132" applyFont="1" applyFill="1" applyBorder="1" applyAlignment="1">
      <alignment horizontal="center" vertical="center"/>
    </xf>
    <xf numFmtId="199" fontId="71" fillId="17" borderId="110" xfId="132" applyFont="1" applyFill="1" applyBorder="1" applyAlignment="1">
      <alignment horizontal="center" vertical="center" wrapText="1"/>
    </xf>
    <xf numFmtId="199" fontId="71" fillId="17" borderId="40" xfId="132" applyFont="1" applyFill="1" applyBorder="1" applyAlignment="1">
      <alignment horizontal="center" vertical="center" wrapText="1"/>
    </xf>
    <xf numFmtId="199" fontId="71" fillId="17" borderId="44" xfId="132" applyFont="1" applyFill="1" applyBorder="1" applyAlignment="1">
      <alignment horizontal="center" vertical="center" wrapText="1"/>
    </xf>
    <xf numFmtId="199" fontId="71" fillId="8" borderId="39" xfId="132" applyFont="1" applyFill="1" applyBorder="1" applyAlignment="1">
      <alignment horizontal="center" vertical="center" wrapText="1"/>
    </xf>
    <xf numFmtId="199" fontId="71" fillId="8" borderId="41" xfId="132" applyFont="1" applyFill="1" applyBorder="1" applyAlignment="1">
      <alignment horizontal="center" vertical="center" wrapText="1"/>
    </xf>
    <xf numFmtId="199" fontId="71" fillId="8" borderId="45" xfId="132" applyFont="1" applyFill="1" applyBorder="1" applyAlignment="1">
      <alignment horizontal="center" vertical="center" wrapText="1"/>
    </xf>
    <xf numFmtId="199" fontId="71" fillId="19" borderId="110" xfId="132" applyFont="1" applyFill="1" applyBorder="1" applyAlignment="1">
      <alignment horizontal="center" vertical="center" wrapText="1"/>
    </xf>
    <xf numFmtId="199" fontId="71" fillId="19" borderId="40" xfId="132" applyFont="1" applyFill="1" applyBorder="1" applyAlignment="1">
      <alignment horizontal="center" vertical="center" wrapText="1"/>
    </xf>
    <xf numFmtId="199" fontId="71" fillId="19" borderId="44" xfId="132" applyFont="1" applyFill="1" applyBorder="1" applyAlignment="1">
      <alignment horizontal="center" vertical="center" wrapText="1"/>
    </xf>
    <xf numFmtId="199" fontId="71" fillId="17" borderId="107" xfId="132" applyFont="1" applyFill="1" applyBorder="1" applyAlignment="1">
      <alignment horizontal="center" vertical="center"/>
    </xf>
    <xf numFmtId="199" fontId="71" fillId="17" borderId="32" xfId="132" applyFont="1" applyFill="1" applyBorder="1" applyAlignment="1">
      <alignment horizontal="center" vertical="center"/>
    </xf>
    <xf numFmtId="199" fontId="71" fillId="17" borderId="43" xfId="132" applyFont="1" applyFill="1" applyBorder="1" applyAlignment="1">
      <alignment horizontal="center" vertical="center"/>
    </xf>
    <xf numFmtId="199" fontId="71" fillId="16" borderId="108" xfId="132" applyFont="1" applyFill="1" applyBorder="1" applyAlignment="1">
      <alignment horizontal="center" vertical="center"/>
    </xf>
    <xf numFmtId="199" fontId="71" fillId="16" borderId="109" xfId="132" applyFont="1" applyFill="1" applyBorder="1" applyAlignment="1">
      <alignment horizontal="center" vertical="center"/>
    </xf>
    <xf numFmtId="199" fontId="71" fillId="16" borderId="34" xfId="132" applyFont="1" applyFill="1" applyBorder="1" applyAlignment="1">
      <alignment horizontal="center" vertical="center"/>
    </xf>
    <xf numFmtId="199" fontId="71" fillId="16" borderId="15" xfId="132" applyFont="1" applyFill="1" applyBorder="1" applyAlignment="1">
      <alignment horizontal="center" vertical="center"/>
    </xf>
    <xf numFmtId="199" fontId="71" fillId="17" borderId="116" xfId="132" applyFont="1" applyFill="1" applyBorder="1" applyAlignment="1">
      <alignment horizontal="center" wrapText="1"/>
    </xf>
    <xf numFmtId="194" fontId="75" fillId="15" borderId="36" xfId="132" applyNumberFormat="1" applyFont="1" applyFill="1" applyBorder="1" applyAlignment="1">
      <alignment horizontal="center"/>
    </xf>
    <xf numFmtId="194" fontId="75" fillId="15" borderId="38" xfId="132" applyNumberFormat="1" applyFont="1" applyFill="1" applyBorder="1" applyAlignment="1">
      <alignment horizontal="center"/>
    </xf>
    <xf numFmtId="199" fontId="71" fillId="14" borderId="57" xfId="132" applyFont="1" applyFill="1" applyBorder="1" applyAlignment="1">
      <alignment horizontal="left" vertical="center" indent="13"/>
    </xf>
    <xf numFmtId="199" fontId="71" fillId="14" borderId="58" xfId="132" applyFont="1" applyFill="1" applyBorder="1" applyAlignment="1">
      <alignment horizontal="left" vertical="center" indent="13"/>
    </xf>
    <xf numFmtId="199" fontId="71" fillId="14" borderId="59" xfId="132" applyFont="1" applyFill="1" applyBorder="1" applyAlignment="1">
      <alignment horizontal="left" vertical="center" indent="13"/>
    </xf>
    <xf numFmtId="2" fontId="71" fillId="14" borderId="62" xfId="132" applyNumberFormat="1" applyFont="1" applyFill="1" applyBorder="1" applyAlignment="1">
      <alignment horizontal="center" vertical="center"/>
    </xf>
    <xf numFmtId="2" fontId="71" fillId="14" borderId="60" xfId="132" applyNumberFormat="1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2" fillId="2" borderId="94" xfId="132" applyFont="1" applyFill="1" applyBorder="1" applyAlignment="1">
      <alignment horizontal="left" vertical="center"/>
    </xf>
    <xf numFmtId="199" fontId="112" fillId="2" borderId="95" xfId="132" applyFont="1" applyFill="1" applyBorder="1" applyAlignment="1">
      <alignment horizontal="left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5" fillId="48" borderId="57" xfId="9" applyFont="1" applyFill="1" applyBorder="1" applyAlignment="1">
      <alignment horizontal="right" vertical="center" wrapText="1"/>
    </xf>
    <xf numFmtId="199" fontId="115" fillId="48" borderId="58" xfId="9" applyFont="1" applyFill="1" applyBorder="1" applyAlignment="1">
      <alignment horizontal="right" vertical="center" wrapText="1"/>
    </xf>
    <xf numFmtId="199" fontId="115" fillId="48" borderId="59" xfId="9" applyFont="1" applyFill="1" applyBorder="1" applyAlignment="1">
      <alignment horizontal="right" vertical="center" wrapText="1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108" fillId="0" borderId="93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0" fontId="130" fillId="0" borderId="111" xfId="132" applyNumberFormat="1" applyFont="1" applyFill="1" applyBorder="1" applyAlignment="1">
      <alignment horizontal="left" vertical="center"/>
    </xf>
    <xf numFmtId="0" fontId="130" fillId="0" borderId="113" xfId="132" applyNumberFormat="1" applyFont="1" applyFill="1" applyBorder="1" applyAlignment="1">
      <alignment horizontal="left" vertical="center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" fontId="117" fillId="0" borderId="61" xfId="132" applyNumberFormat="1" applyFont="1" applyFill="1" applyBorder="1" applyAlignment="1">
      <alignment horizontal="center" vertical="center" wrapText="1"/>
    </xf>
    <xf numFmtId="199" fontId="108" fillId="0" borderId="126" xfId="132" applyFont="1" applyFill="1" applyBorder="1" applyAlignment="1">
      <alignment horizontal="right" vertical="center"/>
    </xf>
    <xf numFmtId="199" fontId="129" fillId="0" borderId="127" xfId="132" applyFont="1" applyFill="1" applyBorder="1" applyAlignment="1">
      <alignment horizontal="right" vertical="center"/>
    </xf>
    <xf numFmtId="199" fontId="129" fillId="0" borderId="97" xfId="132" applyFont="1" applyFill="1" applyBorder="1" applyAlignment="1">
      <alignment horizontal="right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7" fillId="0" borderId="12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/>
    </xf>
    <xf numFmtId="199" fontId="117" fillId="0" borderId="61" xfId="132" applyFont="1" applyFill="1" applyBorder="1" applyAlignment="1">
      <alignment horizontal="center" vertical="center" wrapText="1"/>
    </xf>
    <xf numFmtId="199" fontId="117" fillId="0" borderId="63" xfId="132" applyFont="1" applyFill="1" applyBorder="1" applyAlignment="1">
      <alignment horizontal="center" vertical="center" wrapText="1"/>
    </xf>
    <xf numFmtId="199" fontId="99" fillId="48" borderId="79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112" xfId="132" applyFont="1" applyFill="1" applyBorder="1" applyAlignment="1">
      <alignment horizontal="center" vertical="center"/>
    </xf>
    <xf numFmtId="199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5" fillId="0" borderId="104" xfId="132" applyFont="1" applyFill="1" applyBorder="1" applyAlignment="1">
      <alignment horizontal="center" vertical="center"/>
    </xf>
    <xf numFmtId="199" fontId="95" fillId="0" borderId="105" xfId="132" applyFont="1" applyFill="1" applyBorder="1" applyAlignment="1">
      <alignment horizontal="center" vertical="center"/>
    </xf>
    <xf numFmtId="199" fontId="95" fillId="0" borderId="106" xfId="132" applyFont="1" applyFill="1" applyBorder="1" applyAlignment="1">
      <alignment horizontal="center" vertical="center"/>
    </xf>
    <xf numFmtId="199" fontId="95" fillId="0" borderId="13" xfId="132" applyFont="1" applyFill="1" applyBorder="1" applyAlignment="1">
      <alignment horizontal="center" vertical="center"/>
    </xf>
    <xf numFmtId="199" fontId="95" fillId="0" borderId="0" xfId="132" applyFont="1" applyFill="1" applyBorder="1" applyAlignment="1">
      <alignment horizontal="center" vertical="center"/>
    </xf>
    <xf numFmtId="199" fontId="95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67" fillId="14" borderId="131" xfId="0" applyFont="1" applyFill="1" applyBorder="1" applyAlignment="1">
      <alignment horizontal="center"/>
    </xf>
    <xf numFmtId="199" fontId="67" fillId="14" borderId="132" xfId="0" applyFont="1" applyFill="1" applyBorder="1" applyAlignment="1">
      <alignment horizontal="center"/>
    </xf>
    <xf numFmtId="199" fontId="67" fillId="52" borderId="131" xfId="0" applyFont="1" applyFill="1" applyBorder="1" applyAlignment="1">
      <alignment horizontal="center"/>
    </xf>
    <xf numFmtId="199" fontId="67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2" fillId="4" borderId="22" xfId="0" applyFont="1" applyFill="1" applyBorder="1" applyAlignment="1">
      <alignment horizontal="right" vertical="center" indent="2"/>
    </xf>
    <xf numFmtId="199" fontId="22" fillId="4" borderId="2" xfId="0" applyFont="1" applyFill="1" applyBorder="1" applyAlignment="1">
      <alignment horizontal="right" vertical="center" indent="2"/>
    </xf>
    <xf numFmtId="199" fontId="22" fillId="4" borderId="4" xfId="0" applyFont="1" applyFill="1" applyBorder="1" applyAlignment="1">
      <alignment horizontal="right" vertical="center" indent="2"/>
    </xf>
    <xf numFmtId="199" fontId="18" fillId="7" borderId="11" xfId="0" applyFont="1" applyFill="1" applyBorder="1" applyAlignment="1">
      <alignment horizontal="center" vertical="center"/>
    </xf>
    <xf numFmtId="199" fontId="16" fillId="2" borderId="8" xfId="0" applyFont="1" applyFill="1" applyBorder="1" applyAlignment="1">
      <alignment horizontal="center" vertical="center"/>
    </xf>
    <xf numFmtId="199" fontId="16" fillId="2" borderId="16" xfId="0" applyFont="1" applyFill="1" applyBorder="1" applyAlignment="1">
      <alignment horizontal="center" vertical="center"/>
    </xf>
    <xf numFmtId="199" fontId="19" fillId="4" borderId="17" xfId="0" applyFont="1" applyFill="1" applyBorder="1" applyAlignment="1">
      <alignment horizontal="center" vertical="center" wrapText="1"/>
    </xf>
    <xf numFmtId="199" fontId="19" fillId="4" borderId="5" xfId="0" applyFont="1" applyFill="1" applyBorder="1" applyAlignment="1">
      <alignment horizontal="center" vertical="center" wrapText="1"/>
    </xf>
    <xf numFmtId="199" fontId="19" fillId="2" borderId="13" xfId="0" applyFont="1" applyFill="1" applyBorder="1" applyAlignment="1">
      <alignment horizontal="center" vertical="center"/>
    </xf>
    <xf numFmtId="199" fontId="19" fillId="2" borderId="6" xfId="0" applyFont="1" applyFill="1" applyBorder="1" applyAlignment="1">
      <alignment horizontal="center" vertical="center"/>
    </xf>
    <xf numFmtId="199" fontId="19" fillId="2" borderId="19" xfId="0" applyFont="1" applyFill="1" applyBorder="1" applyAlignment="1">
      <alignment horizontal="center" vertical="center"/>
    </xf>
    <xf numFmtId="199" fontId="19" fillId="2" borderId="15" xfId="0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5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67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99" fontId="8" fillId="0" borderId="86" xfId="270" applyBorder="1" applyAlignment="1">
      <alignment horizontal="center" vertical="center"/>
    </xf>
    <xf numFmtId="199" fontId="7" fillId="0" borderId="86" xfId="270" applyFont="1" applyBorder="1" applyAlignment="1">
      <alignment horizontal="center" vertical="center"/>
    </xf>
    <xf numFmtId="199" fontId="8" fillId="46" borderId="86" xfId="270" applyFill="1" applyBorder="1" applyAlignment="1">
      <alignment horizontal="center" vertical="center"/>
    </xf>
    <xf numFmtId="0" fontId="8" fillId="21" borderId="86" xfId="270" applyNumberFormat="1" applyFill="1" applyBorder="1" applyAlignment="1">
      <alignment horizontal="center" vertical="center" wrapText="1"/>
    </xf>
    <xf numFmtId="199" fontId="8" fillId="21" borderId="86" xfId="270" applyFill="1" applyBorder="1" applyAlignment="1">
      <alignment horizontal="center" vertical="center" wrapText="1"/>
    </xf>
    <xf numFmtId="199" fontId="8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9" Type="http://schemas.openxmlformats.org/officeDocument/2006/relationships/image" Target="../media/image41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42" Type="http://schemas.openxmlformats.org/officeDocument/2006/relationships/image" Target="../media/image44.wmf"/><Relationship Id="rId47" Type="http://schemas.openxmlformats.org/officeDocument/2006/relationships/image" Target="../media/image49.wmf"/><Relationship Id="rId50" Type="http://schemas.openxmlformats.org/officeDocument/2006/relationships/image" Target="../media/image52.wmf"/><Relationship Id="rId55" Type="http://schemas.openxmlformats.org/officeDocument/2006/relationships/image" Target="../media/image57.tmp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wmf"/><Relationship Id="rId46" Type="http://schemas.openxmlformats.org/officeDocument/2006/relationships/image" Target="../media/image48.wmf"/><Relationship Id="rId59" Type="http://schemas.openxmlformats.org/officeDocument/2006/relationships/image" Target="../media/image61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41" Type="http://schemas.openxmlformats.org/officeDocument/2006/relationships/image" Target="../media/image43.wmf"/><Relationship Id="rId54" Type="http://schemas.openxmlformats.org/officeDocument/2006/relationships/image" Target="../media/image56.tmp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40" Type="http://schemas.openxmlformats.org/officeDocument/2006/relationships/image" Target="../media/image42.wmf"/><Relationship Id="rId45" Type="http://schemas.openxmlformats.org/officeDocument/2006/relationships/image" Target="../media/image47.wmf"/><Relationship Id="rId53" Type="http://schemas.openxmlformats.org/officeDocument/2006/relationships/image" Target="../media/image55.wmf"/><Relationship Id="rId58" Type="http://schemas.openxmlformats.org/officeDocument/2006/relationships/image" Target="../media/image60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49" Type="http://schemas.openxmlformats.org/officeDocument/2006/relationships/image" Target="../media/image51.wmf"/><Relationship Id="rId57" Type="http://schemas.openxmlformats.org/officeDocument/2006/relationships/image" Target="../media/image59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4" Type="http://schemas.openxmlformats.org/officeDocument/2006/relationships/image" Target="../media/image46.wmf"/><Relationship Id="rId52" Type="http://schemas.openxmlformats.org/officeDocument/2006/relationships/image" Target="../media/image54.wmf"/><Relationship Id="rId4" Type="http://schemas.openxmlformats.org/officeDocument/2006/relationships/image" Target="../media/image6.tmp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Relationship Id="rId43" Type="http://schemas.openxmlformats.org/officeDocument/2006/relationships/image" Target="../media/image45.wmf"/><Relationship Id="rId48" Type="http://schemas.openxmlformats.org/officeDocument/2006/relationships/image" Target="../media/image50.wmf"/><Relationship Id="rId56" Type="http://schemas.openxmlformats.org/officeDocument/2006/relationships/image" Target="../media/image58.wmf"/><Relationship Id="rId8" Type="http://schemas.openxmlformats.org/officeDocument/2006/relationships/image" Target="../media/image10.wmf"/><Relationship Id="rId51" Type="http://schemas.openxmlformats.org/officeDocument/2006/relationships/image" Target="../media/image53.wmf"/><Relationship Id="rId3" Type="http://schemas.openxmlformats.org/officeDocument/2006/relationships/image" Target="../media/image5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1478973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455541</xdr:colOff>
      <xdr:row>8</xdr:row>
      <xdr:rowOff>140804</xdr:rowOff>
    </xdr:from>
    <xdr:to>
      <xdr:col>8</xdr:col>
      <xdr:colOff>215345</xdr:colOff>
      <xdr:row>16</xdr:row>
      <xdr:rowOff>198778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802" y="1615108"/>
          <a:ext cx="3089413" cy="25758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223630</xdr:colOff>
      <xdr:row>19</xdr:row>
      <xdr:rowOff>149086</xdr:rowOff>
    </xdr:from>
    <xdr:to>
      <xdr:col>6</xdr:col>
      <xdr:colOff>265044</xdr:colOff>
      <xdr:row>27</xdr:row>
      <xdr:rowOff>116880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30" y="4936434"/>
          <a:ext cx="2020957" cy="24857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405849</xdr:colOff>
      <xdr:row>30</xdr:row>
      <xdr:rowOff>265044</xdr:rowOff>
    </xdr:from>
    <xdr:to>
      <xdr:col>9</xdr:col>
      <xdr:colOff>498392</xdr:colOff>
      <xdr:row>37</xdr:row>
      <xdr:rowOff>124239</xdr:rowOff>
    </xdr:to>
    <xdr:grpSp>
      <xdr:nvGrpSpPr>
        <xdr:cNvPr id="12" name="Group 11"/>
        <xdr:cNvGrpSpPr/>
      </xdr:nvGrpSpPr>
      <xdr:grpSpPr>
        <a:xfrm>
          <a:off x="1581979" y="8365435"/>
          <a:ext cx="5186348" cy="2062369"/>
          <a:chOff x="2095499" y="8647043"/>
          <a:chExt cx="4672827" cy="1780761"/>
        </a:xfrm>
      </xdr:grpSpPr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5499" y="8647043"/>
            <a:ext cx="4672827" cy="178076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 descr="Screen Clippi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01347" y="8829261"/>
            <a:ext cx="695422" cy="1300369"/>
          </a:xfrm>
          <a:prstGeom prst="rect">
            <a:avLst/>
          </a:prstGeom>
        </xdr:spPr>
      </xdr:pic>
      <xdr:pic>
        <xdr:nvPicPr>
          <xdr:cNvPr id="6" name="Picture 5" descr="Screen Clippi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51173" y="8829261"/>
            <a:ext cx="695422" cy="130036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190500</xdr:colOff>
      <xdr:row>42</xdr:row>
      <xdr:rowOff>41412</xdr:rowOff>
    </xdr:from>
    <xdr:to>
      <xdr:col>5</xdr:col>
      <xdr:colOff>1863587</xdr:colOff>
      <xdr:row>48</xdr:row>
      <xdr:rowOff>210816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1769586"/>
          <a:ext cx="1673087" cy="2057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173934</xdr:colOff>
      <xdr:row>53</xdr:row>
      <xdr:rowOff>0</xdr:rowOff>
    </xdr:from>
    <xdr:to>
      <xdr:col>10</xdr:col>
      <xdr:colOff>41413</xdr:colOff>
      <xdr:row>59</xdr:row>
      <xdr:rowOff>281467</xdr:rowOff>
    </xdr:to>
    <xdr:grpSp>
      <xdr:nvGrpSpPr>
        <xdr:cNvPr id="11" name="Group 10"/>
        <xdr:cNvGrpSpPr/>
      </xdr:nvGrpSpPr>
      <xdr:grpSpPr>
        <a:xfrm>
          <a:off x="1938130" y="15041217"/>
          <a:ext cx="4961283" cy="2169902"/>
          <a:chOff x="1938130" y="15041217"/>
          <a:chExt cx="4961283" cy="2169902"/>
        </a:xfrm>
      </xdr:grpSpPr>
      <xdr:pic>
        <xdr:nvPicPr>
          <xdr:cNvPr id="8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38130" y="15041217"/>
            <a:ext cx="4961283" cy="21699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Picture 8" descr="Screen Clippi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19125" y="15231715"/>
            <a:ext cx="935939" cy="1689655"/>
          </a:xfrm>
          <a:prstGeom prst="rect">
            <a:avLst/>
          </a:prstGeom>
        </xdr:spPr>
      </xdr:pic>
      <xdr:pic>
        <xdr:nvPicPr>
          <xdr:cNvPr id="10" name="Picture 9" descr="Screen Clippi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93190" y="15231715"/>
            <a:ext cx="935939" cy="168965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422412</xdr:colOff>
      <xdr:row>63</xdr:row>
      <xdr:rowOff>190499</xdr:rowOff>
    </xdr:from>
    <xdr:to>
      <xdr:col>8</xdr:col>
      <xdr:colOff>57977</xdr:colOff>
      <xdr:row>71</xdr:row>
      <xdr:rowOff>144883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4673" y="18230021"/>
          <a:ext cx="2965174" cy="2472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91108</xdr:colOff>
      <xdr:row>74</xdr:row>
      <xdr:rowOff>99390</xdr:rowOff>
    </xdr:from>
    <xdr:to>
      <xdr:col>9</xdr:col>
      <xdr:colOff>41413</xdr:colOff>
      <xdr:row>82</xdr:row>
      <xdr:rowOff>216596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369" y="21451955"/>
          <a:ext cx="3867979" cy="2635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33129</xdr:colOff>
      <xdr:row>85</xdr:row>
      <xdr:rowOff>314738</xdr:rowOff>
    </xdr:from>
    <xdr:to>
      <xdr:col>8</xdr:col>
      <xdr:colOff>571499</xdr:colOff>
      <xdr:row>92</xdr:row>
      <xdr:rowOff>262169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390" y="24980347"/>
          <a:ext cx="3867979" cy="2150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173933</xdr:colOff>
      <xdr:row>96</xdr:row>
      <xdr:rowOff>157369</xdr:rowOff>
    </xdr:from>
    <xdr:to>
      <xdr:col>8</xdr:col>
      <xdr:colOff>165651</xdr:colOff>
      <xdr:row>104</xdr:row>
      <xdr:rowOff>136006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194" y="28136021"/>
          <a:ext cx="3321327" cy="249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107</xdr:row>
      <xdr:rowOff>182216</xdr:rowOff>
    </xdr:from>
    <xdr:to>
      <xdr:col>6</xdr:col>
      <xdr:colOff>240196</xdr:colOff>
      <xdr:row>115</xdr:row>
      <xdr:rowOff>214808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31473912"/>
          <a:ext cx="2103783" cy="255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248478</xdr:colOff>
      <xdr:row>118</xdr:row>
      <xdr:rowOff>265043</xdr:rowOff>
    </xdr:from>
    <xdr:to>
      <xdr:col>5</xdr:col>
      <xdr:colOff>1871870</xdr:colOff>
      <xdr:row>125</xdr:row>
      <xdr:rowOff>253180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478" y="34869782"/>
          <a:ext cx="1623392" cy="2191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578125</xdr:colOff>
      <xdr:row>129</xdr:row>
      <xdr:rowOff>231084</xdr:rowOff>
    </xdr:from>
    <xdr:to>
      <xdr:col>5</xdr:col>
      <xdr:colOff>1656521</xdr:colOff>
      <xdr:row>136</xdr:row>
      <xdr:rowOff>203063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6125" y="38148867"/>
          <a:ext cx="1078396" cy="2175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231912</xdr:colOff>
      <xdr:row>141</xdr:row>
      <xdr:rowOff>91109</xdr:rowOff>
    </xdr:from>
    <xdr:to>
      <xdr:col>5</xdr:col>
      <xdr:colOff>1946412</xdr:colOff>
      <xdr:row>147</xdr:row>
      <xdr:rowOff>297471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2" y="41636674"/>
          <a:ext cx="1714500" cy="2094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74542</xdr:colOff>
      <xdr:row>152</xdr:row>
      <xdr:rowOff>91108</xdr:rowOff>
    </xdr:from>
    <xdr:to>
      <xdr:col>6</xdr:col>
      <xdr:colOff>182217</xdr:colOff>
      <xdr:row>159</xdr:row>
      <xdr:rowOff>35101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2" y="44949717"/>
          <a:ext cx="2087218" cy="2147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198782</xdr:colOff>
      <xdr:row>163</xdr:row>
      <xdr:rowOff>190499</xdr:rowOff>
    </xdr:from>
    <xdr:to>
      <xdr:col>8</xdr:col>
      <xdr:colOff>66260</xdr:colOff>
      <xdr:row>169</xdr:row>
      <xdr:rowOff>9647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043" y="48362151"/>
          <a:ext cx="3197087" cy="1707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140803</xdr:colOff>
      <xdr:row>173</xdr:row>
      <xdr:rowOff>248478</xdr:rowOff>
    </xdr:from>
    <xdr:to>
      <xdr:col>8</xdr:col>
      <xdr:colOff>372716</xdr:colOff>
      <xdr:row>180</xdr:row>
      <xdr:rowOff>254857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064" y="51418435"/>
          <a:ext cx="3561522" cy="22095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49694</xdr:colOff>
      <xdr:row>184</xdr:row>
      <xdr:rowOff>273326</xdr:rowOff>
    </xdr:from>
    <xdr:to>
      <xdr:col>8</xdr:col>
      <xdr:colOff>380998</xdr:colOff>
      <xdr:row>192</xdr:row>
      <xdr:rowOff>81363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1955" y="54756326"/>
          <a:ext cx="3660913" cy="232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430694</xdr:colOff>
      <xdr:row>195</xdr:row>
      <xdr:rowOff>82826</xdr:rowOff>
    </xdr:from>
    <xdr:to>
      <xdr:col>7</xdr:col>
      <xdr:colOff>198782</xdr:colOff>
      <xdr:row>203</xdr:row>
      <xdr:rowOff>211346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2955" y="57878869"/>
          <a:ext cx="2832653" cy="26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629477</xdr:colOff>
      <xdr:row>206</xdr:row>
      <xdr:rowOff>157370</xdr:rowOff>
    </xdr:from>
    <xdr:to>
      <xdr:col>6</xdr:col>
      <xdr:colOff>265043</xdr:colOff>
      <xdr:row>214</xdr:row>
      <xdr:rowOff>119851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8" y="61266457"/>
          <a:ext cx="2310848" cy="2480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372717</xdr:colOff>
      <xdr:row>218</xdr:row>
      <xdr:rowOff>33130</xdr:rowOff>
    </xdr:from>
    <xdr:to>
      <xdr:col>7</xdr:col>
      <xdr:colOff>124239</xdr:colOff>
      <xdr:row>224</xdr:row>
      <xdr:rowOff>212203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978" y="64770000"/>
          <a:ext cx="2816087" cy="2067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538369</xdr:colOff>
      <xdr:row>229</xdr:row>
      <xdr:rowOff>41414</xdr:rowOff>
    </xdr:from>
    <xdr:to>
      <xdr:col>9</xdr:col>
      <xdr:colOff>115957</xdr:colOff>
      <xdr:row>235</xdr:row>
      <xdr:rowOff>5817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565" y="68091327"/>
          <a:ext cx="4083327" cy="1852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347869</xdr:colOff>
      <xdr:row>239</xdr:row>
      <xdr:rowOff>306456</xdr:rowOff>
    </xdr:from>
    <xdr:to>
      <xdr:col>5</xdr:col>
      <xdr:colOff>1623391</xdr:colOff>
      <xdr:row>246</xdr:row>
      <xdr:rowOff>266127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69" y="71354673"/>
          <a:ext cx="1275522" cy="216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124239</xdr:colOff>
      <xdr:row>251</xdr:row>
      <xdr:rowOff>57979</xdr:rowOff>
    </xdr:from>
    <xdr:to>
      <xdr:col>8</xdr:col>
      <xdr:colOff>207065</xdr:colOff>
      <xdr:row>257</xdr:row>
      <xdr:rowOff>222194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4733979"/>
          <a:ext cx="3412435" cy="20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99391</xdr:colOff>
      <xdr:row>261</xdr:row>
      <xdr:rowOff>306456</xdr:rowOff>
    </xdr:from>
    <xdr:to>
      <xdr:col>5</xdr:col>
      <xdr:colOff>1847022</xdr:colOff>
      <xdr:row>268</xdr:row>
      <xdr:rowOff>238562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1" y="77980760"/>
          <a:ext cx="1747631" cy="21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107672</xdr:colOff>
      <xdr:row>274</xdr:row>
      <xdr:rowOff>82826</xdr:rowOff>
    </xdr:from>
    <xdr:to>
      <xdr:col>8</xdr:col>
      <xdr:colOff>463826</xdr:colOff>
      <xdr:row>277</xdr:row>
      <xdr:rowOff>306965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1868" y="81699652"/>
          <a:ext cx="4273828" cy="11683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66261</xdr:colOff>
      <xdr:row>275</xdr:row>
      <xdr:rowOff>107674</xdr:rowOff>
    </xdr:from>
    <xdr:to>
      <xdr:col>5</xdr:col>
      <xdr:colOff>1954696</xdr:colOff>
      <xdr:row>275</xdr:row>
      <xdr:rowOff>107674</xdr:rowOff>
    </xdr:to>
    <xdr:cxnSp macro="">
      <xdr:nvCxnSpPr>
        <xdr:cNvPr id="34" name="Straight Connector 33"/>
        <xdr:cNvCxnSpPr/>
      </xdr:nvCxnSpPr>
      <xdr:spPr>
        <a:xfrm>
          <a:off x="2418522" y="82039239"/>
          <a:ext cx="258417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66261</xdr:colOff>
      <xdr:row>275</xdr:row>
      <xdr:rowOff>207065</xdr:rowOff>
    </xdr:from>
    <xdr:to>
      <xdr:col>5</xdr:col>
      <xdr:colOff>1954696</xdr:colOff>
      <xdr:row>275</xdr:row>
      <xdr:rowOff>207065</xdr:rowOff>
    </xdr:to>
    <xdr:cxnSp macro="">
      <xdr:nvCxnSpPr>
        <xdr:cNvPr id="35" name="Straight Connector 34"/>
        <xdr:cNvCxnSpPr/>
      </xdr:nvCxnSpPr>
      <xdr:spPr>
        <a:xfrm>
          <a:off x="2418522" y="82138630"/>
          <a:ext cx="258417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66261</xdr:colOff>
      <xdr:row>275</xdr:row>
      <xdr:rowOff>306456</xdr:rowOff>
    </xdr:from>
    <xdr:to>
      <xdr:col>5</xdr:col>
      <xdr:colOff>1954696</xdr:colOff>
      <xdr:row>275</xdr:row>
      <xdr:rowOff>306456</xdr:rowOff>
    </xdr:to>
    <xdr:cxnSp macro="">
      <xdr:nvCxnSpPr>
        <xdr:cNvPr id="36" name="Straight Connector 35"/>
        <xdr:cNvCxnSpPr/>
      </xdr:nvCxnSpPr>
      <xdr:spPr>
        <a:xfrm>
          <a:off x="2418522" y="82238021"/>
          <a:ext cx="258417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66261</xdr:colOff>
      <xdr:row>276</xdr:row>
      <xdr:rowOff>74543</xdr:rowOff>
    </xdr:from>
    <xdr:to>
      <xdr:col>5</xdr:col>
      <xdr:colOff>1954696</xdr:colOff>
      <xdr:row>276</xdr:row>
      <xdr:rowOff>74543</xdr:rowOff>
    </xdr:to>
    <xdr:cxnSp macro="">
      <xdr:nvCxnSpPr>
        <xdr:cNvPr id="37" name="Straight Connector 36"/>
        <xdr:cNvCxnSpPr/>
      </xdr:nvCxnSpPr>
      <xdr:spPr>
        <a:xfrm>
          <a:off x="2418522" y="82320847"/>
          <a:ext cx="258417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66261</xdr:colOff>
      <xdr:row>276</xdr:row>
      <xdr:rowOff>165652</xdr:rowOff>
    </xdr:from>
    <xdr:to>
      <xdr:col>5</xdr:col>
      <xdr:colOff>1954696</xdr:colOff>
      <xdr:row>276</xdr:row>
      <xdr:rowOff>165652</xdr:rowOff>
    </xdr:to>
    <xdr:cxnSp macro="">
      <xdr:nvCxnSpPr>
        <xdr:cNvPr id="40" name="Straight Connector 39"/>
        <xdr:cNvCxnSpPr/>
      </xdr:nvCxnSpPr>
      <xdr:spPr>
        <a:xfrm>
          <a:off x="2418522" y="82411956"/>
          <a:ext cx="258417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66261</xdr:colOff>
      <xdr:row>276</xdr:row>
      <xdr:rowOff>265043</xdr:rowOff>
    </xdr:from>
    <xdr:to>
      <xdr:col>5</xdr:col>
      <xdr:colOff>1954696</xdr:colOff>
      <xdr:row>276</xdr:row>
      <xdr:rowOff>265043</xdr:rowOff>
    </xdr:to>
    <xdr:cxnSp macro="">
      <xdr:nvCxnSpPr>
        <xdr:cNvPr id="41" name="Straight Connector 40"/>
        <xdr:cNvCxnSpPr/>
      </xdr:nvCxnSpPr>
      <xdr:spPr>
        <a:xfrm>
          <a:off x="2418522" y="82511347"/>
          <a:ext cx="258417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66261</xdr:colOff>
      <xdr:row>277</xdr:row>
      <xdr:rowOff>33130</xdr:rowOff>
    </xdr:from>
    <xdr:to>
      <xdr:col>5</xdr:col>
      <xdr:colOff>1954696</xdr:colOff>
      <xdr:row>277</xdr:row>
      <xdr:rowOff>33130</xdr:rowOff>
    </xdr:to>
    <xdr:cxnSp macro="">
      <xdr:nvCxnSpPr>
        <xdr:cNvPr id="42" name="Straight Connector 41"/>
        <xdr:cNvCxnSpPr/>
      </xdr:nvCxnSpPr>
      <xdr:spPr>
        <a:xfrm>
          <a:off x="2418522" y="82594173"/>
          <a:ext cx="258417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438978</xdr:colOff>
      <xdr:row>284</xdr:row>
      <xdr:rowOff>248478</xdr:rowOff>
    </xdr:from>
    <xdr:to>
      <xdr:col>9</xdr:col>
      <xdr:colOff>172391</xdr:colOff>
      <xdr:row>288</xdr:row>
      <xdr:rowOff>215347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3174" y="84863608"/>
          <a:ext cx="4239152" cy="1225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414130</xdr:colOff>
      <xdr:row>286</xdr:row>
      <xdr:rowOff>16564</xdr:rowOff>
    </xdr:from>
    <xdr:to>
      <xdr:col>6</xdr:col>
      <xdr:colOff>207066</xdr:colOff>
      <xdr:row>286</xdr:row>
      <xdr:rowOff>16564</xdr:rowOff>
    </xdr:to>
    <xdr:cxnSp macro="">
      <xdr:nvCxnSpPr>
        <xdr:cNvPr id="44" name="Straight Connector 43"/>
        <xdr:cNvCxnSpPr/>
      </xdr:nvCxnSpPr>
      <xdr:spPr>
        <a:xfrm>
          <a:off x="2766391" y="85261173"/>
          <a:ext cx="246821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414130</xdr:colOff>
      <xdr:row>286</xdr:row>
      <xdr:rowOff>115955</xdr:rowOff>
    </xdr:from>
    <xdr:to>
      <xdr:col>6</xdr:col>
      <xdr:colOff>207066</xdr:colOff>
      <xdr:row>286</xdr:row>
      <xdr:rowOff>115955</xdr:rowOff>
    </xdr:to>
    <xdr:cxnSp macro="">
      <xdr:nvCxnSpPr>
        <xdr:cNvPr id="46" name="Straight Connector 45"/>
        <xdr:cNvCxnSpPr/>
      </xdr:nvCxnSpPr>
      <xdr:spPr>
        <a:xfrm>
          <a:off x="2766391" y="85360564"/>
          <a:ext cx="246821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414130</xdr:colOff>
      <xdr:row>286</xdr:row>
      <xdr:rowOff>215346</xdr:rowOff>
    </xdr:from>
    <xdr:to>
      <xdr:col>6</xdr:col>
      <xdr:colOff>207066</xdr:colOff>
      <xdr:row>286</xdr:row>
      <xdr:rowOff>215346</xdr:rowOff>
    </xdr:to>
    <xdr:cxnSp macro="">
      <xdr:nvCxnSpPr>
        <xdr:cNvPr id="47" name="Straight Connector 46"/>
        <xdr:cNvCxnSpPr/>
      </xdr:nvCxnSpPr>
      <xdr:spPr>
        <a:xfrm>
          <a:off x="2766391" y="85459955"/>
          <a:ext cx="246821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414130</xdr:colOff>
      <xdr:row>286</xdr:row>
      <xdr:rowOff>298172</xdr:rowOff>
    </xdr:from>
    <xdr:to>
      <xdr:col>6</xdr:col>
      <xdr:colOff>207066</xdr:colOff>
      <xdr:row>286</xdr:row>
      <xdr:rowOff>298172</xdr:rowOff>
    </xdr:to>
    <xdr:cxnSp macro="">
      <xdr:nvCxnSpPr>
        <xdr:cNvPr id="48" name="Straight Connector 47"/>
        <xdr:cNvCxnSpPr/>
      </xdr:nvCxnSpPr>
      <xdr:spPr>
        <a:xfrm>
          <a:off x="2766391" y="85542781"/>
          <a:ext cx="246821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414130</xdr:colOff>
      <xdr:row>287</xdr:row>
      <xdr:rowOff>82824</xdr:rowOff>
    </xdr:from>
    <xdr:to>
      <xdr:col>6</xdr:col>
      <xdr:colOff>207066</xdr:colOff>
      <xdr:row>287</xdr:row>
      <xdr:rowOff>82824</xdr:rowOff>
    </xdr:to>
    <xdr:cxnSp macro="">
      <xdr:nvCxnSpPr>
        <xdr:cNvPr id="49" name="Straight Connector 48"/>
        <xdr:cNvCxnSpPr/>
      </xdr:nvCxnSpPr>
      <xdr:spPr>
        <a:xfrm>
          <a:off x="2766391" y="85642172"/>
          <a:ext cx="246821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414130</xdr:colOff>
      <xdr:row>287</xdr:row>
      <xdr:rowOff>173933</xdr:rowOff>
    </xdr:from>
    <xdr:to>
      <xdr:col>6</xdr:col>
      <xdr:colOff>207066</xdr:colOff>
      <xdr:row>287</xdr:row>
      <xdr:rowOff>173933</xdr:rowOff>
    </xdr:to>
    <xdr:cxnSp macro="">
      <xdr:nvCxnSpPr>
        <xdr:cNvPr id="50" name="Straight Connector 49"/>
        <xdr:cNvCxnSpPr/>
      </xdr:nvCxnSpPr>
      <xdr:spPr>
        <a:xfrm>
          <a:off x="2766391" y="85733281"/>
          <a:ext cx="246821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414130</xdr:colOff>
      <xdr:row>287</xdr:row>
      <xdr:rowOff>248476</xdr:rowOff>
    </xdr:from>
    <xdr:to>
      <xdr:col>6</xdr:col>
      <xdr:colOff>207066</xdr:colOff>
      <xdr:row>287</xdr:row>
      <xdr:rowOff>248476</xdr:rowOff>
    </xdr:to>
    <xdr:cxnSp macro="">
      <xdr:nvCxnSpPr>
        <xdr:cNvPr id="51" name="Straight Connector 50"/>
        <xdr:cNvCxnSpPr/>
      </xdr:nvCxnSpPr>
      <xdr:spPr>
        <a:xfrm>
          <a:off x="2766391" y="85807824"/>
          <a:ext cx="246821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248478</xdr:colOff>
      <xdr:row>295</xdr:row>
      <xdr:rowOff>265043</xdr:rowOff>
    </xdr:from>
    <xdr:to>
      <xdr:col>6</xdr:col>
      <xdr:colOff>328718</xdr:colOff>
      <xdr:row>300</xdr:row>
      <xdr:rowOff>57977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739" y="88193217"/>
          <a:ext cx="2755522" cy="1366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190500</xdr:colOff>
      <xdr:row>297</xdr:row>
      <xdr:rowOff>57978</xdr:rowOff>
    </xdr:from>
    <xdr:to>
      <xdr:col>5</xdr:col>
      <xdr:colOff>977348</xdr:colOff>
      <xdr:row>297</xdr:row>
      <xdr:rowOff>57978</xdr:rowOff>
    </xdr:to>
    <xdr:cxnSp macro="">
      <xdr:nvCxnSpPr>
        <xdr:cNvPr id="53" name="Straight Connector 52"/>
        <xdr:cNvCxnSpPr/>
      </xdr:nvCxnSpPr>
      <xdr:spPr>
        <a:xfrm>
          <a:off x="3238500" y="88615630"/>
          <a:ext cx="78684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297</xdr:row>
      <xdr:rowOff>149087</xdr:rowOff>
    </xdr:from>
    <xdr:to>
      <xdr:col>5</xdr:col>
      <xdr:colOff>977348</xdr:colOff>
      <xdr:row>297</xdr:row>
      <xdr:rowOff>149087</xdr:rowOff>
    </xdr:to>
    <xdr:cxnSp macro="">
      <xdr:nvCxnSpPr>
        <xdr:cNvPr id="55" name="Straight Connector 54"/>
        <xdr:cNvCxnSpPr/>
      </xdr:nvCxnSpPr>
      <xdr:spPr>
        <a:xfrm>
          <a:off x="3238500" y="88706739"/>
          <a:ext cx="78684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297</xdr:row>
      <xdr:rowOff>273326</xdr:rowOff>
    </xdr:from>
    <xdr:to>
      <xdr:col>5</xdr:col>
      <xdr:colOff>977348</xdr:colOff>
      <xdr:row>297</xdr:row>
      <xdr:rowOff>273326</xdr:rowOff>
    </xdr:to>
    <xdr:cxnSp macro="">
      <xdr:nvCxnSpPr>
        <xdr:cNvPr id="56" name="Straight Connector 55"/>
        <xdr:cNvCxnSpPr/>
      </xdr:nvCxnSpPr>
      <xdr:spPr>
        <a:xfrm>
          <a:off x="3238500" y="88830978"/>
          <a:ext cx="78684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298</xdr:row>
      <xdr:rowOff>66261</xdr:rowOff>
    </xdr:from>
    <xdr:to>
      <xdr:col>5</xdr:col>
      <xdr:colOff>977348</xdr:colOff>
      <xdr:row>298</xdr:row>
      <xdr:rowOff>66261</xdr:rowOff>
    </xdr:to>
    <xdr:cxnSp macro="">
      <xdr:nvCxnSpPr>
        <xdr:cNvPr id="57" name="Straight Connector 56"/>
        <xdr:cNvCxnSpPr/>
      </xdr:nvCxnSpPr>
      <xdr:spPr>
        <a:xfrm>
          <a:off x="3238500" y="88938652"/>
          <a:ext cx="78684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298</xdr:row>
      <xdr:rowOff>157370</xdr:rowOff>
    </xdr:from>
    <xdr:to>
      <xdr:col>5</xdr:col>
      <xdr:colOff>977348</xdr:colOff>
      <xdr:row>298</xdr:row>
      <xdr:rowOff>157370</xdr:rowOff>
    </xdr:to>
    <xdr:cxnSp macro="">
      <xdr:nvCxnSpPr>
        <xdr:cNvPr id="58" name="Straight Connector 57"/>
        <xdr:cNvCxnSpPr/>
      </xdr:nvCxnSpPr>
      <xdr:spPr>
        <a:xfrm>
          <a:off x="3238500" y="89029761"/>
          <a:ext cx="78684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298</xdr:row>
      <xdr:rowOff>256761</xdr:rowOff>
    </xdr:from>
    <xdr:to>
      <xdr:col>5</xdr:col>
      <xdr:colOff>977348</xdr:colOff>
      <xdr:row>298</xdr:row>
      <xdr:rowOff>256761</xdr:rowOff>
    </xdr:to>
    <xdr:cxnSp macro="">
      <xdr:nvCxnSpPr>
        <xdr:cNvPr id="59" name="Straight Connector 58"/>
        <xdr:cNvCxnSpPr/>
      </xdr:nvCxnSpPr>
      <xdr:spPr>
        <a:xfrm>
          <a:off x="3238500" y="89129152"/>
          <a:ext cx="78684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299</xdr:row>
      <xdr:rowOff>41414</xdr:rowOff>
    </xdr:from>
    <xdr:to>
      <xdr:col>5</xdr:col>
      <xdr:colOff>977348</xdr:colOff>
      <xdr:row>299</xdr:row>
      <xdr:rowOff>41414</xdr:rowOff>
    </xdr:to>
    <xdr:cxnSp macro="">
      <xdr:nvCxnSpPr>
        <xdr:cNvPr id="60" name="Straight Connector 59"/>
        <xdr:cNvCxnSpPr/>
      </xdr:nvCxnSpPr>
      <xdr:spPr>
        <a:xfrm>
          <a:off x="3238500" y="89228544"/>
          <a:ext cx="78684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505239</xdr:colOff>
      <xdr:row>306</xdr:row>
      <xdr:rowOff>215347</xdr:rowOff>
    </xdr:from>
    <xdr:to>
      <xdr:col>8</xdr:col>
      <xdr:colOff>73775</xdr:colOff>
      <xdr:row>310</xdr:row>
      <xdr:rowOff>240195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9435" y="91456564"/>
          <a:ext cx="3486210" cy="1283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530087</xdr:colOff>
      <xdr:row>307</xdr:row>
      <xdr:rowOff>298172</xdr:rowOff>
    </xdr:from>
    <xdr:to>
      <xdr:col>5</xdr:col>
      <xdr:colOff>1441174</xdr:colOff>
      <xdr:row>307</xdr:row>
      <xdr:rowOff>298172</xdr:rowOff>
    </xdr:to>
    <xdr:cxnSp macro="">
      <xdr:nvCxnSpPr>
        <xdr:cNvPr id="62" name="Straight Connector 61"/>
        <xdr:cNvCxnSpPr/>
      </xdr:nvCxnSpPr>
      <xdr:spPr>
        <a:xfrm>
          <a:off x="2882348" y="91854129"/>
          <a:ext cx="16068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530087</xdr:colOff>
      <xdr:row>308</xdr:row>
      <xdr:rowOff>74541</xdr:rowOff>
    </xdr:from>
    <xdr:to>
      <xdr:col>5</xdr:col>
      <xdr:colOff>1441174</xdr:colOff>
      <xdr:row>308</xdr:row>
      <xdr:rowOff>74541</xdr:rowOff>
    </xdr:to>
    <xdr:cxnSp macro="">
      <xdr:nvCxnSpPr>
        <xdr:cNvPr id="64" name="Straight Connector 63"/>
        <xdr:cNvCxnSpPr/>
      </xdr:nvCxnSpPr>
      <xdr:spPr>
        <a:xfrm>
          <a:off x="2882348" y="91945237"/>
          <a:ext cx="16068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530087</xdr:colOff>
      <xdr:row>308</xdr:row>
      <xdr:rowOff>173933</xdr:rowOff>
    </xdr:from>
    <xdr:to>
      <xdr:col>5</xdr:col>
      <xdr:colOff>1441174</xdr:colOff>
      <xdr:row>308</xdr:row>
      <xdr:rowOff>173933</xdr:rowOff>
    </xdr:to>
    <xdr:cxnSp macro="">
      <xdr:nvCxnSpPr>
        <xdr:cNvPr id="65" name="Straight Connector 64"/>
        <xdr:cNvCxnSpPr/>
      </xdr:nvCxnSpPr>
      <xdr:spPr>
        <a:xfrm>
          <a:off x="2882348" y="92044629"/>
          <a:ext cx="16068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530087</xdr:colOff>
      <xdr:row>308</xdr:row>
      <xdr:rowOff>265042</xdr:rowOff>
    </xdr:from>
    <xdr:to>
      <xdr:col>5</xdr:col>
      <xdr:colOff>1441174</xdr:colOff>
      <xdr:row>308</xdr:row>
      <xdr:rowOff>265042</xdr:rowOff>
    </xdr:to>
    <xdr:cxnSp macro="">
      <xdr:nvCxnSpPr>
        <xdr:cNvPr id="66" name="Straight Connector 65"/>
        <xdr:cNvCxnSpPr/>
      </xdr:nvCxnSpPr>
      <xdr:spPr>
        <a:xfrm>
          <a:off x="2882348" y="92135738"/>
          <a:ext cx="16068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530087</xdr:colOff>
      <xdr:row>309</xdr:row>
      <xdr:rowOff>66259</xdr:rowOff>
    </xdr:from>
    <xdr:to>
      <xdr:col>5</xdr:col>
      <xdr:colOff>1441174</xdr:colOff>
      <xdr:row>309</xdr:row>
      <xdr:rowOff>66259</xdr:rowOff>
    </xdr:to>
    <xdr:cxnSp macro="">
      <xdr:nvCxnSpPr>
        <xdr:cNvPr id="67" name="Straight Connector 66"/>
        <xdr:cNvCxnSpPr/>
      </xdr:nvCxnSpPr>
      <xdr:spPr>
        <a:xfrm>
          <a:off x="2882348" y="92251694"/>
          <a:ext cx="16068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530087</xdr:colOff>
      <xdr:row>309</xdr:row>
      <xdr:rowOff>165651</xdr:rowOff>
    </xdr:from>
    <xdr:to>
      <xdr:col>5</xdr:col>
      <xdr:colOff>1441174</xdr:colOff>
      <xdr:row>309</xdr:row>
      <xdr:rowOff>165651</xdr:rowOff>
    </xdr:to>
    <xdr:cxnSp macro="">
      <xdr:nvCxnSpPr>
        <xdr:cNvPr id="68" name="Straight Connector 67"/>
        <xdr:cNvCxnSpPr/>
      </xdr:nvCxnSpPr>
      <xdr:spPr>
        <a:xfrm>
          <a:off x="2882348" y="92351086"/>
          <a:ext cx="16068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530087</xdr:colOff>
      <xdr:row>309</xdr:row>
      <xdr:rowOff>273324</xdr:rowOff>
    </xdr:from>
    <xdr:to>
      <xdr:col>5</xdr:col>
      <xdr:colOff>1441174</xdr:colOff>
      <xdr:row>309</xdr:row>
      <xdr:rowOff>273324</xdr:rowOff>
    </xdr:to>
    <xdr:cxnSp macro="">
      <xdr:nvCxnSpPr>
        <xdr:cNvPr id="69" name="Straight Connector 68"/>
        <xdr:cNvCxnSpPr/>
      </xdr:nvCxnSpPr>
      <xdr:spPr>
        <a:xfrm>
          <a:off x="2882348" y="92458759"/>
          <a:ext cx="16068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447261</xdr:colOff>
      <xdr:row>318</xdr:row>
      <xdr:rowOff>49695</xdr:rowOff>
    </xdr:from>
    <xdr:to>
      <xdr:col>9</xdr:col>
      <xdr:colOff>398543</xdr:colOff>
      <xdr:row>321</xdr:row>
      <xdr:rowOff>215347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391" y="94918695"/>
          <a:ext cx="5045087" cy="11098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1002196</xdr:colOff>
      <xdr:row>318</xdr:row>
      <xdr:rowOff>165652</xdr:rowOff>
    </xdr:from>
    <xdr:to>
      <xdr:col>5</xdr:col>
      <xdr:colOff>1002196</xdr:colOff>
      <xdr:row>320</xdr:row>
      <xdr:rowOff>66261</xdr:rowOff>
    </xdr:to>
    <xdr:cxnSp macro="">
      <xdr:nvCxnSpPr>
        <xdr:cNvPr id="72" name="Straight Connector 71"/>
        <xdr:cNvCxnSpPr/>
      </xdr:nvCxnSpPr>
      <xdr:spPr>
        <a:xfrm>
          <a:off x="4050196" y="95034652"/>
          <a:ext cx="0" cy="53008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438978</xdr:colOff>
      <xdr:row>328</xdr:row>
      <xdr:rowOff>132521</xdr:rowOff>
    </xdr:from>
    <xdr:to>
      <xdr:col>5</xdr:col>
      <xdr:colOff>1954696</xdr:colOff>
      <xdr:row>333</xdr:row>
      <xdr:rowOff>76040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978" y="97999825"/>
          <a:ext cx="1515718" cy="1517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563216</xdr:colOff>
      <xdr:row>340</xdr:row>
      <xdr:rowOff>16566</xdr:rowOff>
    </xdr:from>
    <xdr:to>
      <xdr:col>5</xdr:col>
      <xdr:colOff>1747629</xdr:colOff>
      <xdr:row>344</xdr:row>
      <xdr:rowOff>206656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216" y="101511653"/>
          <a:ext cx="1184413" cy="144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16564</xdr:colOff>
      <xdr:row>350</xdr:row>
      <xdr:rowOff>223631</xdr:rowOff>
    </xdr:from>
    <xdr:to>
      <xdr:col>8</xdr:col>
      <xdr:colOff>202651</xdr:colOff>
      <xdr:row>354</xdr:row>
      <xdr:rowOff>182218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825" y="104717022"/>
          <a:ext cx="3515696" cy="1217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223629</xdr:colOff>
      <xdr:row>362</xdr:row>
      <xdr:rowOff>8283</xdr:rowOff>
    </xdr:from>
    <xdr:to>
      <xdr:col>8</xdr:col>
      <xdr:colOff>274065</xdr:colOff>
      <xdr:row>365</xdr:row>
      <xdr:rowOff>124240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90" y="108129457"/>
          <a:ext cx="3380045" cy="1060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256760</xdr:colOff>
      <xdr:row>372</xdr:row>
      <xdr:rowOff>41413</xdr:rowOff>
    </xdr:from>
    <xdr:to>
      <xdr:col>9</xdr:col>
      <xdr:colOff>309637</xdr:colOff>
      <xdr:row>378</xdr:row>
      <xdr:rowOff>8282</xdr:rowOff>
    </xdr:to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0956" y="111160891"/>
          <a:ext cx="4558616" cy="1855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74542</xdr:colOff>
      <xdr:row>383</xdr:row>
      <xdr:rowOff>198783</xdr:rowOff>
    </xdr:from>
    <xdr:to>
      <xdr:col>9</xdr:col>
      <xdr:colOff>538053</xdr:colOff>
      <xdr:row>388</xdr:row>
      <xdr:rowOff>265044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8" y="114631305"/>
          <a:ext cx="4969250" cy="16399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165652</xdr:colOff>
      <xdr:row>393</xdr:row>
      <xdr:rowOff>248479</xdr:rowOff>
    </xdr:from>
    <xdr:to>
      <xdr:col>10</xdr:col>
      <xdr:colOff>435683</xdr:colOff>
      <xdr:row>401</xdr:row>
      <xdr:rowOff>91110</xdr:rowOff>
    </xdr:to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782" y="117679305"/>
          <a:ext cx="5951901" cy="2360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99391</xdr:colOff>
      <xdr:row>404</xdr:row>
      <xdr:rowOff>132522</xdr:rowOff>
    </xdr:from>
    <xdr:to>
      <xdr:col>8</xdr:col>
      <xdr:colOff>389282</xdr:colOff>
      <xdr:row>412</xdr:row>
      <xdr:rowOff>154537</xdr:rowOff>
    </xdr:to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652" y="120876392"/>
          <a:ext cx="3619500" cy="2539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107672</xdr:colOff>
      <xdr:row>415</xdr:row>
      <xdr:rowOff>74543</xdr:rowOff>
    </xdr:from>
    <xdr:to>
      <xdr:col>9</xdr:col>
      <xdr:colOff>256760</xdr:colOff>
      <xdr:row>423</xdr:row>
      <xdr:rowOff>185835</xdr:rowOff>
    </xdr:to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1868" y="124131456"/>
          <a:ext cx="4654827" cy="262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207063</xdr:colOff>
      <xdr:row>427</xdr:row>
      <xdr:rowOff>190501</xdr:rowOff>
    </xdr:from>
    <xdr:to>
      <xdr:col>9</xdr:col>
      <xdr:colOff>261403</xdr:colOff>
      <xdr:row>433</xdr:row>
      <xdr:rowOff>82827</xdr:rowOff>
    </xdr:to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259" y="127875197"/>
          <a:ext cx="4560079" cy="1780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571498</xdr:colOff>
      <xdr:row>438</xdr:row>
      <xdr:rowOff>149087</xdr:rowOff>
    </xdr:from>
    <xdr:to>
      <xdr:col>9</xdr:col>
      <xdr:colOff>65005</xdr:colOff>
      <xdr:row>443</xdr:row>
      <xdr:rowOff>289891</xdr:rowOff>
    </xdr:to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5694" y="131146826"/>
          <a:ext cx="3999246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505238</xdr:colOff>
      <xdr:row>449</xdr:row>
      <xdr:rowOff>182217</xdr:rowOff>
    </xdr:from>
    <xdr:to>
      <xdr:col>8</xdr:col>
      <xdr:colOff>342226</xdr:colOff>
      <xdr:row>454</xdr:row>
      <xdr:rowOff>157370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9434" y="134493000"/>
          <a:ext cx="3754662" cy="15488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240194</xdr:colOff>
      <xdr:row>460</xdr:row>
      <xdr:rowOff>207065</xdr:rowOff>
    </xdr:from>
    <xdr:to>
      <xdr:col>7</xdr:col>
      <xdr:colOff>74542</xdr:colOff>
      <xdr:row>466</xdr:row>
      <xdr:rowOff>88081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455" y="137830891"/>
          <a:ext cx="2898913" cy="1769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165650</xdr:colOff>
      <xdr:row>470</xdr:row>
      <xdr:rowOff>207066</xdr:rowOff>
    </xdr:from>
    <xdr:to>
      <xdr:col>5</xdr:col>
      <xdr:colOff>1913281</xdr:colOff>
      <xdr:row>478</xdr:row>
      <xdr:rowOff>184191</xdr:rowOff>
    </xdr:to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650" y="140829196"/>
          <a:ext cx="1747631" cy="2495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347869</xdr:colOff>
      <xdr:row>481</xdr:row>
      <xdr:rowOff>190499</xdr:rowOff>
    </xdr:from>
    <xdr:to>
      <xdr:col>7</xdr:col>
      <xdr:colOff>107674</xdr:colOff>
      <xdr:row>489</xdr:row>
      <xdr:rowOff>181229</xdr:rowOff>
    </xdr:to>
    <xdr:pic>
      <xdr:nvPicPr>
        <xdr:cNvPr id="8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30" y="144125673"/>
          <a:ext cx="2824370" cy="250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554934</xdr:colOff>
      <xdr:row>492</xdr:row>
      <xdr:rowOff>198783</xdr:rowOff>
    </xdr:from>
    <xdr:to>
      <xdr:col>9</xdr:col>
      <xdr:colOff>173935</xdr:colOff>
      <xdr:row>500</xdr:row>
      <xdr:rowOff>98554</xdr:rowOff>
    </xdr:to>
    <xdr:pic>
      <xdr:nvPicPr>
        <xdr:cNvPr id="8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130" y="147447000"/>
          <a:ext cx="4124740" cy="2417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513521</xdr:colOff>
      <xdr:row>503</xdr:row>
      <xdr:rowOff>198782</xdr:rowOff>
    </xdr:from>
    <xdr:to>
      <xdr:col>8</xdr:col>
      <xdr:colOff>331304</xdr:colOff>
      <xdr:row>511</xdr:row>
      <xdr:rowOff>211602</xdr:rowOff>
    </xdr:to>
    <xdr:pic>
      <xdr:nvPicPr>
        <xdr:cNvPr id="8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2" y="150760043"/>
          <a:ext cx="3147392" cy="2530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612913</xdr:colOff>
      <xdr:row>514</xdr:row>
      <xdr:rowOff>132521</xdr:rowOff>
    </xdr:from>
    <xdr:to>
      <xdr:col>5</xdr:col>
      <xdr:colOff>1797326</xdr:colOff>
      <xdr:row>522</xdr:row>
      <xdr:rowOff>59103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0913" y="154006825"/>
          <a:ext cx="1184413" cy="2444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604629</xdr:colOff>
      <xdr:row>525</xdr:row>
      <xdr:rowOff>157370</xdr:rowOff>
    </xdr:from>
    <xdr:to>
      <xdr:col>5</xdr:col>
      <xdr:colOff>1731064</xdr:colOff>
      <xdr:row>533</xdr:row>
      <xdr:rowOff>228476</xdr:rowOff>
    </xdr:to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2629" y="157344718"/>
          <a:ext cx="1126435" cy="2589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670890</xdr:colOff>
      <xdr:row>536</xdr:row>
      <xdr:rowOff>115956</xdr:rowOff>
    </xdr:from>
    <xdr:to>
      <xdr:col>5</xdr:col>
      <xdr:colOff>1664803</xdr:colOff>
      <xdr:row>544</xdr:row>
      <xdr:rowOff>243172</xdr:rowOff>
    </xdr:to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90" y="160616347"/>
          <a:ext cx="993913" cy="26451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646042</xdr:colOff>
      <xdr:row>547</xdr:row>
      <xdr:rowOff>41413</xdr:rowOff>
    </xdr:from>
    <xdr:to>
      <xdr:col>6</xdr:col>
      <xdr:colOff>240195</xdr:colOff>
      <xdr:row>555</xdr:row>
      <xdr:rowOff>262769</xdr:rowOff>
    </xdr:to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3" y="163854848"/>
          <a:ext cx="2269435" cy="2739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314739</xdr:colOff>
      <xdr:row>558</xdr:row>
      <xdr:rowOff>82826</xdr:rowOff>
    </xdr:from>
    <xdr:to>
      <xdr:col>5</xdr:col>
      <xdr:colOff>1772479</xdr:colOff>
      <xdr:row>566</xdr:row>
      <xdr:rowOff>256229</xdr:rowOff>
    </xdr:to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739" y="167209304"/>
          <a:ext cx="1457740" cy="2691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74543</xdr:colOff>
      <xdr:row>569</xdr:row>
      <xdr:rowOff>182216</xdr:rowOff>
    </xdr:from>
    <xdr:to>
      <xdr:col>10</xdr:col>
      <xdr:colOff>380825</xdr:colOff>
      <xdr:row>577</xdr:row>
      <xdr:rowOff>74542</xdr:rowOff>
    </xdr:to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73" y="170621738"/>
          <a:ext cx="5988152" cy="2410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472107</xdr:colOff>
      <xdr:row>570</xdr:row>
      <xdr:rowOff>82825</xdr:rowOff>
    </xdr:from>
    <xdr:to>
      <xdr:col>5</xdr:col>
      <xdr:colOff>36892</xdr:colOff>
      <xdr:row>576</xdr:row>
      <xdr:rowOff>82825</xdr:rowOff>
    </xdr:to>
    <xdr:pic>
      <xdr:nvPicPr>
        <xdr:cNvPr id="96" name="Picture 95" descr="Screen Clipping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237" y="170837086"/>
          <a:ext cx="1436655" cy="1888435"/>
        </a:xfrm>
        <a:prstGeom prst="rect">
          <a:avLst/>
        </a:prstGeom>
      </xdr:spPr>
    </xdr:pic>
    <xdr:clientData/>
  </xdr:twoCellAnchor>
  <xdr:twoCellAnchor editAs="oneCell">
    <xdr:from>
      <xdr:col>6</xdr:col>
      <xdr:colOff>99391</xdr:colOff>
      <xdr:row>570</xdr:row>
      <xdr:rowOff>82825</xdr:rowOff>
    </xdr:from>
    <xdr:to>
      <xdr:col>9</xdr:col>
      <xdr:colOff>132523</xdr:colOff>
      <xdr:row>576</xdr:row>
      <xdr:rowOff>82825</xdr:rowOff>
    </xdr:to>
    <xdr:pic>
      <xdr:nvPicPr>
        <xdr:cNvPr id="97" name="Picture 96" descr="Screen Clipping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6934" y="170837086"/>
          <a:ext cx="1275524" cy="1888435"/>
        </a:xfrm>
        <a:prstGeom prst="rect">
          <a:avLst/>
        </a:prstGeom>
      </xdr:spPr>
    </xdr:pic>
    <xdr:clientData/>
  </xdr:twoCellAnchor>
  <xdr:twoCellAnchor editAs="oneCell">
    <xdr:from>
      <xdr:col>3</xdr:col>
      <xdr:colOff>405847</xdr:colOff>
      <xdr:row>572</xdr:row>
      <xdr:rowOff>281609</xdr:rowOff>
    </xdr:from>
    <xdr:to>
      <xdr:col>4</xdr:col>
      <xdr:colOff>94046</xdr:colOff>
      <xdr:row>573</xdr:row>
      <xdr:rowOff>166923</xdr:rowOff>
    </xdr:to>
    <xdr:pic>
      <xdr:nvPicPr>
        <xdr:cNvPr id="98" name="Picture 97" descr="Screen Clipping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043" y="171665348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182218</xdr:colOff>
      <xdr:row>572</xdr:row>
      <xdr:rowOff>281609</xdr:rowOff>
    </xdr:from>
    <xdr:to>
      <xdr:col>8</xdr:col>
      <xdr:colOff>193438</xdr:colOff>
      <xdr:row>573</xdr:row>
      <xdr:rowOff>166923</xdr:rowOff>
    </xdr:to>
    <xdr:pic>
      <xdr:nvPicPr>
        <xdr:cNvPr id="100" name="Picture 99" descr="Screen Clipping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599044" y="171665348"/>
          <a:ext cx="276264" cy="200053"/>
        </a:xfrm>
        <a:prstGeom prst="rect">
          <a:avLst/>
        </a:prstGeom>
      </xdr:spPr>
    </xdr:pic>
    <xdr:clientData/>
  </xdr:twoCellAnchor>
  <xdr:twoCellAnchor>
    <xdr:from>
      <xdr:col>4</xdr:col>
      <xdr:colOff>654324</xdr:colOff>
      <xdr:row>580</xdr:row>
      <xdr:rowOff>265043</xdr:rowOff>
    </xdr:from>
    <xdr:to>
      <xdr:col>7</xdr:col>
      <xdr:colOff>99390</xdr:colOff>
      <xdr:row>587</xdr:row>
      <xdr:rowOff>261812</xdr:rowOff>
    </xdr:to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585" y="174017608"/>
          <a:ext cx="2509631" cy="2199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966086</xdr:colOff>
      <xdr:row>581</xdr:row>
      <xdr:rowOff>132522</xdr:rowOff>
    </xdr:from>
    <xdr:to>
      <xdr:col>5</xdr:col>
      <xdr:colOff>1731065</xdr:colOff>
      <xdr:row>586</xdr:row>
      <xdr:rowOff>298173</xdr:rowOff>
    </xdr:to>
    <xdr:pic>
      <xdr:nvPicPr>
        <xdr:cNvPr id="102" name="Picture 101" descr="Screen Clipping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4086" y="174199826"/>
          <a:ext cx="764979" cy="1739347"/>
        </a:xfrm>
        <a:prstGeom prst="rect">
          <a:avLst/>
        </a:prstGeom>
      </xdr:spPr>
    </xdr:pic>
    <xdr:clientData/>
  </xdr:twoCellAnchor>
  <xdr:twoCellAnchor editAs="oneCell">
    <xdr:from>
      <xdr:col>5</xdr:col>
      <xdr:colOff>1176132</xdr:colOff>
      <xdr:row>583</xdr:row>
      <xdr:rowOff>204648</xdr:rowOff>
    </xdr:from>
    <xdr:to>
      <xdr:col>5</xdr:col>
      <xdr:colOff>1483618</xdr:colOff>
      <xdr:row>584</xdr:row>
      <xdr:rowOff>231867</xdr:rowOff>
    </xdr:to>
    <xdr:pic>
      <xdr:nvPicPr>
        <xdr:cNvPr id="103" name="Picture 102" descr="Screen Clipping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24132" y="174901431"/>
          <a:ext cx="307486" cy="341958"/>
        </a:xfrm>
        <a:prstGeom prst="rect">
          <a:avLst/>
        </a:prstGeom>
      </xdr:spPr>
    </xdr:pic>
    <xdr:clientData/>
  </xdr:twoCellAnchor>
  <xdr:twoCellAnchor>
    <xdr:from>
      <xdr:col>2</xdr:col>
      <xdr:colOff>554935</xdr:colOff>
      <xdr:row>592</xdr:row>
      <xdr:rowOff>8281</xdr:rowOff>
    </xdr:from>
    <xdr:to>
      <xdr:col>9</xdr:col>
      <xdr:colOff>463826</xdr:colOff>
      <xdr:row>599</xdr:row>
      <xdr:rowOff>96685</xdr:rowOff>
    </xdr:to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065" y="177388629"/>
          <a:ext cx="5002696" cy="22915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124240</xdr:colOff>
      <xdr:row>592</xdr:row>
      <xdr:rowOff>207064</xdr:rowOff>
    </xdr:from>
    <xdr:to>
      <xdr:col>8</xdr:col>
      <xdr:colOff>234892</xdr:colOff>
      <xdr:row>598</xdr:row>
      <xdr:rowOff>124239</xdr:rowOff>
    </xdr:to>
    <xdr:pic>
      <xdr:nvPicPr>
        <xdr:cNvPr id="105" name="Picture 104" descr="Screen Clipping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1783" y="177587412"/>
          <a:ext cx="764979" cy="1805610"/>
        </a:xfrm>
        <a:prstGeom prst="rect">
          <a:avLst/>
        </a:prstGeom>
      </xdr:spPr>
    </xdr:pic>
    <xdr:clientData/>
  </xdr:twoCellAnchor>
  <xdr:twoCellAnchor editAs="oneCell">
    <xdr:from>
      <xdr:col>6</xdr:col>
      <xdr:colOff>334286</xdr:colOff>
      <xdr:row>594</xdr:row>
      <xdr:rowOff>279190</xdr:rowOff>
    </xdr:from>
    <xdr:to>
      <xdr:col>7</xdr:col>
      <xdr:colOff>252489</xdr:colOff>
      <xdr:row>596</xdr:row>
      <xdr:rowOff>4697</xdr:rowOff>
    </xdr:to>
    <xdr:pic>
      <xdr:nvPicPr>
        <xdr:cNvPr id="106" name="Picture 105" descr="Screen Clipping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61829" y="178289016"/>
          <a:ext cx="307486" cy="354985"/>
        </a:xfrm>
        <a:prstGeom prst="rect">
          <a:avLst/>
        </a:prstGeom>
      </xdr:spPr>
    </xdr:pic>
    <xdr:clientData/>
  </xdr:twoCellAnchor>
  <xdr:twoCellAnchor editAs="oneCell">
    <xdr:from>
      <xdr:col>3</xdr:col>
      <xdr:colOff>364433</xdr:colOff>
      <xdr:row>592</xdr:row>
      <xdr:rowOff>207064</xdr:rowOff>
    </xdr:from>
    <xdr:to>
      <xdr:col>5</xdr:col>
      <xdr:colOff>168630</xdr:colOff>
      <xdr:row>598</xdr:row>
      <xdr:rowOff>124239</xdr:rowOff>
    </xdr:to>
    <xdr:pic>
      <xdr:nvPicPr>
        <xdr:cNvPr id="107" name="Picture 106" descr="Screen Clipping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128629" y="177587412"/>
          <a:ext cx="1088001" cy="1805610"/>
        </a:xfrm>
        <a:prstGeom prst="rect">
          <a:avLst/>
        </a:prstGeom>
      </xdr:spPr>
    </xdr:pic>
    <xdr:clientData/>
  </xdr:twoCellAnchor>
  <xdr:twoCellAnchor editAs="oneCell">
    <xdr:from>
      <xdr:col>4</xdr:col>
      <xdr:colOff>201758</xdr:colOff>
      <xdr:row>594</xdr:row>
      <xdr:rowOff>279190</xdr:rowOff>
    </xdr:from>
    <xdr:to>
      <xdr:col>4</xdr:col>
      <xdr:colOff>509244</xdr:colOff>
      <xdr:row>596</xdr:row>
      <xdr:rowOff>4697</xdr:rowOff>
    </xdr:to>
    <xdr:pic>
      <xdr:nvPicPr>
        <xdr:cNvPr id="108" name="Picture 107" descr="Screen Clipping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4019" y="178289016"/>
          <a:ext cx="307486" cy="354985"/>
        </a:xfrm>
        <a:prstGeom prst="rect">
          <a:avLst/>
        </a:prstGeom>
      </xdr:spPr>
    </xdr:pic>
    <xdr:clientData/>
  </xdr:twoCellAnchor>
  <xdr:twoCellAnchor>
    <xdr:from>
      <xdr:col>4</xdr:col>
      <xdr:colOff>207065</xdr:colOff>
      <xdr:row>602</xdr:row>
      <xdr:rowOff>132522</xdr:rowOff>
    </xdr:from>
    <xdr:to>
      <xdr:col>7</xdr:col>
      <xdr:colOff>173935</xdr:colOff>
      <xdr:row>610</xdr:row>
      <xdr:rowOff>102920</xdr:rowOff>
    </xdr:to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326" y="180511174"/>
          <a:ext cx="3031435" cy="2488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737152</xdr:colOff>
      <xdr:row>603</xdr:row>
      <xdr:rowOff>16566</xdr:rowOff>
    </xdr:from>
    <xdr:to>
      <xdr:col>5</xdr:col>
      <xdr:colOff>1681370</xdr:colOff>
      <xdr:row>609</xdr:row>
      <xdr:rowOff>102659</xdr:rowOff>
    </xdr:to>
    <xdr:pic>
      <xdr:nvPicPr>
        <xdr:cNvPr id="110" name="Picture 109" descr="Screen Clipping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152" y="180709957"/>
          <a:ext cx="944218" cy="1974528"/>
        </a:xfrm>
        <a:prstGeom prst="rect">
          <a:avLst/>
        </a:prstGeom>
      </xdr:spPr>
    </xdr:pic>
    <xdr:clientData/>
  </xdr:twoCellAnchor>
  <xdr:twoCellAnchor editAs="oneCell">
    <xdr:from>
      <xdr:col>5</xdr:col>
      <xdr:colOff>1063160</xdr:colOff>
      <xdr:row>605</xdr:row>
      <xdr:rowOff>171520</xdr:rowOff>
    </xdr:from>
    <xdr:to>
      <xdr:col>5</xdr:col>
      <xdr:colOff>1399412</xdr:colOff>
      <xdr:row>606</xdr:row>
      <xdr:rowOff>244976</xdr:rowOff>
    </xdr:to>
    <xdr:pic>
      <xdr:nvPicPr>
        <xdr:cNvPr id="111" name="Picture 110" descr="Screen Clipping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111160" y="181494390"/>
          <a:ext cx="336252" cy="388195"/>
        </a:xfrm>
        <a:prstGeom prst="rect">
          <a:avLst/>
        </a:prstGeom>
      </xdr:spPr>
    </xdr:pic>
    <xdr:clientData/>
  </xdr:twoCellAnchor>
  <xdr:twoCellAnchor>
    <xdr:from>
      <xdr:col>4</xdr:col>
      <xdr:colOff>480390</xdr:colOff>
      <xdr:row>613</xdr:row>
      <xdr:rowOff>91107</xdr:rowOff>
    </xdr:from>
    <xdr:to>
      <xdr:col>8</xdr:col>
      <xdr:colOff>115955</xdr:colOff>
      <xdr:row>621</xdr:row>
      <xdr:rowOff>172463</xdr:rowOff>
    </xdr:to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651" y="183782803"/>
          <a:ext cx="2965174" cy="2599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960781</xdr:colOff>
      <xdr:row>613</xdr:row>
      <xdr:rowOff>306453</xdr:rowOff>
    </xdr:from>
    <xdr:to>
      <xdr:col>5</xdr:col>
      <xdr:colOff>1904999</xdr:colOff>
      <xdr:row>620</xdr:row>
      <xdr:rowOff>149086</xdr:rowOff>
    </xdr:to>
    <xdr:pic>
      <xdr:nvPicPr>
        <xdr:cNvPr id="113" name="Picture 112" descr="Screen Clipping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8781" y="183998149"/>
          <a:ext cx="944218" cy="2045807"/>
        </a:xfrm>
        <a:prstGeom prst="rect">
          <a:avLst/>
        </a:prstGeom>
      </xdr:spPr>
    </xdr:pic>
    <xdr:clientData/>
  </xdr:twoCellAnchor>
  <xdr:twoCellAnchor editAs="oneCell">
    <xdr:from>
      <xdr:col>5</xdr:col>
      <xdr:colOff>1286789</xdr:colOff>
      <xdr:row>616</xdr:row>
      <xdr:rowOff>146669</xdr:rowOff>
    </xdr:from>
    <xdr:to>
      <xdr:col>5</xdr:col>
      <xdr:colOff>1623041</xdr:colOff>
      <xdr:row>617</xdr:row>
      <xdr:rowOff>234139</xdr:rowOff>
    </xdr:to>
    <xdr:pic>
      <xdr:nvPicPr>
        <xdr:cNvPr id="114" name="Picture 113" descr="Screen Clipping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334789" y="184782582"/>
          <a:ext cx="336252" cy="402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90</v>
      </c>
      <c r="E21" s="175">
        <f>D21*10.764</f>
        <v>968.76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49" sqref="P4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550"/>
      <c r="P1" s="550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ABPL-DE-19.20-2115-OP-2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Mr. Peeyush Jain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43664</v>
      </c>
      <c r="O3" s="547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Bangalore</v>
      </c>
      <c r="G4" s="539"/>
      <c r="H4" s="539"/>
      <c r="I4" s="541" t="s">
        <v>180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43664</v>
      </c>
    </row>
    <row r="5" spans="2:16">
      <c r="B5" s="218"/>
      <c r="C5" s="539" t="s">
        <v>169</v>
      </c>
      <c r="D5" s="539"/>
      <c r="E5" s="539"/>
      <c r="F5" s="540" t="str">
        <f>QUOTATION!F9</f>
        <v>Mr. Prasanth : 9591855724</v>
      </c>
      <c r="G5" s="540"/>
      <c r="H5" s="540"/>
      <c r="I5" s="540"/>
      <c r="J5" s="540"/>
      <c r="K5" s="540"/>
      <c r="L5" s="540"/>
      <c r="M5" s="284" t="s">
        <v>179</v>
      </c>
      <c r="N5" s="540" t="str">
        <f>QUOTATION!M9</f>
        <v>Bal Kumari</v>
      </c>
      <c r="O5" s="540"/>
    </row>
    <row r="6" spans="2:16">
      <c r="B6" s="218"/>
      <c r="C6" s="539" t="s">
        <v>177</v>
      </c>
      <c r="D6" s="539"/>
      <c r="E6" s="539"/>
      <c r="F6" s="285" t="str">
        <f>QUOTATION!F10</f>
        <v>Wood Effect</v>
      </c>
      <c r="G6" s="539"/>
      <c r="H6" s="539"/>
      <c r="I6" s="541" t="s">
        <v>178</v>
      </c>
      <c r="J6" s="541"/>
      <c r="K6" s="540" t="str">
        <f>QUOTATION!I10</f>
        <v>Black</v>
      </c>
      <c r="L6" s="540"/>
      <c r="M6" s="284"/>
      <c r="N6" s="541"/>
      <c r="O6" s="541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254</v>
      </c>
      <c r="D8" s="539"/>
      <c r="E8" s="286" t="str">
        <f>'BD Team'!B9</f>
        <v>SW1</v>
      </c>
      <c r="F8" s="288" t="s">
        <v>255</v>
      </c>
      <c r="G8" s="540" t="str">
        <f>'BD Team'!D9</f>
        <v>3 TRACK 2 SHUTTER SLIDING DOOR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DINING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247</v>
      </c>
      <c r="M10" s="539"/>
      <c r="N10" s="540" t="str">
        <f>$F$6</f>
        <v>Wood Effect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178</v>
      </c>
      <c r="M11" s="539"/>
      <c r="N11" s="540" t="str">
        <f>$K$6</f>
        <v>Black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248</v>
      </c>
      <c r="M12" s="539"/>
      <c r="N12" s="545" t="s">
        <v>256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249</v>
      </c>
      <c r="M13" s="539"/>
      <c r="N13" s="540" t="str">
        <f>CONCATENATE('BD Team'!H9," X ",'BD Team'!I9)</f>
        <v>3658 X 2438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250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251</v>
      </c>
      <c r="M15" s="539"/>
      <c r="N15" s="540" t="str">
        <f>'BD Team'!C9</f>
        <v>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252</v>
      </c>
      <c r="M16" s="539"/>
      <c r="N16" s="540" t="str">
        <f>'BD Team'!E9</f>
        <v>24MM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253</v>
      </c>
      <c r="M17" s="539"/>
      <c r="N17" s="540" t="str">
        <f>'BD Team'!F9</f>
        <v>SS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254</v>
      </c>
      <c r="D19" s="539"/>
      <c r="E19" s="286" t="str">
        <f>'BD Team'!B10</f>
        <v>SW2</v>
      </c>
      <c r="F19" s="288" t="s">
        <v>255</v>
      </c>
      <c r="G19" s="540" t="str">
        <f>'BD Team'!D10</f>
        <v>3 TRACK 2 SHUTTER SLIDING DOOR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UTILITY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247</v>
      </c>
      <c r="M21" s="539"/>
      <c r="N21" s="540" t="str">
        <f>$F$6</f>
        <v>Wood Effect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178</v>
      </c>
      <c r="M22" s="539"/>
      <c r="N22" s="540" t="str">
        <f>$K$6</f>
        <v>Black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248</v>
      </c>
      <c r="M23" s="539"/>
      <c r="N23" s="542" t="s">
        <v>256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249</v>
      </c>
      <c r="M24" s="539"/>
      <c r="N24" s="540" t="str">
        <f>CONCATENATE('BD Team'!H10," X ",'BD Team'!I10)</f>
        <v>1524 X 1372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250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251</v>
      </c>
      <c r="M26" s="539"/>
      <c r="N26" s="540" t="str">
        <f>'BD Team'!C10</f>
        <v>M14600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252</v>
      </c>
      <c r="M27" s="539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253</v>
      </c>
      <c r="M28" s="539"/>
      <c r="N28" s="540" t="str">
        <f>'BD Team'!F10</f>
        <v>SS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254</v>
      </c>
      <c r="D30" s="539"/>
      <c r="E30" s="286" t="str">
        <f>'BD Team'!B11</f>
        <v>SW3</v>
      </c>
      <c r="F30" s="288" t="s">
        <v>255</v>
      </c>
      <c r="G30" s="540" t="str">
        <f>'BD Team'!D11</f>
        <v>3 TRACK 2 SHUTTER SLIDING WINDOW WITH BOTH ENDS FIXED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GRANDMOTHER ROOM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247</v>
      </c>
      <c r="M32" s="539"/>
      <c r="N32" s="540" t="str">
        <f>$F$6</f>
        <v>Wood Effect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178</v>
      </c>
      <c r="M33" s="539"/>
      <c r="N33" s="540" t="str">
        <f>$K$6</f>
        <v>Black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248</v>
      </c>
      <c r="M34" s="539"/>
      <c r="N34" s="542" t="s">
        <v>256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249</v>
      </c>
      <c r="M35" s="539"/>
      <c r="N35" s="540" t="str">
        <f>CONCATENATE('BD Team'!H11," X ",'BD Team'!I11)</f>
        <v>4521 X 1676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250</v>
      </c>
      <c r="M36" s="539"/>
      <c r="N36" s="543">
        <f>'BD Team'!J11</f>
        <v>1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251</v>
      </c>
      <c r="M37" s="539"/>
      <c r="N37" s="540" t="str">
        <f>'BD Team'!C11</f>
        <v>M14600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252</v>
      </c>
      <c r="M38" s="539"/>
      <c r="N38" s="540" t="str">
        <f>'BD Team'!E11</f>
        <v>24MM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253</v>
      </c>
      <c r="M39" s="539"/>
      <c r="N39" s="540" t="str">
        <f>'BD Team'!F11</f>
        <v>SS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254</v>
      </c>
      <c r="D41" s="539"/>
      <c r="E41" s="286" t="str">
        <f>'BD Team'!B12</f>
        <v>SW4</v>
      </c>
      <c r="F41" s="288" t="s">
        <v>255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NA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247</v>
      </c>
      <c r="M43" s="539"/>
      <c r="N43" s="540" t="str">
        <f>$F$6</f>
        <v>Wood Effect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178</v>
      </c>
      <c r="M44" s="539"/>
      <c r="N44" s="540" t="str">
        <f>$K$6</f>
        <v>Black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248</v>
      </c>
      <c r="M45" s="539"/>
      <c r="N45" s="542" t="s">
        <v>256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249</v>
      </c>
      <c r="M46" s="539"/>
      <c r="N46" s="540" t="str">
        <f>CONCATENATE('BD Team'!H12," X ",'BD Team'!I12)</f>
        <v>1524 X 1372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250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251</v>
      </c>
      <c r="M48" s="539"/>
      <c r="N48" s="540" t="str">
        <f>'BD Team'!C12</f>
        <v>M14600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252</v>
      </c>
      <c r="M49" s="539"/>
      <c r="N49" s="540" t="str">
        <f>'BD Team'!E12</f>
        <v>24MM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253</v>
      </c>
      <c r="M50" s="539"/>
      <c r="N50" s="540" t="str">
        <f>'BD Team'!F12</f>
        <v>SS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254</v>
      </c>
      <c r="D52" s="539"/>
      <c r="E52" s="286" t="str">
        <f>'BD Team'!B13</f>
        <v>SD1</v>
      </c>
      <c r="F52" s="288" t="s">
        <v>255</v>
      </c>
      <c r="G52" s="540" t="str">
        <f>'BD Team'!D13</f>
        <v>3 TRACK 2 SHUTTER SLIDING DOOR WITH BOTH ENDS FIXED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FORMAL LIVING ROOM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247</v>
      </c>
      <c r="M54" s="539"/>
      <c r="N54" s="540" t="str">
        <f>$F$6</f>
        <v>Wood Effect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178</v>
      </c>
      <c r="M55" s="539"/>
      <c r="N55" s="540" t="str">
        <f>$K$6</f>
        <v>Black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248</v>
      </c>
      <c r="M56" s="539"/>
      <c r="N56" s="542" t="s">
        <v>256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249</v>
      </c>
      <c r="M57" s="539"/>
      <c r="N57" s="540" t="str">
        <f>CONCATENATE('BD Team'!H13," X ",'BD Team'!I13)</f>
        <v>5486 X 2438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250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251</v>
      </c>
      <c r="M59" s="539"/>
      <c r="N59" s="540" t="str">
        <f>'BD Team'!C13</f>
        <v>M14600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252</v>
      </c>
      <c r="M60" s="539"/>
      <c r="N60" s="540" t="str">
        <f>'BD Team'!E13</f>
        <v>24MM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253</v>
      </c>
      <c r="M61" s="539"/>
      <c r="N61" s="540" t="str">
        <f>'BD Team'!F13</f>
        <v>SS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254</v>
      </c>
      <c r="D63" s="539"/>
      <c r="E63" s="286" t="str">
        <f>'BD Team'!B14</f>
        <v>SD2</v>
      </c>
      <c r="F63" s="288" t="s">
        <v>255</v>
      </c>
      <c r="G63" s="540" t="str">
        <f>'BD Team'!D14</f>
        <v>3 TRACK 2 SHUTTER SLIDING DOOR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VARIES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247</v>
      </c>
      <c r="M65" s="539"/>
      <c r="N65" s="540" t="str">
        <f>$F$6</f>
        <v>Wood Effect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178</v>
      </c>
      <c r="M66" s="539"/>
      <c r="N66" s="540" t="str">
        <f>$K$6</f>
        <v>Black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248</v>
      </c>
      <c r="M67" s="539"/>
      <c r="N67" s="542" t="s">
        <v>256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249</v>
      </c>
      <c r="M68" s="539"/>
      <c r="N68" s="540" t="str">
        <f>CONCATENATE('BD Team'!H14," X ",'BD Team'!I14)</f>
        <v>3658 X 2438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250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251</v>
      </c>
      <c r="M70" s="539"/>
      <c r="N70" s="540" t="str">
        <f>'BD Team'!C14</f>
        <v>M14600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252</v>
      </c>
      <c r="M71" s="539"/>
      <c r="N71" s="540" t="str">
        <f>'BD Team'!E14</f>
        <v>24MM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253</v>
      </c>
      <c r="M72" s="539"/>
      <c r="N72" s="540" t="str">
        <f>'BD Team'!F14</f>
        <v>SS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254</v>
      </c>
      <c r="D74" s="539"/>
      <c r="E74" s="286" t="str">
        <f>'BD Team'!B15</f>
        <v>SD3 PART 1</v>
      </c>
      <c r="F74" s="288" t="s">
        <v>255</v>
      </c>
      <c r="G74" s="540" t="str">
        <f>'BD Team'!D15</f>
        <v>CURTAIN WALL WITH SHAPE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HOME THEATER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247</v>
      </c>
      <c r="M76" s="539"/>
      <c r="N76" s="540" t="str">
        <f>$F$6</f>
        <v>Wood Effect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178</v>
      </c>
      <c r="M77" s="539"/>
      <c r="N77" s="540" t="str">
        <f>$K$6</f>
        <v>Black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248</v>
      </c>
      <c r="M78" s="539"/>
      <c r="N78" s="542" t="s">
        <v>256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249</v>
      </c>
      <c r="M79" s="539"/>
      <c r="N79" s="540" t="str">
        <f>CONCATENATE('BD Team'!H15," X ",'BD Team'!I15)</f>
        <v>7061 X 5690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250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251</v>
      </c>
      <c r="M81" s="539"/>
      <c r="N81" s="540" t="str">
        <f>'BD Team'!C15</f>
        <v>M7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252</v>
      </c>
      <c r="M82" s="539"/>
      <c r="N82" s="540" t="str">
        <f>'BD Team'!E15</f>
        <v>24MM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253</v>
      </c>
      <c r="M83" s="539"/>
      <c r="N83" s="540" t="str">
        <f>'BD Team'!F15</f>
        <v>NO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254</v>
      </c>
      <c r="D85" s="539"/>
      <c r="E85" s="286" t="str">
        <f>'BD Team'!B16</f>
        <v>SD3 PART 2</v>
      </c>
      <c r="F85" s="288" t="s">
        <v>255</v>
      </c>
      <c r="G85" s="540" t="str">
        <f>'BD Team'!D16</f>
        <v>3 TRACK 2 SHUTTER SLIDING DOOR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HOME THEATER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247</v>
      </c>
      <c r="M87" s="539"/>
      <c r="N87" s="540" t="str">
        <f>$F$6</f>
        <v>Wood Effect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178</v>
      </c>
      <c r="M88" s="539"/>
      <c r="N88" s="540" t="str">
        <f>$K$6</f>
        <v>Black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248</v>
      </c>
      <c r="M89" s="539"/>
      <c r="N89" s="542" t="s">
        <v>256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249</v>
      </c>
      <c r="M90" s="539"/>
      <c r="N90" s="540" t="str">
        <f>CONCATENATE('BD Team'!H16," X ",'BD Team'!I16)</f>
        <v>3607 X 2412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250</v>
      </c>
      <c r="M91" s="539"/>
      <c r="N91" s="543">
        <f>'BD Team'!J16</f>
        <v>1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251</v>
      </c>
      <c r="M92" s="539"/>
      <c r="N92" s="540" t="str">
        <f>'BD Team'!C16</f>
        <v>M14600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252</v>
      </c>
      <c r="M93" s="539"/>
      <c r="N93" s="540" t="str">
        <f>'BD Team'!E16</f>
        <v>24MM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253</v>
      </c>
      <c r="M94" s="539"/>
      <c r="N94" s="540" t="str">
        <f>'BD Team'!F16</f>
        <v>SS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254</v>
      </c>
      <c r="D96" s="539"/>
      <c r="E96" s="286" t="str">
        <f>'BD Team'!B17</f>
        <v>SD4</v>
      </c>
      <c r="F96" s="288" t="s">
        <v>255</v>
      </c>
      <c r="G96" s="540" t="str">
        <f>'BD Team'!D17</f>
        <v>3 TRACK 2 SHUTTER SLIDING DOOR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COVERED TERRACE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247</v>
      </c>
      <c r="M98" s="539"/>
      <c r="N98" s="540" t="str">
        <f>$F$6</f>
        <v>Wood Effect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178</v>
      </c>
      <c r="M99" s="539"/>
      <c r="N99" s="540" t="str">
        <f>$K$6</f>
        <v>Black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248</v>
      </c>
      <c r="M100" s="539"/>
      <c r="N100" s="542" t="s">
        <v>256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249</v>
      </c>
      <c r="M101" s="539"/>
      <c r="N101" s="540" t="str">
        <f>CONCATENATE('BD Team'!H17," X ",'BD Team'!I17)</f>
        <v>4064 X 2438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250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251</v>
      </c>
      <c r="M103" s="539"/>
      <c r="N103" s="540" t="str">
        <f>'BD Team'!C17</f>
        <v>M14600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252</v>
      </c>
      <c r="M104" s="539"/>
      <c r="N104" s="540" t="str">
        <f>'BD Team'!E17</f>
        <v>24MM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253</v>
      </c>
      <c r="M105" s="539"/>
      <c r="N105" s="540" t="str">
        <f>'BD Team'!F17</f>
        <v>SS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254</v>
      </c>
      <c r="D107" s="539"/>
      <c r="E107" s="286" t="str">
        <f>'BD Team'!B18</f>
        <v>SD5</v>
      </c>
      <c r="F107" s="288" t="s">
        <v>255</v>
      </c>
      <c r="G107" s="540" t="str">
        <f>'BD Team'!D18</f>
        <v>3 TRACK 2 SHUTTER SLIDING DOOR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HOME THEATER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247</v>
      </c>
      <c r="M109" s="539"/>
      <c r="N109" s="540" t="str">
        <f>$F$6</f>
        <v>Wood Effect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178</v>
      </c>
      <c r="M110" s="539"/>
      <c r="N110" s="540" t="str">
        <f>$K$6</f>
        <v>Black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248</v>
      </c>
      <c r="M111" s="539"/>
      <c r="N111" s="542" t="s">
        <v>256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249</v>
      </c>
      <c r="M112" s="539"/>
      <c r="N112" s="540" t="str">
        <f>CONCATENATE('BD Team'!H18," X ",'BD Team'!I18)</f>
        <v>2438 X 2438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250</v>
      </c>
      <c r="M113" s="539"/>
      <c r="N113" s="543">
        <f>'BD Team'!J18</f>
        <v>1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251</v>
      </c>
      <c r="M114" s="539"/>
      <c r="N114" s="540" t="str">
        <f>'BD Team'!C18</f>
        <v>M14600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252</v>
      </c>
      <c r="M115" s="539"/>
      <c r="N115" s="540" t="str">
        <f>'BD Team'!E18</f>
        <v>24MM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253</v>
      </c>
      <c r="M116" s="539"/>
      <c r="N116" s="540" t="str">
        <f>'BD Team'!F18</f>
        <v>SS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254</v>
      </c>
      <c r="D118" s="539"/>
      <c r="E118" s="286" t="str">
        <f>'BD Team'!B19</f>
        <v>W1</v>
      </c>
      <c r="F118" s="288" t="s">
        <v>255</v>
      </c>
      <c r="G118" s="540" t="str">
        <f>'BD Team'!D19</f>
        <v>FIXED GLASS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STAIRCASE LANDING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247</v>
      </c>
      <c r="M120" s="539"/>
      <c r="N120" s="540" t="str">
        <f>$F$6</f>
        <v>Wood Effect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178</v>
      </c>
      <c r="M121" s="539"/>
      <c r="N121" s="540" t="str">
        <f>$K$6</f>
        <v>Black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248</v>
      </c>
      <c r="M122" s="539"/>
      <c r="N122" s="542" t="s">
        <v>256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249</v>
      </c>
      <c r="M123" s="539"/>
      <c r="N123" s="540" t="str">
        <f>CONCATENATE('BD Team'!H19," X ",'BD Team'!I19)</f>
        <v>1524 X 2134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250</v>
      </c>
      <c r="M124" s="539"/>
      <c r="N124" s="543">
        <f>'BD Team'!J19</f>
        <v>3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251</v>
      </c>
      <c r="M125" s="539"/>
      <c r="N125" s="540" t="str">
        <f>'BD Team'!C19</f>
        <v>M15000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252</v>
      </c>
      <c r="M126" s="539"/>
      <c r="N126" s="540" t="str">
        <f>'BD Team'!E19</f>
        <v>24MM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253</v>
      </c>
      <c r="M127" s="539"/>
      <c r="N127" s="540" t="str">
        <f>'BD Team'!F19</f>
        <v>NO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254</v>
      </c>
      <c r="D129" s="539"/>
      <c r="E129" s="286" t="str">
        <f>'BD Team'!B20</f>
        <v>W2</v>
      </c>
      <c r="F129" s="288" t="s">
        <v>255</v>
      </c>
      <c r="G129" s="540" t="str">
        <f>'BD Team'!D20</f>
        <v>SIDE HUNG WINDOW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STAIRCASE PASSAGE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247</v>
      </c>
      <c r="M131" s="539"/>
      <c r="N131" s="540" t="str">
        <f>$F$6</f>
        <v>Wood Effect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178</v>
      </c>
      <c r="M132" s="539"/>
      <c r="N132" s="540" t="str">
        <f>$K$6</f>
        <v>Black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248</v>
      </c>
      <c r="M133" s="539"/>
      <c r="N133" s="542" t="s">
        <v>256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249</v>
      </c>
      <c r="M134" s="539"/>
      <c r="N134" s="540" t="str">
        <f>CONCATENATE('BD Team'!H20," X ",'BD Team'!I20)</f>
        <v>711 X 1676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250</v>
      </c>
      <c r="M135" s="539"/>
      <c r="N135" s="543">
        <f>'BD Team'!J20</f>
        <v>2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251</v>
      </c>
      <c r="M136" s="539"/>
      <c r="N136" s="540" t="str">
        <f>'BD Team'!C20</f>
        <v>M15000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252</v>
      </c>
      <c r="M137" s="539"/>
      <c r="N137" s="540" t="str">
        <f>'BD Team'!E20</f>
        <v>24MM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253</v>
      </c>
      <c r="M138" s="539"/>
      <c r="N138" s="540" t="str">
        <f>'BD Team'!F20</f>
        <v>RETRACTABLE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254</v>
      </c>
      <c r="D140" s="539"/>
      <c r="E140" s="286" t="str">
        <f>'BD Team'!B21</f>
        <v>W3</v>
      </c>
      <c r="F140" s="288" t="s">
        <v>255</v>
      </c>
      <c r="G140" s="540" t="str">
        <f>'BD Team'!D21</f>
        <v>FRENCH CASEMENT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NORMATHAS OFFICE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247</v>
      </c>
      <c r="M142" s="539"/>
      <c r="N142" s="540" t="str">
        <f>$F$6</f>
        <v>Wood Effect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178</v>
      </c>
      <c r="M143" s="539"/>
      <c r="N143" s="540" t="str">
        <f>$K$6</f>
        <v>Black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248</v>
      </c>
      <c r="M144" s="539"/>
      <c r="N144" s="542" t="s">
        <v>256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249</v>
      </c>
      <c r="M145" s="539"/>
      <c r="N145" s="540" t="str">
        <f>CONCATENATE('BD Team'!H21," X ",'BD Team'!I21)</f>
        <v>1321 X 1676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250</v>
      </c>
      <c r="M146" s="539"/>
      <c r="N146" s="543">
        <f>'BD Team'!J21</f>
        <v>1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251</v>
      </c>
      <c r="M147" s="539"/>
      <c r="N147" s="540" t="str">
        <f>'BD Team'!C21</f>
        <v>M15000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252</v>
      </c>
      <c r="M148" s="539"/>
      <c r="N148" s="540" t="str">
        <f>'BD Team'!E21</f>
        <v>24MM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253</v>
      </c>
      <c r="M149" s="539"/>
      <c r="N149" s="540" t="str">
        <f>'BD Team'!F21</f>
        <v>RETRACTABLE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254</v>
      </c>
      <c r="D151" s="539"/>
      <c r="E151" s="286" t="str">
        <f>'BD Team'!B22</f>
        <v>W4</v>
      </c>
      <c r="F151" s="288" t="s">
        <v>255</v>
      </c>
      <c r="G151" s="540" t="str">
        <f>'BD Team'!D22</f>
        <v>FRENCH CASEMENT WINDOW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CORRIDOR 2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247</v>
      </c>
      <c r="M153" s="539"/>
      <c r="N153" s="540" t="str">
        <f>$F$6</f>
        <v>Wood Effect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178</v>
      </c>
      <c r="M154" s="539"/>
      <c r="N154" s="540" t="str">
        <f>$K$6</f>
        <v>Black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248</v>
      </c>
      <c r="M155" s="539"/>
      <c r="N155" s="542" t="s">
        <v>256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249</v>
      </c>
      <c r="M156" s="539"/>
      <c r="N156" s="540" t="str">
        <f>CONCATENATE('BD Team'!H22," X ",'BD Team'!I22)</f>
        <v>1930 X 1981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250</v>
      </c>
      <c r="M157" s="539"/>
      <c r="N157" s="543">
        <f>'BD Team'!J22</f>
        <v>1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251</v>
      </c>
      <c r="M158" s="539"/>
      <c r="N158" s="540" t="str">
        <f>'BD Team'!C22</f>
        <v>M15000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252</v>
      </c>
      <c r="M159" s="539"/>
      <c r="N159" s="540" t="str">
        <f>'BD Team'!E22</f>
        <v>24MM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253</v>
      </c>
      <c r="M160" s="539"/>
      <c r="N160" s="540" t="str">
        <f>'BD Team'!F22</f>
        <v>RETRACTABLE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254</v>
      </c>
      <c r="D162" s="539"/>
      <c r="E162" s="286" t="str">
        <f>'BD Team'!B23</f>
        <v>W5</v>
      </c>
      <c r="F162" s="288" t="s">
        <v>255</v>
      </c>
      <c r="G162" s="540" t="str">
        <f>'BD Team'!D23</f>
        <v>FRENCH CASEMENT WINDOW WITH FIXED GLASS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KITCHEN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247</v>
      </c>
      <c r="M164" s="539"/>
      <c r="N164" s="540" t="str">
        <f>$F$6</f>
        <v>Wood Effect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178</v>
      </c>
      <c r="M165" s="539"/>
      <c r="N165" s="540" t="str">
        <f>$K$6</f>
        <v>Black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248</v>
      </c>
      <c r="M166" s="539"/>
      <c r="N166" s="542" t="s">
        <v>256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249</v>
      </c>
      <c r="M167" s="539"/>
      <c r="N167" s="540" t="str">
        <f>CONCATENATE('BD Team'!H23," X ",'BD Team'!I23)</f>
        <v>3150 X 1372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250</v>
      </c>
      <c r="M168" s="539"/>
      <c r="N168" s="543">
        <f>'BD Team'!J23</f>
        <v>1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251</v>
      </c>
      <c r="M169" s="539"/>
      <c r="N169" s="540" t="str">
        <f>'BD Team'!C23</f>
        <v>M15000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252</v>
      </c>
      <c r="M170" s="539"/>
      <c r="N170" s="540" t="str">
        <f>'BD Team'!E23</f>
        <v>24MM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253</v>
      </c>
      <c r="M171" s="539"/>
      <c r="N171" s="540" t="str">
        <f>'BD Team'!F23</f>
        <v>RETRACTABLE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254</v>
      </c>
      <c r="D173" s="539"/>
      <c r="E173" s="286" t="str">
        <f>'BD Team'!B24</f>
        <v>W6</v>
      </c>
      <c r="F173" s="288" t="s">
        <v>255</v>
      </c>
      <c r="G173" s="540" t="str">
        <f>'BD Team'!D24</f>
        <v>FRENCH CASEMENT WINDOW WITH FIXED GLASS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 t="str">
        <f>'BD Team'!G24</f>
        <v>GUEST ROOM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247</v>
      </c>
      <c r="M175" s="539"/>
      <c r="N175" s="540" t="str">
        <f>$F$6</f>
        <v>Wood Effect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178</v>
      </c>
      <c r="M176" s="539"/>
      <c r="N176" s="540" t="str">
        <f>$K$6</f>
        <v>Black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248</v>
      </c>
      <c r="M177" s="539"/>
      <c r="N177" s="542" t="s">
        <v>256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249</v>
      </c>
      <c r="M178" s="539"/>
      <c r="N178" s="540" t="str">
        <f>CONCATENATE('BD Team'!H24," X ",'BD Team'!I24)</f>
        <v>3162 X 1676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250</v>
      </c>
      <c r="M179" s="539"/>
      <c r="N179" s="543">
        <f>'BD Team'!J24</f>
        <v>1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251</v>
      </c>
      <c r="M180" s="539"/>
      <c r="N180" s="540" t="str">
        <f>'BD Team'!C24</f>
        <v>M15000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252</v>
      </c>
      <c r="M181" s="539"/>
      <c r="N181" s="540" t="str">
        <f>'BD Team'!E24</f>
        <v>24MM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253</v>
      </c>
      <c r="M182" s="539"/>
      <c r="N182" s="540" t="str">
        <f>'BD Team'!F24</f>
        <v>RETRACTABLE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254</v>
      </c>
      <c r="D184" s="539"/>
      <c r="E184" s="286" t="str">
        <f>'BD Team'!B25</f>
        <v>W7</v>
      </c>
      <c r="F184" s="288" t="s">
        <v>255</v>
      </c>
      <c r="G184" s="540" t="str">
        <f>'BD Team'!D25</f>
        <v>2 SIDE HUNG WINDOWS WITH CENTER FIXED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 t="str">
        <f>'BD Team'!G25</f>
        <v>VARIES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247</v>
      </c>
      <c r="M186" s="539"/>
      <c r="N186" s="540" t="str">
        <f>$F$6</f>
        <v>Wood Effect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178</v>
      </c>
      <c r="M187" s="539"/>
      <c r="N187" s="540" t="str">
        <f>$K$6</f>
        <v>Black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248</v>
      </c>
      <c r="M188" s="539"/>
      <c r="N188" s="542" t="s">
        <v>256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249</v>
      </c>
      <c r="M189" s="539"/>
      <c r="N189" s="540" t="str">
        <f>CONCATENATE('BD Team'!H25," X ",'BD Team'!I25)</f>
        <v>3073 X 1676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250</v>
      </c>
      <c r="M190" s="539"/>
      <c r="N190" s="543">
        <f>'BD Team'!J25</f>
        <v>2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251</v>
      </c>
      <c r="M191" s="539"/>
      <c r="N191" s="540" t="str">
        <f>'BD Team'!C25</f>
        <v>M15000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252</v>
      </c>
      <c r="M192" s="539"/>
      <c r="N192" s="540" t="str">
        <f>'BD Team'!E25</f>
        <v>24MM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253</v>
      </c>
      <c r="M193" s="539"/>
      <c r="N193" s="540" t="str">
        <f>'BD Team'!F25</f>
        <v>RETRACTABLE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254</v>
      </c>
      <c r="D195" s="539"/>
      <c r="E195" s="286" t="str">
        <f>'BD Team'!B26</f>
        <v>W8</v>
      </c>
      <c r="F195" s="288" t="s">
        <v>255</v>
      </c>
      <c r="G195" s="540" t="str">
        <f>'BD Team'!D26</f>
        <v>FIXED GLASS 4 NO'S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 t="str">
        <f>'BD Team'!G26</f>
        <v>PEEYUSH JAIN'S OFFICE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247</v>
      </c>
      <c r="M197" s="539"/>
      <c r="N197" s="540" t="str">
        <f>$F$6</f>
        <v>Wood Effect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178</v>
      </c>
      <c r="M198" s="539"/>
      <c r="N198" s="540" t="str">
        <f>$K$6</f>
        <v>Black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248</v>
      </c>
      <c r="M199" s="539"/>
      <c r="N199" s="542" t="s">
        <v>256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249</v>
      </c>
      <c r="M200" s="539"/>
      <c r="N200" s="540" t="str">
        <f>CONCATENATE('BD Team'!H26," X ",'BD Team'!I26)</f>
        <v>2833 X 2438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250</v>
      </c>
      <c r="M201" s="539"/>
      <c r="N201" s="543">
        <f>'BD Team'!J26</f>
        <v>1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251</v>
      </c>
      <c r="M202" s="539"/>
      <c r="N202" s="540" t="str">
        <f>'BD Team'!C26</f>
        <v>M15000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252</v>
      </c>
      <c r="M203" s="539"/>
      <c r="N203" s="540" t="str">
        <f>'BD Team'!E26</f>
        <v>24MM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253</v>
      </c>
      <c r="M204" s="539"/>
      <c r="N204" s="540" t="str">
        <f>'BD Team'!F26</f>
        <v>NO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254</v>
      </c>
      <c r="D206" s="539"/>
      <c r="E206" s="286" t="str">
        <f>'BD Team'!B27</f>
        <v>W9</v>
      </c>
      <c r="F206" s="288" t="s">
        <v>255</v>
      </c>
      <c r="G206" s="540" t="str">
        <f>'BD Team'!D27</f>
        <v>FIXED GLASS 3 NO'S WITH DOOR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 t="str">
        <f>'BD Team'!G27</f>
        <v>NORMATHAS OFFICE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247</v>
      </c>
      <c r="M208" s="539"/>
      <c r="N208" s="540" t="str">
        <f>$F$6</f>
        <v>Wood Effect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178</v>
      </c>
      <c r="M209" s="539"/>
      <c r="N209" s="540" t="str">
        <f>$K$6</f>
        <v>Black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248</v>
      </c>
      <c r="M210" s="539"/>
      <c r="N210" s="542" t="s">
        <v>256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249</v>
      </c>
      <c r="M211" s="539"/>
      <c r="N211" s="540" t="str">
        <f>CONCATENATE('BD Team'!H27," X ",'BD Team'!I27)</f>
        <v>2438 X 2438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250</v>
      </c>
      <c r="M212" s="539"/>
      <c r="N212" s="543">
        <f>'BD Team'!J27</f>
        <v>1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251</v>
      </c>
      <c r="M213" s="539"/>
      <c r="N213" s="540" t="str">
        <f>'BD Team'!C27</f>
        <v>M15000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252</v>
      </c>
      <c r="M214" s="539"/>
      <c r="N214" s="540" t="str">
        <f>'BD Team'!E27</f>
        <v>24MM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253</v>
      </c>
      <c r="M215" s="539"/>
      <c r="N215" s="540" t="str">
        <f>'BD Team'!F27</f>
        <v>RETRACTABLE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254</v>
      </c>
      <c r="D217" s="539"/>
      <c r="E217" s="286" t="str">
        <f>'BD Team'!B28</f>
        <v>W10</v>
      </c>
      <c r="F217" s="288" t="s">
        <v>255</v>
      </c>
      <c r="G217" s="540" t="str">
        <f>'BD Team'!D28</f>
        <v>2 FRENCH CASEMENT WINDOW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 t="str">
        <f>'BD Team'!G28</f>
        <v>FAMILY ROOM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247</v>
      </c>
      <c r="M219" s="539"/>
      <c r="N219" s="540" t="str">
        <f>$F$6</f>
        <v>Wood Effect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178</v>
      </c>
      <c r="M220" s="539"/>
      <c r="N220" s="540" t="str">
        <f>$K$6</f>
        <v>Black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248</v>
      </c>
      <c r="M221" s="539"/>
      <c r="N221" s="542" t="s">
        <v>256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249</v>
      </c>
      <c r="M222" s="539"/>
      <c r="N222" s="540" t="str">
        <f>CONCATENATE('BD Team'!H28," X ",'BD Team'!I28)</f>
        <v>2235 X 1372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250</v>
      </c>
      <c r="M223" s="539"/>
      <c r="N223" s="543">
        <f>'BD Team'!J28</f>
        <v>1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251</v>
      </c>
      <c r="M224" s="539"/>
      <c r="N224" s="540" t="str">
        <f>'BD Team'!C28</f>
        <v>M15000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252</v>
      </c>
      <c r="M225" s="539"/>
      <c r="N225" s="540" t="str">
        <f>'BD Team'!E28</f>
        <v>24MM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253</v>
      </c>
      <c r="M226" s="539"/>
      <c r="N226" s="540" t="str">
        <f>'BD Team'!F28</f>
        <v>RETRACTABLE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254</v>
      </c>
      <c r="D228" s="539"/>
      <c r="E228" s="286" t="str">
        <f>'BD Team'!B29</f>
        <v>W11</v>
      </c>
      <c r="F228" s="288" t="s">
        <v>255</v>
      </c>
      <c r="G228" s="540" t="str">
        <f>'BD Team'!D29</f>
        <v>FRNCH CASEMENT WINDOW WITH FIXED GALSS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 t="str">
        <f>'BD Team'!G29</f>
        <v>SUITE BEDROOM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247</v>
      </c>
      <c r="M230" s="539"/>
      <c r="N230" s="540" t="str">
        <f>$F$6</f>
        <v>Wood Effect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178</v>
      </c>
      <c r="M231" s="539"/>
      <c r="N231" s="540" t="str">
        <f>$K$6</f>
        <v>Black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248</v>
      </c>
      <c r="M232" s="539"/>
      <c r="N232" s="542" t="s">
        <v>256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249</v>
      </c>
      <c r="M233" s="539"/>
      <c r="N233" s="540" t="str">
        <f>CONCATENATE('BD Team'!H29," X ",'BD Team'!I29)</f>
        <v>2845 X 1372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250</v>
      </c>
      <c r="M234" s="539"/>
      <c r="N234" s="543">
        <f>'BD Team'!J29</f>
        <v>2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251</v>
      </c>
      <c r="M235" s="539"/>
      <c r="N235" s="540" t="str">
        <f>'BD Team'!C29</f>
        <v>M15000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252</v>
      </c>
      <c r="M236" s="539"/>
      <c r="N236" s="540" t="str">
        <f>'BD Team'!E29</f>
        <v>24MM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253</v>
      </c>
      <c r="M237" s="539"/>
      <c r="N237" s="540" t="str">
        <f>'BD Team'!F29</f>
        <v>RETRACTABLE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254</v>
      </c>
      <c r="D239" s="539"/>
      <c r="E239" s="286" t="str">
        <f>'BD Team'!B30</f>
        <v>W12</v>
      </c>
      <c r="F239" s="288" t="s">
        <v>255</v>
      </c>
      <c r="G239" s="540" t="str">
        <f>'BD Team'!D30</f>
        <v>SIDE HUNG WINDOW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 t="str">
        <f>'BD Team'!G30</f>
        <v>VARIES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247</v>
      </c>
      <c r="M241" s="539"/>
      <c r="N241" s="540" t="str">
        <f>$F$6</f>
        <v>Wood Effect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178</v>
      </c>
      <c r="M242" s="539"/>
      <c r="N242" s="540" t="str">
        <f>$K$6</f>
        <v>Black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248</v>
      </c>
      <c r="M243" s="539"/>
      <c r="N243" s="542" t="s">
        <v>256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249</v>
      </c>
      <c r="M244" s="539"/>
      <c r="N244" s="540" t="str">
        <f>CONCATENATE('BD Team'!H30," X ",'BD Team'!I30)</f>
        <v>711 X 1372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250</v>
      </c>
      <c r="M245" s="539"/>
      <c r="N245" s="543">
        <f>'BD Team'!J30</f>
        <v>4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251</v>
      </c>
      <c r="M246" s="539"/>
      <c r="N246" s="540" t="str">
        <f>'BD Team'!C30</f>
        <v>M15000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252</v>
      </c>
      <c r="M247" s="539"/>
      <c r="N247" s="540" t="str">
        <f>'BD Team'!E30</f>
        <v>24MM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253</v>
      </c>
      <c r="M248" s="539"/>
      <c r="N248" s="540" t="str">
        <f>'BD Team'!F30</f>
        <v>RETRACTABLE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254</v>
      </c>
      <c r="D250" s="539"/>
      <c r="E250" s="286" t="str">
        <f>'BD Team'!B31</f>
        <v>W13</v>
      </c>
      <c r="F250" s="288" t="s">
        <v>255</v>
      </c>
      <c r="G250" s="540" t="str">
        <f>'BD Team'!D31</f>
        <v>2 SIDE HUNG WINDOWS WITH CENTER FIXED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 t="str">
        <f>'BD Team'!G31</f>
        <v>VARIES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247</v>
      </c>
      <c r="M252" s="539"/>
      <c r="N252" s="540" t="str">
        <f>$F$6</f>
        <v>Wood Effect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178</v>
      </c>
      <c r="M253" s="539"/>
      <c r="N253" s="540" t="str">
        <f>$K$6</f>
        <v>Black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248</v>
      </c>
      <c r="M254" s="539"/>
      <c r="N254" s="542" t="s">
        <v>256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249</v>
      </c>
      <c r="M255" s="539"/>
      <c r="N255" s="540" t="str">
        <f>CONCATENATE('BD Team'!H31," X ",'BD Team'!I31)</f>
        <v>3251 X 1676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250</v>
      </c>
      <c r="M256" s="539"/>
      <c r="N256" s="543">
        <f>'BD Team'!J31</f>
        <v>2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251</v>
      </c>
      <c r="M257" s="539"/>
      <c r="N257" s="540" t="str">
        <f>'BD Team'!C31</f>
        <v>M15000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252</v>
      </c>
      <c r="M258" s="539"/>
      <c r="N258" s="540" t="str">
        <f>'BD Team'!E31</f>
        <v>24MM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253</v>
      </c>
      <c r="M259" s="539"/>
      <c r="N259" s="540" t="str">
        <f>'BD Team'!F31</f>
        <v>RETRACTABLE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254</v>
      </c>
      <c r="D261" s="539"/>
      <c r="E261" s="286" t="str">
        <f>'BD Team'!B32</f>
        <v>W14</v>
      </c>
      <c r="F261" s="288" t="s">
        <v>255</v>
      </c>
      <c r="G261" s="540" t="str">
        <f>'BD Team'!D32</f>
        <v>FRENCH CASEMENT WINDWO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 t="str">
        <f>'BD Team'!G32</f>
        <v>VARIES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247</v>
      </c>
      <c r="M263" s="539"/>
      <c r="N263" s="540" t="str">
        <f>$F$6</f>
        <v>Wood Effect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178</v>
      </c>
      <c r="M264" s="539"/>
      <c r="N264" s="540" t="str">
        <f>$K$6</f>
        <v>Black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248</v>
      </c>
      <c r="M265" s="539"/>
      <c r="N265" s="542" t="s">
        <v>256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249</v>
      </c>
      <c r="M266" s="539"/>
      <c r="N266" s="540" t="str">
        <f>CONCATENATE('BD Team'!H32," X ",'BD Team'!I32)</f>
        <v>1321 X 1676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250</v>
      </c>
      <c r="M267" s="539"/>
      <c r="N267" s="543">
        <f>'BD Team'!J32</f>
        <v>2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251</v>
      </c>
      <c r="M268" s="539"/>
      <c r="N268" s="540" t="str">
        <f>'BD Team'!C32</f>
        <v>M15000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252</v>
      </c>
      <c r="M269" s="539"/>
      <c r="N269" s="540" t="str">
        <f>'BD Team'!E32</f>
        <v>24MM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253</v>
      </c>
      <c r="M270" s="539"/>
      <c r="N270" s="540" t="str">
        <f>'BD Team'!F32</f>
        <v>RETRACTABLE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254</v>
      </c>
      <c r="D272" s="539"/>
      <c r="E272" s="286" t="str">
        <f>'BD Team'!B33</f>
        <v>V1</v>
      </c>
      <c r="F272" s="288" t="s">
        <v>255</v>
      </c>
      <c r="G272" s="540" t="str">
        <f>'BD Team'!D33</f>
        <v>GLASS LOUVERS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 t="str">
        <f>'BD Team'!G33</f>
        <v>WORK STATION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247</v>
      </c>
      <c r="M274" s="539"/>
      <c r="N274" s="540" t="str">
        <f>$F$6</f>
        <v>Wood Effect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178</v>
      </c>
      <c r="M275" s="539"/>
      <c r="N275" s="540" t="str">
        <f>$K$6</f>
        <v>Black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248</v>
      </c>
      <c r="M276" s="539"/>
      <c r="N276" s="542" t="s">
        <v>256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249</v>
      </c>
      <c r="M277" s="539"/>
      <c r="N277" s="540" t="str">
        <f>CONCATENATE('BD Team'!H33," X ",'BD Team'!I33)</f>
        <v>2350 X 610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250</v>
      </c>
      <c r="M278" s="539"/>
      <c r="N278" s="543">
        <f>'BD Team'!J33</f>
        <v>1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251</v>
      </c>
      <c r="M279" s="539"/>
      <c r="N279" s="540" t="str">
        <f>'BD Team'!C33</f>
        <v>-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252</v>
      </c>
      <c r="M280" s="539"/>
      <c r="N280" s="540" t="str">
        <f>'BD Team'!E33</f>
        <v>6MM (A)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253</v>
      </c>
      <c r="M281" s="539"/>
      <c r="N281" s="540" t="str">
        <f>'BD Team'!F33</f>
        <v>RETRACTABLE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254</v>
      </c>
      <c r="D283" s="539"/>
      <c r="E283" s="286" t="str">
        <f>'BD Team'!B34</f>
        <v>V1A</v>
      </c>
      <c r="F283" s="288" t="s">
        <v>255</v>
      </c>
      <c r="G283" s="540" t="str">
        <f>'BD Team'!D34</f>
        <v>GLASS LOUVERS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 t="str">
        <f>'BD Team'!G34</f>
        <v>NA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247</v>
      </c>
      <c r="M285" s="539"/>
      <c r="N285" s="540" t="str">
        <f>$F$6</f>
        <v>Wood Effect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178</v>
      </c>
      <c r="M286" s="539"/>
      <c r="N286" s="540" t="str">
        <f>$K$6</f>
        <v>Black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248</v>
      </c>
      <c r="M287" s="539"/>
      <c r="N287" s="542" t="s">
        <v>256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249</v>
      </c>
      <c r="M288" s="539"/>
      <c r="N288" s="540" t="str">
        <f>CONCATENATE('BD Team'!H34," X ",'BD Team'!I34)</f>
        <v>2121 X 610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250</v>
      </c>
      <c r="M289" s="539"/>
      <c r="N289" s="543">
        <f>'BD Team'!J34</f>
        <v>1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251</v>
      </c>
      <c r="M290" s="539"/>
      <c r="N290" s="540" t="str">
        <f>'BD Team'!C34</f>
        <v>-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252</v>
      </c>
      <c r="M291" s="539"/>
      <c r="N291" s="540" t="str">
        <f>'BD Team'!E34</f>
        <v>6MM (A)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253</v>
      </c>
      <c r="M292" s="539"/>
      <c r="N292" s="540" t="str">
        <f>'BD Team'!F34</f>
        <v>RETRACTABLE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254</v>
      </c>
      <c r="D294" s="539"/>
      <c r="E294" s="286" t="str">
        <f>'BD Team'!B35</f>
        <v>V2</v>
      </c>
      <c r="F294" s="288" t="s">
        <v>255</v>
      </c>
      <c r="G294" s="540" t="str">
        <f>'BD Team'!D35</f>
        <v>GLASS LOUVERS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 t="str">
        <f>'BD Team'!G35</f>
        <v>SERVANTS WC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247</v>
      </c>
      <c r="M296" s="539"/>
      <c r="N296" s="540" t="str">
        <f>$F$6</f>
        <v>Wood Effect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178</v>
      </c>
      <c r="M297" s="539"/>
      <c r="N297" s="540" t="str">
        <f>$K$6</f>
        <v>Black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248</v>
      </c>
      <c r="M298" s="539"/>
      <c r="N298" s="542" t="s">
        <v>256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249</v>
      </c>
      <c r="M299" s="539"/>
      <c r="N299" s="540" t="str">
        <f>CONCATENATE('BD Team'!H35," X ",'BD Team'!I35)</f>
        <v>610 X 610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250</v>
      </c>
      <c r="M300" s="539"/>
      <c r="N300" s="543">
        <f>'BD Team'!J35</f>
        <v>1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251</v>
      </c>
      <c r="M301" s="539"/>
      <c r="N301" s="540" t="str">
        <f>'BD Team'!C35</f>
        <v>-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252</v>
      </c>
      <c r="M302" s="539"/>
      <c r="N302" s="540" t="str">
        <f>'BD Team'!E35</f>
        <v>6MM (A)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253</v>
      </c>
      <c r="M303" s="539"/>
      <c r="N303" s="540" t="str">
        <f>'BD Team'!F35</f>
        <v>RETRACTABLE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254</v>
      </c>
      <c r="D305" s="539"/>
      <c r="E305" s="286" t="str">
        <f>'BD Team'!B36</f>
        <v>V3</v>
      </c>
      <c r="F305" s="288" t="s">
        <v>255</v>
      </c>
      <c r="G305" s="540" t="str">
        <f>'BD Team'!D36</f>
        <v>GLASS LOUVERS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 t="str">
        <f>'BD Team'!G36</f>
        <v>SERVANTS WC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247</v>
      </c>
      <c r="M307" s="539"/>
      <c r="N307" s="540" t="str">
        <f>$F$6</f>
        <v>Wood Effect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178</v>
      </c>
      <c r="M308" s="539"/>
      <c r="N308" s="540" t="str">
        <f>$K$6</f>
        <v>Black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248</v>
      </c>
      <c r="M309" s="539"/>
      <c r="N309" s="542" t="s">
        <v>256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249</v>
      </c>
      <c r="M310" s="539"/>
      <c r="N310" s="540" t="str">
        <f>CONCATENATE('BD Team'!H36," X ",'BD Team'!I36)</f>
        <v>1334 X 610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250</v>
      </c>
      <c r="M311" s="539"/>
      <c r="N311" s="543">
        <f>'BD Team'!J36</f>
        <v>1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251</v>
      </c>
      <c r="M312" s="539"/>
      <c r="N312" s="540" t="str">
        <f>'BD Team'!C36</f>
        <v>-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252</v>
      </c>
      <c r="M313" s="539"/>
      <c r="N313" s="540" t="str">
        <f>'BD Team'!E36</f>
        <v>6MM (A)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253</v>
      </c>
      <c r="M314" s="539"/>
      <c r="N314" s="540" t="str">
        <f>'BD Team'!F36</f>
        <v>RETRACTABLE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254</v>
      </c>
      <c r="D316" s="539"/>
      <c r="E316" s="286" t="str">
        <f>'BD Team'!B37</f>
        <v>V4</v>
      </c>
      <c r="F316" s="288" t="s">
        <v>255</v>
      </c>
      <c r="G316" s="540" t="str">
        <f>'BD Team'!D37</f>
        <v>2 SIDE HUNG WINDOWS WITH CENTER FIXED GLASS TO GLASS JOINT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 t="str">
        <f>'BD Team'!G37</f>
        <v>WORK STATION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247</v>
      </c>
      <c r="M318" s="539"/>
      <c r="N318" s="540" t="str">
        <f>$F$6</f>
        <v>Wood Effect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178</v>
      </c>
      <c r="M319" s="539"/>
      <c r="N319" s="540" t="str">
        <f>$K$6</f>
        <v>Black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248</v>
      </c>
      <c r="M320" s="539"/>
      <c r="N320" s="542" t="s">
        <v>256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249</v>
      </c>
      <c r="M321" s="539"/>
      <c r="N321" s="540" t="str">
        <f>CONCATENATE('BD Team'!H37," X ",'BD Team'!I37)</f>
        <v>4470 X 610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250</v>
      </c>
      <c r="M322" s="539"/>
      <c r="N322" s="543">
        <f>'BD Team'!J37</f>
        <v>1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251</v>
      </c>
      <c r="M323" s="539"/>
      <c r="N323" s="540" t="str">
        <f>'BD Team'!C37</f>
        <v>M15000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252</v>
      </c>
      <c r="M324" s="539"/>
      <c r="N324" s="540" t="str">
        <f>'BD Team'!E37</f>
        <v>6MM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253</v>
      </c>
      <c r="M325" s="539"/>
      <c r="N325" s="540" t="str">
        <f>'BD Team'!F37</f>
        <v>RETRACTABLE</v>
      </c>
      <c r="O325" s="540"/>
    </row>
    <row r="326" spans="3:15">
      <c r="C326" s="549" t="s">
        <v>559</v>
      </c>
      <c r="D326" s="549"/>
      <c r="E326" s="549"/>
      <c r="F326" s="549"/>
      <c r="G326" s="549"/>
      <c r="H326" s="549"/>
      <c r="I326" s="549"/>
      <c r="J326" s="549"/>
      <c r="K326" s="549"/>
      <c r="L326" s="549"/>
      <c r="M326" s="549"/>
      <c r="N326" s="549"/>
      <c r="O326" s="549"/>
    </row>
    <row r="327" spans="3:15" ht="25.15" customHeight="1">
      <c r="C327" s="538" t="s">
        <v>254</v>
      </c>
      <c r="D327" s="539"/>
      <c r="E327" s="286" t="str">
        <f>'BD Team'!B38</f>
        <v>V5</v>
      </c>
      <c r="F327" s="288" t="s">
        <v>255</v>
      </c>
      <c r="G327" s="540" t="str">
        <f>'BD Team'!D38</f>
        <v>SIDE HUNG WINDOW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 t="str">
        <f>'BD Team'!G38</f>
        <v>VARIES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247</v>
      </c>
      <c r="M329" s="539"/>
      <c r="N329" s="540" t="str">
        <f>$F$6</f>
        <v>Wood Effect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178</v>
      </c>
      <c r="M330" s="539"/>
      <c r="N330" s="540" t="str">
        <f>$K$6</f>
        <v>Black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248</v>
      </c>
      <c r="M331" s="539"/>
      <c r="N331" s="542" t="s">
        <v>256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249</v>
      </c>
      <c r="M332" s="539"/>
      <c r="N332" s="540" t="str">
        <f>CONCATENATE('BD Team'!H38," X ",'BD Team'!I38)</f>
        <v>914 X 914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250</v>
      </c>
      <c r="M333" s="539"/>
      <c r="N333" s="543">
        <f>'BD Team'!J38</f>
        <v>7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251</v>
      </c>
      <c r="M334" s="539"/>
      <c r="N334" s="540" t="str">
        <f>'BD Team'!C38</f>
        <v>M15000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252</v>
      </c>
      <c r="M335" s="539"/>
      <c r="N335" s="540" t="str">
        <f>'BD Team'!E38</f>
        <v>24MM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253</v>
      </c>
      <c r="M336" s="539"/>
      <c r="N336" s="540" t="str">
        <f>'BD Team'!F38</f>
        <v>RETRACTABLE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254</v>
      </c>
      <c r="D338" s="539"/>
      <c r="E338" s="286" t="str">
        <f>'BD Team'!B39</f>
        <v>V6</v>
      </c>
      <c r="F338" s="288" t="s">
        <v>255</v>
      </c>
      <c r="G338" s="540" t="str">
        <f>'BD Team'!D39</f>
        <v>SIDE HUNG WINDOW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 t="str">
        <f>'BD Team'!G39</f>
        <v>VARIES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247</v>
      </c>
      <c r="M340" s="539"/>
      <c r="N340" s="540" t="str">
        <f>$F$6</f>
        <v>Wood Effect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178</v>
      </c>
      <c r="M341" s="539"/>
      <c r="N341" s="540" t="str">
        <f>$K$6</f>
        <v>Black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248</v>
      </c>
      <c r="M342" s="539"/>
      <c r="N342" s="542" t="s">
        <v>256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249</v>
      </c>
      <c r="M343" s="539"/>
      <c r="N343" s="540" t="str">
        <f>CONCATENATE('BD Team'!H39," X ",'BD Team'!I39)</f>
        <v>711 X 914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250</v>
      </c>
      <c r="M344" s="539"/>
      <c r="N344" s="543">
        <f>'BD Team'!J39</f>
        <v>2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251</v>
      </c>
      <c r="M345" s="539"/>
      <c r="N345" s="540" t="str">
        <f>'BD Team'!C39</f>
        <v>M15000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252</v>
      </c>
      <c r="M346" s="539"/>
      <c r="N346" s="540" t="str">
        <f>'BD Team'!E39</f>
        <v>24MM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253</v>
      </c>
      <c r="M347" s="539"/>
      <c r="N347" s="540" t="str">
        <f>'BD Team'!F39</f>
        <v>RETRACTABLE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254</v>
      </c>
      <c r="D349" s="539"/>
      <c r="E349" s="286" t="str">
        <f>'BD Team'!B40</f>
        <v>V7</v>
      </c>
      <c r="F349" s="288" t="s">
        <v>255</v>
      </c>
      <c r="G349" s="540" t="str">
        <f>'BD Team'!D40</f>
        <v>2 SIDE HUNG WINDOWS WITH CENTER FIXED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 t="str">
        <f>'BD Team'!G40</f>
        <v>VARIES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247</v>
      </c>
      <c r="M351" s="539"/>
      <c r="N351" s="540" t="str">
        <f>$F$6</f>
        <v>Wood Effect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178</v>
      </c>
      <c r="M352" s="539"/>
      <c r="N352" s="540" t="str">
        <f>$K$6</f>
        <v>Black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248</v>
      </c>
      <c r="M353" s="539"/>
      <c r="N353" s="542" t="s">
        <v>256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249</v>
      </c>
      <c r="M354" s="539"/>
      <c r="N354" s="540" t="str">
        <f>CONCATENATE('BD Team'!H40," X ",'BD Team'!I40)</f>
        <v>2743 X 610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250</v>
      </c>
      <c r="M355" s="539"/>
      <c r="N355" s="543">
        <f>'BD Team'!J40</f>
        <v>2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251</v>
      </c>
      <c r="M356" s="539"/>
      <c r="N356" s="540" t="str">
        <f>'BD Team'!C40</f>
        <v>M15000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252</v>
      </c>
      <c r="M357" s="539"/>
      <c r="N357" s="540" t="str">
        <f>'BD Team'!E40</f>
        <v>6MM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253</v>
      </c>
      <c r="M358" s="539"/>
      <c r="N358" s="540" t="str">
        <f>'BD Team'!F40</f>
        <v>RETRACTABLE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254</v>
      </c>
      <c r="D360" s="539"/>
      <c r="E360" s="286" t="str">
        <f>'BD Team'!B41</f>
        <v>V8</v>
      </c>
      <c r="F360" s="288" t="s">
        <v>255</v>
      </c>
      <c r="G360" s="540" t="str">
        <f>'BD Team'!D41</f>
        <v>2 SIDE HUNG WINDOWS WITH CENTER FIXED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 t="str">
        <f>'BD Team'!G41</f>
        <v>STORE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247</v>
      </c>
      <c r="M362" s="539"/>
      <c r="N362" s="540" t="str">
        <f>$F$6</f>
        <v>Wood Effect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178</v>
      </c>
      <c r="M363" s="539"/>
      <c r="N363" s="540" t="str">
        <f>$K$6</f>
        <v>Black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248</v>
      </c>
      <c r="M364" s="539"/>
      <c r="N364" s="542" t="s">
        <v>256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249</v>
      </c>
      <c r="M365" s="539"/>
      <c r="N365" s="540" t="str">
        <f>CONCATENATE('BD Team'!H41," X ",'BD Team'!I41)</f>
        <v>3073 X 610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250</v>
      </c>
      <c r="M366" s="539"/>
      <c r="N366" s="543">
        <f>'BD Team'!J41</f>
        <v>1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251</v>
      </c>
      <c r="M367" s="539"/>
      <c r="N367" s="540" t="str">
        <f>'BD Team'!C41</f>
        <v>M15000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252</v>
      </c>
      <c r="M368" s="539"/>
      <c r="N368" s="540" t="str">
        <f>'BD Team'!E41</f>
        <v>6MM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253</v>
      </c>
      <c r="M369" s="539"/>
      <c r="N369" s="540" t="str">
        <f>'BD Team'!F41</f>
        <v>RETRACTABLE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254</v>
      </c>
      <c r="D371" s="539"/>
      <c r="E371" s="286" t="str">
        <f>'BD Team'!B42</f>
        <v>CW1</v>
      </c>
      <c r="F371" s="288" t="s">
        <v>255</v>
      </c>
      <c r="G371" s="540" t="str">
        <f>'BD Team'!D42</f>
        <v>2 SIDE HUNG WINDOWS WITH CENTER FIXED 2 NO'S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 t="str">
        <f>'BD Team'!G42</f>
        <v>POOJA ROOM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247</v>
      </c>
      <c r="M373" s="539"/>
      <c r="N373" s="540" t="str">
        <f>$F$6</f>
        <v>Wood Effect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178</v>
      </c>
      <c r="M374" s="539"/>
      <c r="N374" s="540" t="str">
        <f>$K$6</f>
        <v>Black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248</v>
      </c>
      <c r="M375" s="539"/>
      <c r="N375" s="542" t="s">
        <v>256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249</v>
      </c>
      <c r="M376" s="539"/>
      <c r="N376" s="540" t="str">
        <f>CONCATENATE('BD Team'!H42," X ",'BD Team'!I42)</f>
        <v>5385 X 1676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250</v>
      </c>
      <c r="M377" s="539"/>
      <c r="N377" s="543">
        <f>'BD Team'!J42</f>
        <v>1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251</v>
      </c>
      <c r="M378" s="539"/>
      <c r="N378" s="540" t="str">
        <f>'BD Team'!C42</f>
        <v>M15000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252</v>
      </c>
      <c r="M379" s="539"/>
      <c r="N379" s="540" t="str">
        <f>'BD Team'!E42</f>
        <v>24MM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253</v>
      </c>
      <c r="M380" s="539"/>
      <c r="N380" s="540" t="str">
        <f>'BD Team'!F42</f>
        <v>RETRACTABLE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254</v>
      </c>
      <c r="D382" s="539"/>
      <c r="E382" s="286" t="str">
        <f>'BD Team'!B43</f>
        <v>CW2</v>
      </c>
      <c r="F382" s="288" t="s">
        <v>255</v>
      </c>
      <c r="G382" s="540" t="str">
        <f>'BD Team'!D43</f>
        <v>FRENCH WINDOW WITH SIDE HUNG AND CENTER FIXED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 t="str">
        <f>'BD Team'!G43</f>
        <v>STUDY ROOM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247</v>
      </c>
      <c r="M384" s="539"/>
      <c r="N384" s="540" t="str">
        <f>$F$6</f>
        <v>Wood Effect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178</v>
      </c>
      <c r="M385" s="539"/>
      <c r="N385" s="540" t="str">
        <f>$K$6</f>
        <v>Black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248</v>
      </c>
      <c r="M386" s="539"/>
      <c r="N386" s="542" t="s">
        <v>256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249</v>
      </c>
      <c r="M387" s="539"/>
      <c r="N387" s="540" t="str">
        <f>CONCATENATE('BD Team'!H43," X ",'BD Team'!I43)</f>
        <v>5791 X 1372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250</v>
      </c>
      <c r="M388" s="539"/>
      <c r="N388" s="543">
        <f>'BD Team'!J43</f>
        <v>1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251</v>
      </c>
      <c r="M389" s="539"/>
      <c r="N389" s="540" t="str">
        <f>'BD Team'!C43</f>
        <v>M15000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252</v>
      </c>
      <c r="M390" s="539"/>
      <c r="N390" s="540" t="str">
        <f>'BD Team'!E43</f>
        <v>24MM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253</v>
      </c>
      <c r="M391" s="539"/>
      <c r="N391" s="540" t="str">
        <f>'BD Team'!F43</f>
        <v>RETRACTABLE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254</v>
      </c>
      <c r="D393" s="539"/>
      <c r="E393" s="286" t="str">
        <f>'BD Team'!B44</f>
        <v>CW3</v>
      </c>
      <c r="F393" s="288" t="s">
        <v>255</v>
      </c>
      <c r="G393" s="540" t="str">
        <f>'BD Team'!D44</f>
        <v>FIXED GLASS 11 NO'S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 t="str">
        <f>'BD Team'!G44</f>
        <v>LIVING DOUBLE HEIGHT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247</v>
      </c>
      <c r="M395" s="539"/>
      <c r="N395" s="540" t="str">
        <f>$F$6</f>
        <v>Wood Effect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178</v>
      </c>
      <c r="M396" s="539"/>
      <c r="N396" s="540" t="str">
        <f>$K$6</f>
        <v>Black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248</v>
      </c>
      <c r="M397" s="539"/>
      <c r="N397" s="542" t="s">
        <v>256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249</v>
      </c>
      <c r="M398" s="539"/>
      <c r="N398" s="540" t="str">
        <f>CONCATENATE('BD Team'!H44," X ",'BD Team'!I44)</f>
        <v>9398 X 3200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250</v>
      </c>
      <c r="M399" s="539"/>
      <c r="N399" s="543">
        <f>'BD Team'!J44</f>
        <v>1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251</v>
      </c>
      <c r="M400" s="539"/>
      <c r="N400" s="540" t="str">
        <f>'BD Team'!C44</f>
        <v>M15000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252</v>
      </c>
      <c r="M401" s="539"/>
      <c r="N401" s="540" t="str">
        <f>'BD Team'!E44</f>
        <v>24MM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253</v>
      </c>
      <c r="M402" s="539"/>
      <c r="N402" s="540" t="str">
        <f>'BD Team'!F44</f>
        <v>NO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254</v>
      </c>
      <c r="D404" s="539"/>
      <c r="E404" s="286" t="str">
        <f>'BD Team'!B45</f>
        <v>W15</v>
      </c>
      <c r="F404" s="288" t="s">
        <v>255</v>
      </c>
      <c r="G404" s="540" t="str">
        <f>'BD Team'!D45</f>
        <v>2 FRENCH CASEMENT WINDOW WITH 7 FIXED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 t="str">
        <f>'BD Team'!G45</f>
        <v>CORRIDOR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247</v>
      </c>
      <c r="M406" s="539"/>
      <c r="N406" s="540" t="str">
        <f>$F$6</f>
        <v>Wood Effect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178</v>
      </c>
      <c r="M407" s="539"/>
      <c r="N407" s="540" t="str">
        <f>$K$6</f>
        <v>Black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248</v>
      </c>
      <c r="M408" s="539"/>
      <c r="N408" s="542" t="s">
        <v>256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249</v>
      </c>
      <c r="M409" s="539"/>
      <c r="N409" s="540" t="str">
        <f>CONCATENATE('BD Team'!H45," X ",'BD Team'!I45)</f>
        <v>4762 X 3200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250</v>
      </c>
      <c r="M410" s="539"/>
      <c r="N410" s="543">
        <f>'BD Team'!J45</f>
        <v>1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251</v>
      </c>
      <c r="M411" s="539"/>
      <c r="N411" s="540" t="str">
        <f>'BD Team'!C45</f>
        <v>M15000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252</v>
      </c>
      <c r="M412" s="539"/>
      <c r="N412" s="540" t="str">
        <f>'BD Team'!E45</f>
        <v>24MM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253</v>
      </c>
      <c r="M413" s="539"/>
      <c r="N413" s="540" t="str">
        <f>'BD Team'!F45</f>
        <v>RETRACTABLE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254</v>
      </c>
      <c r="D415" s="539"/>
      <c r="E415" s="286" t="str">
        <f>'BD Team'!B46</f>
        <v>W16</v>
      </c>
      <c r="F415" s="288" t="s">
        <v>255</v>
      </c>
      <c r="G415" s="540" t="str">
        <f>'BD Team'!D46</f>
        <v>CURTAIN WALL WITH SHAPE WITH FRENCH DOOR AND SINGLE DOOR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 t="str">
        <f>'BD Team'!G46</f>
        <v>HOME THEATER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247</v>
      </c>
      <c r="M417" s="539"/>
      <c r="N417" s="540" t="str">
        <f>$F$6</f>
        <v>Wood Effect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178</v>
      </c>
      <c r="M418" s="539"/>
      <c r="N418" s="540" t="str">
        <f>$K$6</f>
        <v>Black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248</v>
      </c>
      <c r="M419" s="539"/>
      <c r="N419" s="542" t="s">
        <v>256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249</v>
      </c>
      <c r="M420" s="539"/>
      <c r="N420" s="540" t="str">
        <f>CONCATENATE('BD Team'!H46," X ",'BD Team'!I46)</f>
        <v>6452 X 4280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250</v>
      </c>
      <c r="M421" s="539"/>
      <c r="N421" s="543">
        <f>'BD Team'!J46</f>
        <v>1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251</v>
      </c>
      <c r="M422" s="539"/>
      <c r="N422" s="540" t="str">
        <f>'BD Team'!C46</f>
        <v>M7 &amp; M15000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252</v>
      </c>
      <c r="M423" s="539"/>
      <c r="N423" s="540" t="str">
        <f>'BD Team'!E46</f>
        <v>24MM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253</v>
      </c>
      <c r="M424" s="539"/>
      <c r="N424" s="540" t="str">
        <f>'BD Team'!F46</f>
        <v>RETRACTABLE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254</v>
      </c>
      <c r="D426" s="539"/>
      <c r="E426" s="286" t="str">
        <f>'BD Team'!B47</f>
        <v>W17</v>
      </c>
      <c r="F426" s="288" t="s">
        <v>255</v>
      </c>
      <c r="G426" s="540" t="str">
        <f>'BD Team'!D47</f>
        <v>4 FRENCH WINDOWS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 t="str">
        <f>'BD Team'!G47</f>
        <v>GYM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247</v>
      </c>
      <c r="M428" s="539"/>
      <c r="N428" s="540" t="str">
        <f>$F$6</f>
        <v>Wood Effect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178</v>
      </c>
      <c r="M429" s="539"/>
      <c r="N429" s="540" t="str">
        <f>$K$6</f>
        <v>Black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248</v>
      </c>
      <c r="M430" s="539"/>
      <c r="N430" s="542" t="s">
        <v>256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249</v>
      </c>
      <c r="M431" s="539"/>
      <c r="N431" s="540" t="str">
        <f>CONCATENATE('BD Team'!H47," X ",'BD Team'!I47)</f>
        <v>5131 X 1676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250</v>
      </c>
      <c r="M432" s="539"/>
      <c r="N432" s="543">
        <f>'BD Team'!J47</f>
        <v>1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251</v>
      </c>
      <c r="M433" s="539"/>
      <c r="N433" s="540" t="str">
        <f>'BD Team'!C47</f>
        <v>M15000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252</v>
      </c>
      <c r="M434" s="539"/>
      <c r="N434" s="540" t="str">
        <f>'BD Team'!E47</f>
        <v>24MM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253</v>
      </c>
      <c r="M435" s="539"/>
      <c r="N435" s="540" t="str">
        <f>'BD Team'!F47</f>
        <v>RETRACTABLE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254</v>
      </c>
      <c r="D437" s="539"/>
      <c r="E437" s="286" t="str">
        <f>'BD Team'!B48</f>
        <v>W18</v>
      </c>
      <c r="F437" s="288" t="s">
        <v>255</v>
      </c>
      <c r="G437" s="540" t="str">
        <f>'BD Team'!D48</f>
        <v>2 FRENCH WINDOWS WITH CENTER FIXED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 t="str">
        <f>'BD Team'!G48</f>
        <v>CORRIDOR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247</v>
      </c>
      <c r="M439" s="539"/>
      <c r="N439" s="540" t="str">
        <f>$F$6</f>
        <v>Wood Effect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178</v>
      </c>
      <c r="M440" s="539"/>
      <c r="N440" s="540" t="str">
        <f>$K$6</f>
        <v>Black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248</v>
      </c>
      <c r="M441" s="539"/>
      <c r="N441" s="542" t="s">
        <v>256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249</v>
      </c>
      <c r="M442" s="539"/>
      <c r="N442" s="540" t="str">
        <f>CONCATENATE('BD Team'!H48," X ",'BD Team'!I48)</f>
        <v>4648 X 1676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250</v>
      </c>
      <c r="M443" s="539"/>
      <c r="N443" s="543">
        <f>'BD Team'!J48</f>
        <v>1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251</v>
      </c>
      <c r="M444" s="539"/>
      <c r="N444" s="540" t="str">
        <f>'BD Team'!C48</f>
        <v>M15000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252</v>
      </c>
      <c r="M445" s="539"/>
      <c r="N445" s="540" t="str">
        <f>'BD Team'!E48</f>
        <v>24MM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253</v>
      </c>
      <c r="M446" s="539"/>
      <c r="N446" s="540" t="str">
        <f>'BD Team'!F48</f>
        <v>RETRACTABLE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254</v>
      </c>
      <c r="D448" s="539"/>
      <c r="E448" s="286" t="str">
        <f>'BD Team'!B49</f>
        <v>W19</v>
      </c>
      <c r="F448" s="288" t="s">
        <v>255</v>
      </c>
      <c r="G448" s="540" t="str">
        <f>'BD Team'!D49</f>
        <v>FIXED GLASS 4 NO'S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 t="str">
        <f>'BD Team'!G49</f>
        <v>COVERED TERRACE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247</v>
      </c>
      <c r="M450" s="539"/>
      <c r="N450" s="540" t="str">
        <f>$F$6</f>
        <v>Wood Effect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178</v>
      </c>
      <c r="M451" s="539"/>
      <c r="N451" s="540" t="str">
        <f>$K$6</f>
        <v>Black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248</v>
      </c>
      <c r="M452" s="539"/>
      <c r="N452" s="542" t="s">
        <v>256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249</v>
      </c>
      <c r="M453" s="539"/>
      <c r="N453" s="540" t="str">
        <f>CONCATENATE('BD Team'!H49," X ",'BD Team'!I49)</f>
        <v>4197 X 1397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250</v>
      </c>
      <c r="M454" s="539"/>
      <c r="N454" s="543">
        <f>'BD Team'!J49</f>
        <v>1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251</v>
      </c>
      <c r="M455" s="539"/>
      <c r="N455" s="540" t="str">
        <f>'BD Team'!C49</f>
        <v>M15000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252</v>
      </c>
      <c r="M456" s="539"/>
      <c r="N456" s="540" t="str">
        <f>'BD Team'!E49</f>
        <v>24MM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253</v>
      </c>
      <c r="M457" s="539"/>
      <c r="N457" s="540" t="str">
        <f>'BD Team'!F49</f>
        <v>NO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254</v>
      </c>
      <c r="D459" s="539"/>
      <c r="E459" s="286" t="str">
        <f>'BD Team'!B50</f>
        <v>W20</v>
      </c>
      <c r="F459" s="288" t="s">
        <v>255</v>
      </c>
      <c r="G459" s="540" t="str">
        <f>'BD Team'!D50</f>
        <v>SIDE HUNG WINDOW WITH 2 FIXED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 t="str">
        <f>'BD Team'!G50</f>
        <v>PEEYUSH JAIN'S OFFICE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247</v>
      </c>
      <c r="M461" s="539"/>
      <c r="N461" s="540" t="str">
        <f>$F$6</f>
        <v>Wood Effect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178</v>
      </c>
      <c r="M462" s="539"/>
      <c r="N462" s="540" t="str">
        <f>$K$6</f>
        <v>Black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248</v>
      </c>
      <c r="M463" s="539"/>
      <c r="N463" s="542" t="s">
        <v>256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249</v>
      </c>
      <c r="M464" s="539"/>
      <c r="N464" s="540" t="str">
        <f>CONCATENATE('BD Team'!H50," X ",'BD Team'!I50)</f>
        <v>2946 X 1524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250</v>
      </c>
      <c r="M465" s="539"/>
      <c r="N465" s="543">
        <f>'BD Team'!J50</f>
        <v>1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251</v>
      </c>
      <c r="M466" s="539"/>
      <c r="N466" s="540" t="str">
        <f>'BD Team'!C50</f>
        <v>M15000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252</v>
      </c>
      <c r="M467" s="539"/>
      <c r="N467" s="540" t="str">
        <f>'BD Team'!E50</f>
        <v>24MM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253</v>
      </c>
      <c r="M468" s="539"/>
      <c r="N468" s="540" t="str">
        <f>'BD Team'!F50</f>
        <v>RETRACTABLE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254</v>
      </c>
      <c r="D470" s="539"/>
      <c r="E470" s="286" t="str">
        <f>'BD Team'!B51</f>
        <v>W9</v>
      </c>
      <c r="F470" s="288" t="s">
        <v>255</v>
      </c>
      <c r="G470" s="540" t="str">
        <f>'BD Team'!D51</f>
        <v>FIXED GLASS 3 NO'S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 t="str">
        <f>'BD Team'!G51</f>
        <v>NORMATHAS OFFICE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247</v>
      </c>
      <c r="M472" s="539"/>
      <c r="N472" s="540" t="str">
        <f>$F$6</f>
        <v>Wood Effect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178</v>
      </c>
      <c r="M473" s="539"/>
      <c r="N473" s="540" t="str">
        <f>$K$6</f>
        <v>Black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248</v>
      </c>
      <c r="M474" s="539"/>
      <c r="N474" s="542" t="s">
        <v>256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249</v>
      </c>
      <c r="M475" s="539"/>
      <c r="N475" s="540" t="str">
        <f>CONCATENATE('BD Team'!H51," X ",'BD Team'!I51)</f>
        <v>1778 X 2438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250</v>
      </c>
      <c r="M476" s="539"/>
      <c r="N476" s="543">
        <f>'BD Team'!J51</f>
        <v>1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251</v>
      </c>
      <c r="M477" s="539"/>
      <c r="N477" s="540" t="str">
        <f>'BD Team'!C51</f>
        <v>M15000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252</v>
      </c>
      <c r="M478" s="539"/>
      <c r="N478" s="540" t="str">
        <f>'BD Team'!E51</f>
        <v>24MM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253</v>
      </c>
      <c r="M479" s="539"/>
      <c r="N479" s="540" t="str">
        <f>'BD Team'!F51</f>
        <v>NO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254</v>
      </c>
      <c r="D481" s="539"/>
      <c r="E481" s="286" t="str">
        <f>'BD Team'!B52</f>
        <v>SFD1</v>
      </c>
      <c r="F481" s="288" t="s">
        <v>255</v>
      </c>
      <c r="G481" s="540" t="str">
        <f>'BD Team'!D52</f>
        <v>SLIDE &amp; FOLD WITH 3 LEAFS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 t="str">
        <f>'BD Team'!G52</f>
        <v>LIVING ROOM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247</v>
      </c>
      <c r="M483" s="539"/>
      <c r="N483" s="540" t="str">
        <f>$F$6</f>
        <v>Wood Effect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178</v>
      </c>
      <c r="M484" s="539"/>
      <c r="N484" s="540" t="str">
        <f>$K$6</f>
        <v>Black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248</v>
      </c>
      <c r="M485" s="539"/>
      <c r="N485" s="542" t="s">
        <v>256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249</v>
      </c>
      <c r="M486" s="539"/>
      <c r="N486" s="540" t="str">
        <f>CONCATENATE('BD Team'!H52," X ",'BD Team'!I52)</f>
        <v>2997 X 2438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250</v>
      </c>
      <c r="M487" s="539"/>
      <c r="N487" s="543">
        <f>'BD Team'!J52</f>
        <v>1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251</v>
      </c>
      <c r="M488" s="539"/>
      <c r="N488" s="540" t="str">
        <f>'BD Team'!C52</f>
        <v>M9800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252</v>
      </c>
      <c r="M489" s="539"/>
      <c r="N489" s="540" t="str">
        <f>'BD Team'!E52</f>
        <v>24MM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253</v>
      </c>
      <c r="M490" s="539"/>
      <c r="N490" s="540" t="str">
        <f>'BD Team'!F52</f>
        <v>RETRACTABLE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254</v>
      </c>
      <c r="D492" s="539"/>
      <c r="E492" s="286" t="str">
        <f>'BD Team'!B53</f>
        <v>SFD2</v>
      </c>
      <c r="F492" s="288" t="s">
        <v>255</v>
      </c>
      <c r="G492" s="540" t="str">
        <f>'BD Team'!D53</f>
        <v>SLIDE &amp; FOLD WITH 5 LEAFS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 t="str">
        <f>'BD Team'!G53</f>
        <v>DINING ROOM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247</v>
      </c>
      <c r="M494" s="539"/>
      <c r="N494" s="540" t="str">
        <f>$F$6</f>
        <v>Wood Effect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178</v>
      </c>
      <c r="M495" s="539"/>
      <c r="N495" s="540" t="str">
        <f>$K$6</f>
        <v>Black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248</v>
      </c>
      <c r="M496" s="539"/>
      <c r="N496" s="542" t="s">
        <v>256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249</v>
      </c>
      <c r="M497" s="539"/>
      <c r="N497" s="540" t="str">
        <f>CONCATENATE('BD Team'!H53," X ",'BD Team'!I53)</f>
        <v>4648 X 2438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250</v>
      </c>
      <c r="M498" s="539"/>
      <c r="N498" s="543">
        <f>'BD Team'!J53</f>
        <v>1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251</v>
      </c>
      <c r="M499" s="539"/>
      <c r="N499" s="540" t="str">
        <f>'BD Team'!C53</f>
        <v>M9800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252</v>
      </c>
      <c r="M500" s="539"/>
      <c r="N500" s="540" t="str">
        <f>'BD Team'!E53</f>
        <v>24MM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253</v>
      </c>
      <c r="M501" s="539"/>
      <c r="N501" s="540" t="str">
        <f>'BD Team'!F53</f>
        <v>RETRACTABLE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254</v>
      </c>
      <c r="D503" s="539"/>
      <c r="E503" s="286" t="str">
        <f>'BD Team'!B54</f>
        <v>SFD3</v>
      </c>
      <c r="F503" s="288" t="s">
        <v>255</v>
      </c>
      <c r="G503" s="540" t="str">
        <f>'BD Team'!D54</f>
        <v>SLIDE &amp; FOLD WITH 5 LEAFS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 t="str">
        <f>'BD Team'!G54</f>
        <v>GUEST BEDROOM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247</v>
      </c>
      <c r="M505" s="539"/>
      <c r="N505" s="540" t="str">
        <f>$F$6</f>
        <v>Wood Effect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178</v>
      </c>
      <c r="M506" s="539"/>
      <c r="N506" s="540" t="str">
        <f>$K$6</f>
        <v>Black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248</v>
      </c>
      <c r="M507" s="539"/>
      <c r="N507" s="542" t="s">
        <v>256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249</v>
      </c>
      <c r="M508" s="539"/>
      <c r="N508" s="540" t="str">
        <f>CONCATENATE('BD Team'!H54," X ",'BD Team'!I54)</f>
        <v>3340 X 2438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250</v>
      </c>
      <c r="M509" s="539"/>
      <c r="N509" s="543">
        <f>'BD Team'!J54</f>
        <v>1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251</v>
      </c>
      <c r="M510" s="539"/>
      <c r="N510" s="540" t="str">
        <f>'BD Team'!C54</f>
        <v>M9800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252</v>
      </c>
      <c r="M511" s="539"/>
      <c r="N511" s="540" t="str">
        <f>'BD Team'!E54</f>
        <v>24MM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253</v>
      </c>
      <c r="M512" s="539"/>
      <c r="N512" s="540" t="str">
        <f>'BD Team'!F54</f>
        <v>RETRACTABLE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254</v>
      </c>
      <c r="D514" s="539"/>
      <c r="E514" s="286" t="str">
        <f>'BD Team'!B55</f>
        <v>D1</v>
      </c>
      <c r="F514" s="288" t="s">
        <v>255</v>
      </c>
      <c r="G514" s="540" t="str">
        <f>'BD Team'!D55</f>
        <v>SIDE HUNG DOOR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 t="str">
        <f>'BD Team'!G55</f>
        <v>NA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247</v>
      </c>
      <c r="M516" s="539"/>
      <c r="N516" s="540" t="str">
        <f>$F$6</f>
        <v>Wood Effect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178</v>
      </c>
      <c r="M517" s="539"/>
      <c r="N517" s="540" t="str">
        <f>$K$6</f>
        <v>Black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248</v>
      </c>
      <c r="M518" s="539"/>
      <c r="N518" s="542" t="s">
        <v>256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249</v>
      </c>
      <c r="M519" s="539"/>
      <c r="N519" s="540" t="str">
        <f>CONCATENATE('BD Team'!H55," X ",'BD Team'!I55)</f>
        <v>1067 X 2438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250</v>
      </c>
      <c r="M520" s="539"/>
      <c r="N520" s="543">
        <f>'BD Team'!J55</f>
        <v>2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251</v>
      </c>
      <c r="M521" s="539"/>
      <c r="N521" s="540" t="str">
        <f>'BD Team'!C55</f>
        <v>M15000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252</v>
      </c>
      <c r="M522" s="539"/>
      <c r="N522" s="540" t="str">
        <f>'BD Team'!E55</f>
        <v>24MM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253</v>
      </c>
      <c r="M523" s="539"/>
      <c r="N523" s="540" t="str">
        <f>'BD Team'!F55</f>
        <v>NO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254</v>
      </c>
      <c r="D525" s="539"/>
      <c r="E525" s="286" t="str">
        <f>'BD Team'!B56</f>
        <v>D2</v>
      </c>
      <c r="F525" s="288" t="s">
        <v>255</v>
      </c>
      <c r="G525" s="540" t="str">
        <f>'BD Team'!D56</f>
        <v>SIDE HUNG DOOR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 t="str">
        <f>'BD Team'!G56</f>
        <v>NA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247</v>
      </c>
      <c r="M527" s="539"/>
      <c r="N527" s="540" t="str">
        <f>$F$6</f>
        <v>Wood Effect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178</v>
      </c>
      <c r="M528" s="539"/>
      <c r="N528" s="540" t="str">
        <f>$K$6</f>
        <v>Black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248</v>
      </c>
      <c r="M529" s="539"/>
      <c r="N529" s="542" t="s">
        <v>256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249</v>
      </c>
      <c r="M530" s="539"/>
      <c r="N530" s="540" t="str">
        <f>CONCATENATE('BD Team'!H56," X ",'BD Team'!I56)</f>
        <v>914 X 2438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250</v>
      </c>
      <c r="M531" s="539"/>
      <c r="N531" s="543">
        <f>'BD Team'!J56</f>
        <v>19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251</v>
      </c>
      <c r="M532" s="539"/>
      <c r="N532" s="540" t="str">
        <f>'BD Team'!C56</f>
        <v>M15000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252</v>
      </c>
      <c r="M533" s="539"/>
      <c r="N533" s="540" t="str">
        <f>'BD Team'!E56</f>
        <v>24MM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253</v>
      </c>
      <c r="M534" s="539"/>
      <c r="N534" s="540" t="str">
        <f>'BD Team'!F56</f>
        <v>NO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254</v>
      </c>
      <c r="D536" s="539"/>
      <c r="E536" s="286" t="str">
        <f>'BD Team'!B57</f>
        <v>D3</v>
      </c>
      <c r="F536" s="288" t="s">
        <v>255</v>
      </c>
      <c r="G536" s="540" t="str">
        <f>'BD Team'!D57</f>
        <v>SIDE HUNG DOOR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 t="str">
        <f>'BD Team'!G57</f>
        <v>NA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247</v>
      </c>
      <c r="M538" s="539"/>
      <c r="N538" s="540" t="str">
        <f>$F$6</f>
        <v>Wood Effect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178</v>
      </c>
      <c r="M539" s="539"/>
      <c r="N539" s="540" t="str">
        <f>$K$6</f>
        <v>Black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248</v>
      </c>
      <c r="M540" s="539"/>
      <c r="N540" s="542" t="s">
        <v>256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249</v>
      </c>
      <c r="M541" s="539"/>
      <c r="N541" s="540" t="str">
        <f>CONCATENATE('BD Team'!H57," X ",'BD Team'!I57)</f>
        <v>762 X 2438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250</v>
      </c>
      <c r="M542" s="539"/>
      <c r="N542" s="543">
        <f>'BD Team'!J57</f>
        <v>16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251</v>
      </c>
      <c r="M543" s="539"/>
      <c r="N543" s="540" t="str">
        <f>'BD Team'!C57</f>
        <v>M15000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252</v>
      </c>
      <c r="M544" s="539"/>
      <c r="N544" s="540" t="str">
        <f>'BD Team'!E57</f>
        <v>24MM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253</v>
      </c>
      <c r="M545" s="539"/>
      <c r="N545" s="540" t="str">
        <f>'BD Team'!F57</f>
        <v>NO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254</v>
      </c>
      <c r="D547" s="539"/>
      <c r="E547" s="286" t="str">
        <f>'BD Team'!B58</f>
        <v>DW1</v>
      </c>
      <c r="F547" s="288" t="s">
        <v>255</v>
      </c>
      <c r="G547" s="540" t="str">
        <f>'BD Team'!D58</f>
        <v>3 TRACK 2 SHUTTER SLIDING DOOR WITH SINGLE DOOR AND TOP FIXED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 t="str">
        <f>'BD Team'!G58</f>
        <v>ELECTRICAL ROOM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247</v>
      </c>
      <c r="M549" s="539"/>
      <c r="N549" s="540" t="str">
        <f>$F$6</f>
        <v>Wood Effect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178</v>
      </c>
      <c r="M550" s="539"/>
      <c r="N550" s="540" t="str">
        <f>$K$6</f>
        <v>Black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248</v>
      </c>
      <c r="M551" s="539"/>
      <c r="N551" s="542" t="s">
        <v>256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249</v>
      </c>
      <c r="M552" s="539"/>
      <c r="N552" s="540" t="str">
        <f>CONCATENATE('BD Team'!H58," X ",'BD Team'!I58)</f>
        <v>2210 X 4115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250</v>
      </c>
      <c r="M553" s="539"/>
      <c r="N553" s="543">
        <f>'BD Team'!J58</f>
        <v>1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251</v>
      </c>
      <c r="M554" s="539"/>
      <c r="N554" s="540" t="str">
        <f>'BD Team'!C58</f>
        <v>M15000 &amp; M14600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252</v>
      </c>
      <c r="M555" s="539"/>
      <c r="N555" s="540" t="str">
        <f>'BD Team'!E58</f>
        <v>24MM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253</v>
      </c>
      <c r="M556" s="539"/>
      <c r="N556" s="540" t="str">
        <f>'BD Team'!F58</f>
        <v>NO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254</v>
      </c>
      <c r="D558" s="539"/>
      <c r="E558" s="289" t="str">
        <f>'BD Team'!B59</f>
        <v>MD</v>
      </c>
      <c r="F558" s="288" t="s">
        <v>255</v>
      </c>
      <c r="G558" s="543" t="str">
        <f>'BD Team'!D59</f>
        <v>SIDE HUNG DOOR WITH 3 FIXED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48" t="str">
        <f>'BD Team'!G59</f>
        <v>ENTRANCE DOOR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247</v>
      </c>
      <c r="M560" s="539"/>
      <c r="N560" s="540" t="str">
        <f>$F$6</f>
        <v>Wood Effect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178</v>
      </c>
      <c r="M561" s="539"/>
      <c r="N561" s="540" t="str">
        <f>$K$6</f>
        <v>Black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248</v>
      </c>
      <c r="M562" s="539"/>
      <c r="N562" s="542" t="s">
        <v>256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249</v>
      </c>
      <c r="M563" s="539"/>
      <c r="N563" s="540" t="str">
        <f>CONCATENATE('BD Team'!H59," X ",'BD Team'!I59)</f>
        <v>2033 X 4115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250</v>
      </c>
      <c r="M564" s="539"/>
      <c r="N564" s="543">
        <f>'BD Team'!J59</f>
        <v>1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251</v>
      </c>
      <c r="M565" s="539"/>
      <c r="N565" s="543" t="str">
        <f>'BD Team'!C59</f>
        <v>M15000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252</v>
      </c>
      <c r="M566" s="539"/>
      <c r="N566" s="543" t="str">
        <f>'BD Team'!E59</f>
        <v>24MM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253</v>
      </c>
      <c r="M567" s="539"/>
      <c r="N567" s="543" t="str">
        <f>'BD Team'!F59</f>
        <v>NO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254</v>
      </c>
      <c r="D569" s="539"/>
      <c r="E569" s="289" t="str">
        <f>'BD Team'!B60</f>
        <v>PD1</v>
      </c>
      <c r="F569" s="288" t="s">
        <v>255</v>
      </c>
      <c r="G569" s="543" t="str">
        <f>'BD Team'!D60</f>
        <v>POCKET DOOR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48" t="str">
        <f>'BD Team'!G60</f>
        <v>FORMAL LIVING ROOM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247</v>
      </c>
      <c r="M571" s="539"/>
      <c r="N571" s="540" t="str">
        <f>$F$6</f>
        <v>Wood Effect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178</v>
      </c>
      <c r="M572" s="539"/>
      <c r="N572" s="540" t="str">
        <f>$K$6</f>
        <v>Black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248</v>
      </c>
      <c r="M573" s="539"/>
      <c r="N573" s="542" t="s">
        <v>256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249</v>
      </c>
      <c r="M574" s="539"/>
      <c r="N574" s="540" t="str">
        <f>CONCATENATE('BD Team'!H60," X ",'BD Team'!I60)</f>
        <v>6098 X 2438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250</v>
      </c>
      <c r="M575" s="539"/>
      <c r="N575" s="543">
        <f>'BD Team'!J60</f>
        <v>1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251</v>
      </c>
      <c r="M576" s="539"/>
      <c r="N576" s="543" t="str">
        <f>'BD Team'!C60</f>
        <v>M14600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252</v>
      </c>
      <c r="M577" s="539"/>
      <c r="N577" s="543" t="str">
        <f>'BD Team'!E60</f>
        <v>24MM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253</v>
      </c>
      <c r="M578" s="539"/>
      <c r="N578" s="543" t="str">
        <f>'BD Team'!F60</f>
        <v>NO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254</v>
      </c>
      <c r="D580" s="539"/>
      <c r="E580" s="289" t="str">
        <f>'BD Team'!B61</f>
        <v>PD2</v>
      </c>
      <c r="F580" s="288" t="s">
        <v>255</v>
      </c>
      <c r="G580" s="543" t="str">
        <f>'BD Team'!D61</f>
        <v>POCKET DOOR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48" t="str">
        <f>'BD Team'!G61</f>
        <v>NORMATHAS OFFICE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247</v>
      </c>
      <c r="M582" s="539"/>
      <c r="N582" s="540" t="str">
        <f>$F$6</f>
        <v>Wood Effect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178</v>
      </c>
      <c r="M583" s="539"/>
      <c r="N583" s="540" t="str">
        <f>$K$6</f>
        <v>Black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248</v>
      </c>
      <c r="M584" s="539"/>
      <c r="N584" s="542" t="s">
        <v>256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249</v>
      </c>
      <c r="M585" s="539"/>
      <c r="N585" s="540" t="str">
        <f>CONCATENATE('BD Team'!H61," X ",'BD Team'!I61)</f>
        <v>1981 X 2438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250</v>
      </c>
      <c r="M586" s="539"/>
      <c r="N586" s="543">
        <f>'BD Team'!J61</f>
        <v>1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251</v>
      </c>
      <c r="M587" s="539"/>
      <c r="N587" s="543" t="str">
        <f>'BD Team'!C61</f>
        <v>M14600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252</v>
      </c>
      <c r="M588" s="539"/>
      <c r="N588" s="543" t="str">
        <f>'BD Team'!E61</f>
        <v>24MM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253</v>
      </c>
      <c r="M589" s="539"/>
      <c r="N589" s="543" t="str">
        <f>'BD Team'!F61</f>
        <v>NO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254</v>
      </c>
      <c r="D591" s="539"/>
      <c r="E591" s="289" t="str">
        <f>'BD Team'!B62</f>
        <v>PD3</v>
      </c>
      <c r="F591" s="288" t="s">
        <v>255</v>
      </c>
      <c r="G591" s="543" t="str">
        <f>'BD Team'!D62</f>
        <v>POCKET DOOR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48" t="str">
        <f>'BD Team'!G62</f>
        <v>FAMILY ROOM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247</v>
      </c>
      <c r="M593" s="539"/>
      <c r="N593" s="540" t="str">
        <f>$F$6</f>
        <v>Wood Effect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178</v>
      </c>
      <c r="M594" s="539"/>
      <c r="N594" s="540" t="str">
        <f>$K$6</f>
        <v>Black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248</v>
      </c>
      <c r="M595" s="539"/>
      <c r="N595" s="542" t="s">
        <v>256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249</v>
      </c>
      <c r="M596" s="539"/>
      <c r="N596" s="540" t="str">
        <f>CONCATENATE('BD Team'!H62," X ",'BD Team'!I62)</f>
        <v>5182 X 2438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250</v>
      </c>
      <c r="M597" s="539"/>
      <c r="N597" s="543">
        <f>'BD Team'!J62</f>
        <v>1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251</v>
      </c>
      <c r="M598" s="539"/>
      <c r="N598" s="543" t="str">
        <f>'BD Team'!C62</f>
        <v>M14600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252</v>
      </c>
      <c r="M599" s="539"/>
      <c r="N599" s="543" t="str">
        <f>'BD Team'!E62</f>
        <v>24MM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253</v>
      </c>
      <c r="M600" s="539"/>
      <c r="N600" s="543" t="str">
        <f>'BD Team'!F62</f>
        <v>NO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254</v>
      </c>
      <c r="D602" s="539"/>
      <c r="E602" s="289" t="str">
        <f>'BD Team'!B63</f>
        <v>PD4</v>
      </c>
      <c r="F602" s="288" t="s">
        <v>255</v>
      </c>
      <c r="G602" s="543" t="str">
        <f>'BD Team'!D63</f>
        <v>POCKET DOOR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48" t="str">
        <f>'BD Team'!G63</f>
        <v>CORRIDOR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247</v>
      </c>
      <c r="M604" s="539"/>
      <c r="N604" s="540" t="str">
        <f>$F$6</f>
        <v>Wood Effect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178</v>
      </c>
      <c r="M605" s="539"/>
      <c r="N605" s="540" t="str">
        <f>$K$6</f>
        <v>Black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248</v>
      </c>
      <c r="M606" s="539"/>
      <c r="N606" s="542" t="s">
        <v>256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249</v>
      </c>
      <c r="M607" s="539"/>
      <c r="N607" s="540" t="str">
        <f>CONCATENATE('BD Team'!H63," X ",'BD Team'!I63)</f>
        <v>2210 X 2438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250</v>
      </c>
      <c r="M608" s="539"/>
      <c r="N608" s="543">
        <f>'BD Team'!J63</f>
        <v>2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251</v>
      </c>
      <c r="M609" s="539"/>
      <c r="N609" s="543" t="str">
        <f>'BD Team'!C63</f>
        <v>M14600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252</v>
      </c>
      <c r="M610" s="539"/>
      <c r="N610" s="543" t="str">
        <f>'BD Team'!E63</f>
        <v>24MM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253</v>
      </c>
      <c r="M611" s="539"/>
      <c r="N611" s="543" t="str">
        <f>'BD Team'!F63</f>
        <v>NO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254</v>
      </c>
      <c r="D613" s="539"/>
      <c r="E613" s="289" t="str">
        <f>'BD Team'!B64</f>
        <v>PD5</v>
      </c>
      <c r="F613" s="288" t="s">
        <v>255</v>
      </c>
      <c r="G613" s="543" t="str">
        <f>'BD Team'!D64</f>
        <v>POCKET DOOR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48" t="str">
        <f>'BD Team'!G64</f>
        <v>NA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247</v>
      </c>
      <c r="M615" s="539"/>
      <c r="N615" s="540" t="str">
        <f>$F$6</f>
        <v>Wood Effect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178</v>
      </c>
      <c r="M616" s="539"/>
      <c r="N616" s="540" t="str">
        <f>$K$6</f>
        <v>Black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248</v>
      </c>
      <c r="M617" s="539"/>
      <c r="N617" s="542" t="s">
        <v>256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249</v>
      </c>
      <c r="M618" s="539"/>
      <c r="N618" s="540" t="str">
        <f>CONCATENATE('BD Team'!H64," X ",'BD Team'!I64)</f>
        <v>1981 X 2438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250</v>
      </c>
      <c r="M619" s="539"/>
      <c r="N619" s="543">
        <f>'BD Team'!J64</f>
        <v>4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251</v>
      </c>
      <c r="M620" s="539"/>
      <c r="N620" s="543" t="str">
        <f>'BD Team'!C64</f>
        <v>M14600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252</v>
      </c>
      <c r="M621" s="539"/>
      <c r="N621" s="543" t="str">
        <f>'BD Team'!E64</f>
        <v>24MM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253</v>
      </c>
      <c r="M622" s="539"/>
      <c r="N622" s="543" t="str">
        <f>'BD Team'!F64</f>
        <v>NO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254</v>
      </c>
      <c r="D624" s="539"/>
      <c r="E624" s="289">
        <f>'BD Team'!B65</f>
        <v>0</v>
      </c>
      <c r="F624" s="288" t="s">
        <v>255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48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247</v>
      </c>
      <c r="M626" s="539"/>
      <c r="N626" s="540" t="str">
        <f>$F$6</f>
        <v>Wood Effect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178</v>
      </c>
      <c r="M627" s="539"/>
      <c r="N627" s="540" t="str">
        <f>$K$6</f>
        <v>Black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248</v>
      </c>
      <c r="M628" s="539"/>
      <c r="N628" s="542" t="s">
        <v>256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249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250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251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252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253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254</v>
      </c>
      <c r="D635" s="539"/>
      <c r="E635" s="289">
        <f>'BD Team'!B66</f>
        <v>0</v>
      </c>
      <c r="F635" s="288" t="s">
        <v>255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48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247</v>
      </c>
      <c r="M637" s="539"/>
      <c r="N637" s="540" t="str">
        <f>$F$6</f>
        <v>Wood Effect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178</v>
      </c>
      <c r="M638" s="539"/>
      <c r="N638" s="540" t="str">
        <f>$K$6</f>
        <v>Black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248</v>
      </c>
      <c r="M639" s="539"/>
      <c r="N639" s="542" t="s">
        <v>256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249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250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251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252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253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254</v>
      </c>
      <c r="D646" s="539"/>
      <c r="E646" s="289">
        <f>'BD Team'!B67</f>
        <v>0</v>
      </c>
      <c r="F646" s="288" t="s">
        <v>255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48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247</v>
      </c>
      <c r="M648" s="539"/>
      <c r="N648" s="540" t="str">
        <f>$F$6</f>
        <v>Wood Effect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178</v>
      </c>
      <c r="M649" s="539"/>
      <c r="N649" s="540" t="str">
        <f>$K$6</f>
        <v>Black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248</v>
      </c>
      <c r="M650" s="539"/>
      <c r="N650" s="542" t="s">
        <v>256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249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250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251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252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253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254</v>
      </c>
      <c r="D657" s="539"/>
      <c r="E657" s="289">
        <f>'BD Team'!B68</f>
        <v>0</v>
      </c>
      <c r="F657" s="288" t="s">
        <v>255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48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247</v>
      </c>
      <c r="M659" s="539"/>
      <c r="N659" s="540" t="str">
        <f>$F$6</f>
        <v>Wood Effect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178</v>
      </c>
      <c r="M660" s="539"/>
      <c r="N660" s="540" t="str">
        <f>$K$6</f>
        <v>Black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248</v>
      </c>
      <c r="M661" s="539"/>
      <c r="N661" s="542" t="s">
        <v>256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249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250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251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252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253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254</v>
      </c>
      <c r="D668" s="539"/>
      <c r="E668" s="289">
        <f>'BD Team'!B69</f>
        <v>0</v>
      </c>
      <c r="F668" s="288" t="s">
        <v>255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48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247</v>
      </c>
      <c r="M670" s="539"/>
      <c r="N670" s="540" t="str">
        <f>$F$6</f>
        <v>Wood Effect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178</v>
      </c>
      <c r="M671" s="539"/>
      <c r="N671" s="540" t="str">
        <f>$K$6</f>
        <v>Black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248</v>
      </c>
      <c r="M672" s="539"/>
      <c r="N672" s="542" t="s">
        <v>256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249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250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251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252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253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254</v>
      </c>
      <c r="D679" s="539"/>
      <c r="E679" s="289">
        <f>'BD Team'!B70</f>
        <v>0</v>
      </c>
      <c r="F679" s="288" t="s">
        <v>255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48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247</v>
      </c>
      <c r="M681" s="539"/>
      <c r="N681" s="540" t="str">
        <f>$F$6</f>
        <v>Wood Effect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178</v>
      </c>
      <c r="M682" s="539"/>
      <c r="N682" s="540" t="str">
        <f>$K$6</f>
        <v>Black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248</v>
      </c>
      <c r="M683" s="539"/>
      <c r="N683" s="542" t="s">
        <v>256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249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250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251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252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253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254</v>
      </c>
      <c r="D690" s="539"/>
      <c r="E690" s="289">
        <f>'BD Team'!B71</f>
        <v>0</v>
      </c>
      <c r="F690" s="288" t="s">
        <v>255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48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247</v>
      </c>
      <c r="M692" s="539"/>
      <c r="N692" s="540" t="str">
        <f>$F$6</f>
        <v>Wood Effect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178</v>
      </c>
      <c r="M693" s="539"/>
      <c r="N693" s="540" t="str">
        <f>$K$6</f>
        <v>Black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248</v>
      </c>
      <c r="M694" s="539"/>
      <c r="N694" s="542" t="s">
        <v>256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249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250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251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252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253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254</v>
      </c>
      <c r="D701" s="539"/>
      <c r="E701" s="289">
        <f>'BD Team'!B72</f>
        <v>0</v>
      </c>
      <c r="F701" s="288" t="s">
        <v>255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48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247</v>
      </c>
      <c r="M703" s="539"/>
      <c r="N703" s="540" t="str">
        <f>$F$6</f>
        <v>Wood Effect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178</v>
      </c>
      <c r="M704" s="539"/>
      <c r="N704" s="540" t="str">
        <f>$K$6</f>
        <v>Black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248</v>
      </c>
      <c r="M705" s="539"/>
      <c r="N705" s="542" t="s">
        <v>256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249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250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251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252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253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254</v>
      </c>
      <c r="D712" s="539"/>
      <c r="E712" s="289">
        <f>'BD Team'!B73</f>
        <v>0</v>
      </c>
      <c r="F712" s="288" t="s">
        <v>255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48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247</v>
      </c>
      <c r="M714" s="539"/>
      <c r="N714" s="540" t="str">
        <f>$F$6</f>
        <v>Wood Effect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178</v>
      </c>
      <c r="M715" s="539"/>
      <c r="N715" s="540" t="str">
        <f>$K$6</f>
        <v>Black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248</v>
      </c>
      <c r="M716" s="539"/>
      <c r="N716" s="542" t="s">
        <v>256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249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250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251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252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253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254</v>
      </c>
      <c r="D723" s="539"/>
      <c r="E723" s="289">
        <f>'BD Team'!B74</f>
        <v>0</v>
      </c>
      <c r="F723" s="288" t="s">
        <v>255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48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247</v>
      </c>
      <c r="M725" s="539"/>
      <c r="N725" s="540" t="str">
        <f>$F$6</f>
        <v>Wood Effect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178</v>
      </c>
      <c r="M726" s="539"/>
      <c r="N726" s="540" t="str">
        <f>$K$6</f>
        <v>Black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248</v>
      </c>
      <c r="M727" s="539"/>
      <c r="N727" s="542" t="s">
        <v>256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249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250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251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252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253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254</v>
      </c>
      <c r="D734" s="539"/>
      <c r="E734" s="289">
        <f>'BD Team'!B75</f>
        <v>0</v>
      </c>
      <c r="F734" s="288" t="s">
        <v>255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48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247</v>
      </c>
      <c r="M736" s="539"/>
      <c r="N736" s="540" t="str">
        <f>$F$6</f>
        <v>Wood Effect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178</v>
      </c>
      <c r="M737" s="539"/>
      <c r="N737" s="540" t="str">
        <f>$K$6</f>
        <v>Black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248</v>
      </c>
      <c r="M738" s="539"/>
      <c r="N738" s="542" t="s">
        <v>256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249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250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251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252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253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254</v>
      </c>
      <c r="D745" s="539"/>
      <c r="E745" s="289">
        <f>'BD Team'!B76</f>
        <v>0</v>
      </c>
      <c r="F745" s="288" t="s">
        <v>255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48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247</v>
      </c>
      <c r="M747" s="539"/>
      <c r="N747" s="540" t="str">
        <f>$F$6</f>
        <v>Wood Effect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178</v>
      </c>
      <c r="M748" s="539"/>
      <c r="N748" s="540" t="str">
        <f>$K$6</f>
        <v>Black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248</v>
      </c>
      <c r="M749" s="539"/>
      <c r="N749" s="542" t="s">
        <v>256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249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250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251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252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253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254</v>
      </c>
      <c r="D756" s="539"/>
      <c r="E756" s="289">
        <f>'BD Team'!B77</f>
        <v>0</v>
      </c>
      <c r="F756" s="288" t="s">
        <v>255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48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247</v>
      </c>
      <c r="M758" s="539"/>
      <c r="N758" s="540" t="str">
        <f>$F$6</f>
        <v>Wood Effect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178</v>
      </c>
      <c r="M759" s="539"/>
      <c r="N759" s="540" t="str">
        <f>$K$6</f>
        <v>Black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248</v>
      </c>
      <c r="M760" s="539"/>
      <c r="N760" s="542" t="s">
        <v>256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249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250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251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252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253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254</v>
      </c>
      <c r="D767" s="539"/>
      <c r="E767" s="289">
        <f>'BD Team'!B78</f>
        <v>0</v>
      </c>
      <c r="F767" s="288" t="s">
        <v>255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48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247</v>
      </c>
      <c r="M769" s="539"/>
      <c r="N769" s="540" t="str">
        <f>$F$6</f>
        <v>Wood Effect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178</v>
      </c>
      <c r="M770" s="539"/>
      <c r="N770" s="540" t="str">
        <f>$K$6</f>
        <v>Black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248</v>
      </c>
      <c r="M771" s="539"/>
      <c r="N771" s="542" t="s">
        <v>256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249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250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251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252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253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254</v>
      </c>
      <c r="D778" s="539"/>
      <c r="E778" s="289">
        <f>'BD Team'!B79</f>
        <v>0</v>
      </c>
      <c r="F778" s="288" t="s">
        <v>255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48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247</v>
      </c>
      <c r="M780" s="539"/>
      <c r="N780" s="540" t="str">
        <f>$F$6</f>
        <v>Wood Effect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178</v>
      </c>
      <c r="M781" s="539"/>
      <c r="N781" s="540" t="str">
        <f>$K$6</f>
        <v>Black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248</v>
      </c>
      <c r="M782" s="539"/>
      <c r="N782" s="542" t="s">
        <v>256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249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250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251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252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253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254</v>
      </c>
      <c r="D789" s="539"/>
      <c r="E789" s="289">
        <f>'BD Team'!B80</f>
        <v>0</v>
      </c>
      <c r="F789" s="288" t="s">
        <v>255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48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247</v>
      </c>
      <c r="M791" s="539"/>
      <c r="N791" s="540" t="str">
        <f>$F$6</f>
        <v>Wood Effect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178</v>
      </c>
      <c r="M792" s="539"/>
      <c r="N792" s="540" t="str">
        <f>$K$6</f>
        <v>Black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248</v>
      </c>
      <c r="M793" s="539"/>
      <c r="N793" s="542" t="s">
        <v>256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249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250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251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252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253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254</v>
      </c>
      <c r="D800" s="539"/>
      <c r="E800" s="289">
        <f>'BD Team'!B81</f>
        <v>0</v>
      </c>
      <c r="F800" s="288" t="s">
        <v>255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48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247</v>
      </c>
      <c r="M802" s="539"/>
      <c r="N802" s="540" t="str">
        <f>$F$6</f>
        <v>Wood Effect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178</v>
      </c>
      <c r="M803" s="539"/>
      <c r="N803" s="540" t="str">
        <f>$K$6</f>
        <v>Black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248</v>
      </c>
      <c r="M804" s="539"/>
      <c r="N804" s="542" t="s">
        <v>256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249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250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251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252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253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254</v>
      </c>
      <c r="D811" s="539"/>
      <c r="E811" s="289">
        <f>'BD Team'!B82</f>
        <v>0</v>
      </c>
      <c r="F811" s="288" t="s">
        <v>255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48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247</v>
      </c>
      <c r="M813" s="539"/>
      <c r="N813" s="540" t="str">
        <f>$F$6</f>
        <v>Wood Effect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178</v>
      </c>
      <c r="M814" s="539"/>
      <c r="N814" s="540" t="str">
        <f>$K$6</f>
        <v>Black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248</v>
      </c>
      <c r="M815" s="539"/>
      <c r="N815" s="542" t="s">
        <v>256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249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250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251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252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253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254</v>
      </c>
      <c r="D822" s="539"/>
      <c r="E822" s="289">
        <f>'BD Team'!B83</f>
        <v>0</v>
      </c>
      <c r="F822" s="288" t="s">
        <v>255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48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247</v>
      </c>
      <c r="M824" s="539"/>
      <c r="N824" s="540" t="str">
        <f>$F$6</f>
        <v>Wood Effect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178</v>
      </c>
      <c r="M825" s="539"/>
      <c r="N825" s="540" t="str">
        <f>$K$6</f>
        <v>Black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248</v>
      </c>
      <c r="M826" s="539"/>
      <c r="N826" s="542" t="s">
        <v>256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249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250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251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252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253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254</v>
      </c>
      <c r="D833" s="539"/>
      <c r="E833" s="289">
        <f>'BD Team'!B84</f>
        <v>0</v>
      </c>
      <c r="F833" s="288" t="s">
        <v>255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48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247</v>
      </c>
      <c r="M835" s="539"/>
      <c r="N835" s="540" t="str">
        <f>$F$6</f>
        <v>Wood Effect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178</v>
      </c>
      <c r="M836" s="539"/>
      <c r="N836" s="540" t="str">
        <f>$K$6</f>
        <v>Black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248</v>
      </c>
      <c r="M837" s="539"/>
      <c r="N837" s="542" t="s">
        <v>256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249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250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251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252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253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254</v>
      </c>
      <c r="D844" s="539"/>
      <c r="E844" s="289">
        <f>'BD Team'!B85</f>
        <v>0</v>
      </c>
      <c r="F844" s="288" t="s">
        <v>255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48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247</v>
      </c>
      <c r="M846" s="539"/>
      <c r="N846" s="540" t="str">
        <f>$F$6</f>
        <v>Wood Effect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178</v>
      </c>
      <c r="M847" s="539"/>
      <c r="N847" s="540" t="str">
        <f>$K$6</f>
        <v>Black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248</v>
      </c>
      <c r="M848" s="539"/>
      <c r="N848" s="542" t="s">
        <v>256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249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250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251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252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253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254</v>
      </c>
      <c r="D855" s="539"/>
      <c r="E855" s="289">
        <f>'BD Team'!B86</f>
        <v>0</v>
      </c>
      <c r="F855" s="288" t="s">
        <v>255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48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247</v>
      </c>
      <c r="M857" s="539"/>
      <c r="N857" s="540" t="str">
        <f>$F$6</f>
        <v>Wood Effect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178</v>
      </c>
      <c r="M858" s="539"/>
      <c r="N858" s="540" t="str">
        <f>$K$6</f>
        <v>Black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248</v>
      </c>
      <c r="M859" s="539"/>
      <c r="N859" s="542" t="s">
        <v>256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249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250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251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252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253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254</v>
      </c>
      <c r="D866" s="539"/>
      <c r="E866" s="289">
        <f>'BD Team'!B87</f>
        <v>0</v>
      </c>
      <c r="F866" s="288" t="s">
        <v>255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48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247</v>
      </c>
      <c r="M868" s="539"/>
      <c r="N868" s="540" t="str">
        <f>$F$6</f>
        <v>Wood Effect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178</v>
      </c>
      <c r="M869" s="539"/>
      <c r="N869" s="540" t="str">
        <f>$K$6</f>
        <v>Black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248</v>
      </c>
      <c r="M870" s="539"/>
      <c r="N870" s="542" t="s">
        <v>256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249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250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251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252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253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48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247</v>
      </c>
      <c r="M879" s="539"/>
      <c r="N879" s="540" t="str">
        <f>$F$6</f>
        <v>Wood Effect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178</v>
      </c>
      <c r="M880" s="539"/>
      <c r="N880" s="540" t="str">
        <f>$K$6</f>
        <v>Black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248</v>
      </c>
      <c r="M881" s="539"/>
      <c r="N881" s="542" t="s">
        <v>256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249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250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251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252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253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48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247</v>
      </c>
      <c r="M890" s="539"/>
      <c r="N890" s="540" t="str">
        <f>$F$6</f>
        <v>Wood Effect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178</v>
      </c>
      <c r="M891" s="539"/>
      <c r="N891" s="540" t="str">
        <f>$K$6</f>
        <v>Black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248</v>
      </c>
      <c r="M892" s="539"/>
      <c r="N892" s="542" t="s">
        <v>256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249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250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251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252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253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48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247</v>
      </c>
      <c r="M901" s="539"/>
      <c r="N901" s="540" t="str">
        <f>$F$6</f>
        <v>Wood Effect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178</v>
      </c>
      <c r="M902" s="539"/>
      <c r="N902" s="540" t="str">
        <f>$K$6</f>
        <v>Black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248</v>
      </c>
      <c r="M903" s="539"/>
      <c r="N903" s="542" t="s">
        <v>256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249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250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251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252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253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48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247</v>
      </c>
      <c r="M912" s="539"/>
      <c r="N912" s="540" t="str">
        <f>$F$6</f>
        <v>Wood Effect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178</v>
      </c>
      <c r="M913" s="539"/>
      <c r="N913" s="540" t="str">
        <f>$K$6</f>
        <v>Black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248</v>
      </c>
      <c r="M914" s="539"/>
      <c r="N914" s="542" t="s">
        <v>256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249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250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251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252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253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48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247</v>
      </c>
      <c r="M923" s="539"/>
      <c r="N923" s="540" t="str">
        <f>$F$6</f>
        <v>Wood Effect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178</v>
      </c>
      <c r="M924" s="539"/>
      <c r="N924" s="540" t="str">
        <f>$K$6</f>
        <v>Black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248</v>
      </c>
      <c r="M925" s="539"/>
      <c r="N925" s="542" t="s">
        <v>256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249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250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251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252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253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48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247</v>
      </c>
      <c r="M934" s="539"/>
      <c r="N934" s="540" t="str">
        <f>$F$6</f>
        <v>Wood Effect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178</v>
      </c>
      <c r="M935" s="539"/>
      <c r="N935" s="540" t="str">
        <f>$K$6</f>
        <v>Black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248</v>
      </c>
      <c r="M936" s="539"/>
      <c r="N936" s="542" t="s">
        <v>256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249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250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251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252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253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48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247</v>
      </c>
      <c r="M945" s="539"/>
      <c r="N945" s="540" t="str">
        <f>$F$6</f>
        <v>Wood Effect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178</v>
      </c>
      <c r="M946" s="539"/>
      <c r="N946" s="540" t="str">
        <f>$K$6</f>
        <v>Black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248</v>
      </c>
      <c r="M947" s="539"/>
      <c r="N947" s="542" t="s">
        <v>256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249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250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251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252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253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48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247</v>
      </c>
      <c r="M956" s="539"/>
      <c r="N956" s="540" t="str">
        <f>$F$6</f>
        <v>Wood Effect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178</v>
      </c>
      <c r="M957" s="539"/>
      <c r="N957" s="540" t="str">
        <f>$K$6</f>
        <v>Black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248</v>
      </c>
      <c r="M958" s="539"/>
      <c r="N958" s="542" t="s">
        <v>256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249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250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251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252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253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48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247</v>
      </c>
      <c r="M967" s="539"/>
      <c r="N967" s="540" t="str">
        <f>$F$6</f>
        <v>Wood Effect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178</v>
      </c>
      <c r="M968" s="539"/>
      <c r="N968" s="540" t="str">
        <f>$K$6</f>
        <v>Black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248</v>
      </c>
      <c r="M969" s="539"/>
      <c r="N969" s="542" t="s">
        <v>256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249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250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251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252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253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48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247</v>
      </c>
      <c r="M978" s="539"/>
      <c r="N978" s="540" t="str">
        <f>$F$6</f>
        <v>Wood Effect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178</v>
      </c>
      <c r="M979" s="539"/>
      <c r="N979" s="540" t="str">
        <f>$K$6</f>
        <v>Black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248</v>
      </c>
      <c r="M980" s="539"/>
      <c r="N980" s="542" t="s">
        <v>256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249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250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251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252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253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48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247</v>
      </c>
      <c r="M989" s="539"/>
      <c r="N989" s="540" t="str">
        <f>$F$6</f>
        <v>Wood Effect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178</v>
      </c>
      <c r="M990" s="539"/>
      <c r="N990" s="540" t="str">
        <f>$K$6</f>
        <v>Black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248</v>
      </c>
      <c r="M991" s="539"/>
      <c r="N991" s="542" t="s">
        <v>256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249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250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251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252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253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48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247</v>
      </c>
      <c r="M1000" s="539"/>
      <c r="N1000" s="540" t="str">
        <f>$F$6</f>
        <v>Wood Effect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178</v>
      </c>
      <c r="M1001" s="539"/>
      <c r="N1001" s="540" t="str">
        <f>$K$6</f>
        <v>Black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248</v>
      </c>
      <c r="M1002" s="539"/>
      <c r="N1002" s="542" t="s">
        <v>256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249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250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251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252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253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48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247</v>
      </c>
      <c r="M1011" s="539"/>
      <c r="N1011" s="540" t="str">
        <f>$F$6</f>
        <v>Wood Effect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178</v>
      </c>
      <c r="M1012" s="539"/>
      <c r="N1012" s="540" t="str">
        <f>$K$6</f>
        <v>Black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248</v>
      </c>
      <c r="M1013" s="539"/>
      <c r="N1013" s="542" t="s">
        <v>256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249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250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251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252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253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48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247</v>
      </c>
      <c r="M1022" s="539"/>
      <c r="N1022" s="540" t="str">
        <f>$F$6</f>
        <v>Wood Effect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178</v>
      </c>
      <c r="M1023" s="539"/>
      <c r="N1023" s="540" t="str">
        <f>$K$6</f>
        <v>Black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248</v>
      </c>
      <c r="M1024" s="539"/>
      <c r="N1024" s="542" t="s">
        <v>256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249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250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251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252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253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48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247</v>
      </c>
      <c r="M1033" s="539"/>
      <c r="N1033" s="540" t="str">
        <f>$F$6</f>
        <v>Wood Effect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178</v>
      </c>
      <c r="M1034" s="539"/>
      <c r="N1034" s="540" t="str">
        <f>$K$6</f>
        <v>Black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248</v>
      </c>
      <c r="M1035" s="539"/>
      <c r="N1035" s="542" t="s">
        <v>256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249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250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251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252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253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48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247</v>
      </c>
      <c r="M1044" s="539"/>
      <c r="N1044" s="540" t="str">
        <f>$F$6</f>
        <v>Wood Effect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178</v>
      </c>
      <c r="M1045" s="539"/>
      <c r="N1045" s="540" t="str">
        <f>$K$6</f>
        <v>Black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248</v>
      </c>
      <c r="M1046" s="539"/>
      <c r="N1046" s="542" t="s">
        <v>256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249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250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251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252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253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48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247</v>
      </c>
      <c r="M1055" s="539"/>
      <c r="N1055" s="540" t="str">
        <f>$F$6</f>
        <v>Wood Effect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178</v>
      </c>
      <c r="M1056" s="539"/>
      <c r="N1056" s="540" t="str">
        <f>$K$6</f>
        <v>Black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248</v>
      </c>
      <c r="M1057" s="539"/>
      <c r="N1057" s="542" t="s">
        <v>256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249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250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251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252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253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48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247</v>
      </c>
      <c r="M1066" s="539"/>
      <c r="N1066" s="540" t="str">
        <f>$F$6</f>
        <v>Wood Effect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178</v>
      </c>
      <c r="M1067" s="539"/>
      <c r="N1067" s="540" t="str">
        <f>$K$6</f>
        <v>Black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248</v>
      </c>
      <c r="M1068" s="539"/>
      <c r="N1068" s="542" t="s">
        <v>256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249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250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251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252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253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48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247</v>
      </c>
      <c r="M1077" s="539"/>
      <c r="N1077" s="540" t="str">
        <f>$F$6</f>
        <v>Wood Effect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178</v>
      </c>
      <c r="M1078" s="539"/>
      <c r="N1078" s="540" t="str">
        <f>$K$6</f>
        <v>Black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248</v>
      </c>
      <c r="M1079" s="539"/>
      <c r="N1079" s="542" t="s">
        <v>256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249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250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251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252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253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48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247</v>
      </c>
      <c r="M1088" s="539"/>
      <c r="N1088" s="540" t="str">
        <f>$F$6</f>
        <v>Wood Effect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178</v>
      </c>
      <c r="M1089" s="539"/>
      <c r="N1089" s="540" t="str">
        <f>$K$6</f>
        <v>Black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248</v>
      </c>
      <c r="M1090" s="539"/>
      <c r="N1090" s="542" t="s">
        <v>256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249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250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251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252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253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48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247</v>
      </c>
      <c r="M1099" s="539"/>
      <c r="N1099" s="540" t="str">
        <f>$F$6</f>
        <v>Wood Effect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178</v>
      </c>
      <c r="M1100" s="539"/>
      <c r="N1100" s="540" t="str">
        <f>$K$6</f>
        <v>Black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248</v>
      </c>
      <c r="M1101" s="539"/>
      <c r="N1101" s="542" t="s">
        <v>256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249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250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251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252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253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262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3091</v>
      </c>
    </row>
    <row r="5" spans="3:5">
      <c r="C5" s="236" t="s">
        <v>396</v>
      </c>
      <c r="D5" s="236" t="s">
        <v>394</v>
      </c>
      <c r="E5" s="309">
        <f>ROUND(Pricing!U104,0.1)/40</f>
        <v>92.724999999999994</v>
      </c>
    </row>
    <row r="6" spans="3:5">
      <c r="C6" s="236" t="s">
        <v>83</v>
      </c>
      <c r="D6" s="236" t="s">
        <v>393</v>
      </c>
      <c r="E6" s="309">
        <f>ROUND(Pricing!V104,0.1)</f>
        <v>193</v>
      </c>
    </row>
    <row r="7" spans="3:5">
      <c r="C7" s="236" t="s">
        <v>400</v>
      </c>
      <c r="D7" s="236" t="s">
        <v>392</v>
      </c>
      <c r="E7" s="309">
        <f>ROUND(Pricing!W104,0.1)</f>
        <v>3091</v>
      </c>
    </row>
    <row r="8" spans="3:5">
      <c r="C8" s="236" t="s">
        <v>397</v>
      </c>
      <c r="D8" s="236" t="s">
        <v>392</v>
      </c>
      <c r="E8" s="309">
        <f>ROUND(Pricing!X104,0.1)</f>
        <v>6182</v>
      </c>
    </row>
    <row r="9" spans="3:5">
      <c r="C9" t="s">
        <v>223</v>
      </c>
      <c r="D9" s="236" t="s">
        <v>395</v>
      </c>
      <c r="E9" s="309">
        <f>ROUND(Pricing!Y104,0.1)</f>
        <v>1855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57"/>
  <sheetViews>
    <sheetView topLeftCell="I42" workbookViewId="0">
      <selection activeCell="I58" sqref="A58:XFD97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407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408</v>
      </c>
      <c r="G1" s="315" t="s">
        <v>409</v>
      </c>
      <c r="H1" s="315" t="s">
        <v>410</v>
      </c>
      <c r="I1" s="315" t="s">
        <v>114</v>
      </c>
      <c r="J1" s="315" t="s">
        <v>411</v>
      </c>
      <c r="K1" s="315" t="s">
        <v>9</v>
      </c>
      <c r="L1" s="316" t="s">
        <v>216</v>
      </c>
      <c r="M1" s="315" t="s">
        <v>219</v>
      </c>
      <c r="N1" s="315" t="s">
        <v>412</v>
      </c>
      <c r="O1" s="315" t="s">
        <v>413</v>
      </c>
      <c r="P1" s="315" t="s">
        <v>190</v>
      </c>
      <c r="Q1" s="315" t="s">
        <v>414</v>
      </c>
      <c r="R1" s="315" t="s">
        <v>415</v>
      </c>
      <c r="S1" s="315" t="s">
        <v>416</v>
      </c>
      <c r="T1" s="315" t="s">
        <v>277</v>
      </c>
      <c r="U1" s="315" t="s">
        <v>417</v>
      </c>
    </row>
    <row r="2" spans="1:21">
      <c r="A2" s="318" t="str">
        <f>'BD Team'!B9</f>
        <v>SW1</v>
      </c>
      <c r="B2" s="318" t="str">
        <f>'BD Team'!C9</f>
        <v>M14600</v>
      </c>
      <c r="C2" s="318" t="str">
        <f>'BD Team'!D9</f>
        <v>3 TRACK 2 SHUTTER SLIDING DOOR</v>
      </c>
      <c r="D2" s="318" t="str">
        <f>'BD Team'!E9</f>
        <v>24MM</v>
      </c>
      <c r="E2" s="318" t="str">
        <f>'BD Team'!G9</f>
        <v>DINING</v>
      </c>
      <c r="F2" s="318" t="str">
        <f>'BD Team'!F9</f>
        <v>SS</v>
      </c>
      <c r="I2" s="318">
        <f>'BD Team'!H9</f>
        <v>3658</v>
      </c>
      <c r="J2" s="318">
        <f>'BD Team'!I9</f>
        <v>2438</v>
      </c>
      <c r="K2" s="318">
        <f>'BD Team'!J9</f>
        <v>1</v>
      </c>
      <c r="L2" s="319">
        <f>'BD Team'!K9</f>
        <v>647.66</v>
      </c>
      <c r="M2" s="318">
        <f>Pricing!O4</f>
        <v>2805</v>
      </c>
      <c r="N2" s="318">
        <f>Pricing!Q4</f>
        <v>538.19999999999993</v>
      </c>
      <c r="O2" s="318">
        <f>Pricing!R4</f>
        <v>0</v>
      </c>
      <c r="P2" s="318">
        <f>Pricing!S4</f>
        <v>735.93749999999989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SW2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24MM</v>
      </c>
      <c r="E3" s="318" t="str">
        <f>'BD Team'!G10</f>
        <v>UTILITY</v>
      </c>
      <c r="F3" s="318" t="str">
        <f>'BD Team'!F10</f>
        <v>SS</v>
      </c>
      <c r="I3" s="318">
        <f>'BD Team'!H10</f>
        <v>1524</v>
      </c>
      <c r="J3" s="318">
        <f>'BD Team'!I10</f>
        <v>1372</v>
      </c>
      <c r="K3" s="318">
        <f>'BD Team'!J10</f>
        <v>1</v>
      </c>
      <c r="L3" s="319">
        <f>'BD Team'!K10</f>
        <v>343.15</v>
      </c>
      <c r="M3" s="318">
        <f>Pricing!O5</f>
        <v>2805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SW3</v>
      </c>
      <c r="B4" s="318" t="str">
        <f>'BD Team'!C11</f>
        <v>M14600</v>
      </c>
      <c r="C4" s="318" t="str">
        <f>'BD Team'!D11</f>
        <v>3 TRACK 2 SHUTTER SLIDING WINDOW WITH BOTH ENDS FIXED</v>
      </c>
      <c r="D4" s="318" t="str">
        <f>'BD Team'!E11</f>
        <v>24MM</v>
      </c>
      <c r="E4" s="318" t="str">
        <f>'BD Team'!G11</f>
        <v>GRANDMOTHER ROOM</v>
      </c>
      <c r="F4" s="318" t="str">
        <f>'BD Team'!F11</f>
        <v>SS</v>
      </c>
      <c r="I4" s="318">
        <f>'BD Team'!H11</f>
        <v>4521</v>
      </c>
      <c r="J4" s="318">
        <f>'BD Team'!I11</f>
        <v>1676</v>
      </c>
      <c r="K4" s="318">
        <f>'BD Team'!J11</f>
        <v>1</v>
      </c>
      <c r="L4" s="319">
        <f>'BD Team'!K11</f>
        <v>673.36</v>
      </c>
      <c r="M4" s="318">
        <f>Pricing!O6</f>
        <v>2805</v>
      </c>
      <c r="N4" s="318">
        <f>Pricing!Q6</f>
        <v>538.19999999999993</v>
      </c>
      <c r="O4" s="318">
        <f>Pricing!R6</f>
        <v>0</v>
      </c>
      <c r="P4" s="318">
        <f>Pricing!S6</f>
        <v>500.43749999999989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SW4</v>
      </c>
      <c r="B5" s="318" t="str">
        <f>'BD Team'!C12</f>
        <v>M14600</v>
      </c>
      <c r="C5" s="318" t="str">
        <f>'BD Team'!D12</f>
        <v>3 TRACK 2 SHUTTER SLIDING WINDOW</v>
      </c>
      <c r="D5" s="318" t="str">
        <f>'BD Team'!E12</f>
        <v>24MM</v>
      </c>
      <c r="E5" s="318" t="str">
        <f>'BD Team'!G12</f>
        <v>NA</v>
      </c>
      <c r="F5" s="318" t="str">
        <f>'BD Team'!F12</f>
        <v>SS</v>
      </c>
      <c r="I5" s="318">
        <f>'BD Team'!H12</f>
        <v>1524</v>
      </c>
      <c r="J5" s="318">
        <f>'BD Team'!I12</f>
        <v>1372</v>
      </c>
      <c r="K5" s="318">
        <f>'BD Team'!J12</f>
        <v>1</v>
      </c>
      <c r="L5" s="319">
        <f>'BD Team'!K12</f>
        <v>343.15</v>
      </c>
      <c r="M5" s="318">
        <f>Pricing!O7</f>
        <v>2805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SD1</v>
      </c>
      <c r="B6" s="318" t="str">
        <f>'BD Team'!C13</f>
        <v>M14600</v>
      </c>
      <c r="C6" s="318" t="str">
        <f>'BD Team'!D13</f>
        <v>3 TRACK 2 SHUTTER SLIDING DOOR WITH BOTH ENDS FIXED</v>
      </c>
      <c r="D6" s="318" t="str">
        <f>'BD Team'!E13</f>
        <v>24MM</v>
      </c>
      <c r="E6" s="318" t="str">
        <f>'BD Team'!G13</f>
        <v>FORMAL LIVING ROOM</v>
      </c>
      <c r="F6" s="318" t="str">
        <f>'BD Team'!F13</f>
        <v>SS</v>
      </c>
      <c r="I6" s="318">
        <f>'BD Team'!H13</f>
        <v>5486</v>
      </c>
      <c r="J6" s="318">
        <f>'BD Team'!I13</f>
        <v>2438</v>
      </c>
      <c r="K6" s="318">
        <f>'BD Team'!J13</f>
        <v>1</v>
      </c>
      <c r="L6" s="319">
        <f>'BD Team'!K13</f>
        <v>872.93</v>
      </c>
      <c r="M6" s="318">
        <f>Pricing!O8</f>
        <v>2805</v>
      </c>
      <c r="N6" s="318">
        <f>Pricing!Q8</f>
        <v>538.19999999999993</v>
      </c>
      <c r="O6" s="318">
        <f>Pricing!R8</f>
        <v>0</v>
      </c>
      <c r="P6" s="318">
        <f>Pricing!S8</f>
        <v>735.93749999999989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SD2</v>
      </c>
      <c r="B7" s="318" t="str">
        <f>'BD Team'!C14</f>
        <v>M14600</v>
      </c>
      <c r="C7" s="318" t="str">
        <f>'BD Team'!D14</f>
        <v>3 TRACK 2 SHUTTER SLIDING DOOR</v>
      </c>
      <c r="D7" s="318" t="str">
        <f>'BD Team'!E14</f>
        <v>24MM</v>
      </c>
      <c r="E7" s="318" t="str">
        <f>'BD Team'!G14</f>
        <v>VARIES</v>
      </c>
      <c r="F7" s="318" t="str">
        <f>'BD Team'!F14</f>
        <v>SS</v>
      </c>
      <c r="I7" s="318">
        <f>'BD Team'!H14</f>
        <v>3658</v>
      </c>
      <c r="J7" s="318">
        <f>'BD Team'!I14</f>
        <v>2438</v>
      </c>
      <c r="K7" s="318">
        <f>'BD Team'!J14</f>
        <v>1</v>
      </c>
      <c r="L7" s="319">
        <f>'BD Team'!K14</f>
        <v>647.66</v>
      </c>
      <c r="M7" s="318">
        <f>Pricing!O9</f>
        <v>2805</v>
      </c>
      <c r="N7" s="318">
        <f>Pricing!Q9</f>
        <v>538.19999999999993</v>
      </c>
      <c r="O7" s="318">
        <f>Pricing!R9</f>
        <v>0</v>
      </c>
      <c r="P7" s="318">
        <f>Pricing!S9</f>
        <v>735.93749999999989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SD3 PART 1</v>
      </c>
      <c r="B8" s="318" t="str">
        <f>'BD Team'!C15</f>
        <v>M7</v>
      </c>
      <c r="C8" s="318" t="str">
        <f>'BD Team'!D15</f>
        <v>CURTAIN WALL WITH SHAPE</v>
      </c>
      <c r="D8" s="318" t="str">
        <f>'BD Team'!E15</f>
        <v>24MM</v>
      </c>
      <c r="E8" s="318" t="str">
        <f>'BD Team'!G15</f>
        <v>HOME THEATER</v>
      </c>
      <c r="F8" s="318" t="str">
        <f>'BD Team'!F15</f>
        <v>NO</v>
      </c>
      <c r="I8" s="318">
        <f>'BD Team'!H15</f>
        <v>7061</v>
      </c>
      <c r="J8" s="318">
        <f>'BD Team'!I15</f>
        <v>5690</v>
      </c>
      <c r="K8" s="318">
        <f>'BD Team'!J15</f>
        <v>1</v>
      </c>
      <c r="L8" s="319">
        <f>'BD Team'!K15</f>
        <v>1203.47</v>
      </c>
      <c r="M8" s="318">
        <f>Pricing!O10</f>
        <v>2805</v>
      </c>
      <c r="N8" s="318">
        <f>Pricing!Q10</f>
        <v>0</v>
      </c>
      <c r="O8" s="318">
        <f>Pricing!R10</f>
        <v>0</v>
      </c>
      <c r="P8" s="318">
        <f>Pricing!S10</f>
        <v>30751.217999999997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SD3 PART 2</v>
      </c>
      <c r="B9" s="318" t="str">
        <f>'BD Team'!C16</f>
        <v>M14600</v>
      </c>
      <c r="C9" s="318" t="str">
        <f>'BD Team'!D16</f>
        <v>3 TRACK 2 SHUTTER SLIDING DOOR</v>
      </c>
      <c r="D9" s="318" t="str">
        <f>'BD Team'!E16</f>
        <v>24MM</v>
      </c>
      <c r="E9" s="318" t="str">
        <f>'BD Team'!G16</f>
        <v>HOME THEATER</v>
      </c>
      <c r="F9" s="318" t="str">
        <f>'BD Team'!F16</f>
        <v>SS</v>
      </c>
      <c r="I9" s="318">
        <f>'BD Team'!H16</f>
        <v>3607</v>
      </c>
      <c r="J9" s="318">
        <f>'BD Team'!I16</f>
        <v>2412</v>
      </c>
      <c r="K9" s="318">
        <f>'BD Team'!J16</f>
        <v>1</v>
      </c>
      <c r="L9" s="319">
        <f>'BD Team'!K16</f>
        <v>645.36</v>
      </c>
      <c r="M9" s="318">
        <f>Pricing!O11</f>
        <v>2805</v>
      </c>
      <c r="N9" s="318">
        <f>Pricing!Q11</f>
        <v>538.19999999999993</v>
      </c>
      <c r="O9" s="318">
        <f>Pricing!R11</f>
        <v>0</v>
      </c>
      <c r="P9" s="318">
        <f>Pricing!S11</f>
        <v>735.93749999999989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SD4</v>
      </c>
      <c r="B10" s="318" t="str">
        <f>'BD Team'!C17</f>
        <v>M14600</v>
      </c>
      <c r="C10" s="318" t="str">
        <f>'BD Team'!D17</f>
        <v>3 TRACK 2 SHUTTER SLIDING DOOR</v>
      </c>
      <c r="D10" s="318" t="str">
        <f>'BD Team'!E17</f>
        <v>24MM</v>
      </c>
      <c r="E10" s="318" t="str">
        <f>'BD Team'!G17</f>
        <v>COVERED TERRACE</v>
      </c>
      <c r="F10" s="318" t="str">
        <f>'BD Team'!F17</f>
        <v>SS</v>
      </c>
      <c r="I10" s="318">
        <f>'BD Team'!H17</f>
        <v>4064</v>
      </c>
      <c r="J10" s="318">
        <f>'BD Team'!I17</f>
        <v>2438</v>
      </c>
      <c r="K10" s="318">
        <f>'BD Team'!J17</f>
        <v>1</v>
      </c>
      <c r="L10" s="319">
        <f>'BD Team'!K17</f>
        <v>677.33</v>
      </c>
      <c r="M10" s="318">
        <f>Pricing!O12</f>
        <v>2805</v>
      </c>
      <c r="N10" s="318">
        <f>Pricing!Q12</f>
        <v>538.19999999999993</v>
      </c>
      <c r="O10" s="318">
        <f>Pricing!R12</f>
        <v>0</v>
      </c>
      <c r="P10" s="318">
        <f>Pricing!S12</f>
        <v>735.93749999999989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SD5</v>
      </c>
      <c r="B11" s="318" t="str">
        <f>'BD Team'!C18</f>
        <v>M14600</v>
      </c>
      <c r="C11" s="318" t="str">
        <f>'BD Team'!D18</f>
        <v>3 TRACK 2 SHUTTER SLIDING DOOR</v>
      </c>
      <c r="D11" s="318" t="str">
        <f>'BD Team'!E18</f>
        <v>24MM</v>
      </c>
      <c r="E11" s="318" t="str">
        <f>'BD Team'!G18</f>
        <v>HOME THEATER</v>
      </c>
      <c r="F11" s="318" t="str">
        <f>'BD Team'!F18</f>
        <v>SS</v>
      </c>
      <c r="I11" s="318">
        <f>'BD Team'!H18</f>
        <v>2438</v>
      </c>
      <c r="J11" s="318">
        <f>'BD Team'!I18</f>
        <v>2438</v>
      </c>
      <c r="K11" s="318">
        <f>'BD Team'!J18</f>
        <v>1</v>
      </c>
      <c r="L11" s="319">
        <f>'BD Team'!K18</f>
        <v>558.49</v>
      </c>
      <c r="M11" s="318">
        <f>Pricing!O13</f>
        <v>2805</v>
      </c>
      <c r="N11" s="318">
        <f>Pricing!Q13</f>
        <v>538.19999999999993</v>
      </c>
      <c r="O11" s="318">
        <f>Pricing!R13</f>
        <v>0</v>
      </c>
      <c r="P11" s="318">
        <f>Pricing!S13</f>
        <v>735.93749999999989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</v>
      </c>
      <c r="B12" s="318" t="str">
        <f>'BD Team'!C19</f>
        <v>M15000</v>
      </c>
      <c r="C12" s="318" t="str">
        <f>'BD Team'!D19</f>
        <v>FIXED GLASS</v>
      </c>
      <c r="D12" s="318" t="str">
        <f>'BD Team'!E19</f>
        <v>24MM</v>
      </c>
      <c r="E12" s="318" t="str">
        <f>'BD Team'!G19</f>
        <v>STAIRCASE LANDING</v>
      </c>
      <c r="F12" s="318" t="str">
        <f>'BD Team'!F19</f>
        <v>NO</v>
      </c>
      <c r="I12" s="318">
        <f>'BD Team'!H19</f>
        <v>1524</v>
      </c>
      <c r="J12" s="318">
        <f>'BD Team'!I19</f>
        <v>2134</v>
      </c>
      <c r="K12" s="318">
        <f>'BD Team'!J19</f>
        <v>3</v>
      </c>
      <c r="L12" s="319">
        <f>'BD Team'!K19</f>
        <v>77.75</v>
      </c>
      <c r="M12" s="318">
        <f>Pricing!O14</f>
        <v>2805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W2</v>
      </c>
      <c r="B13" s="318" t="str">
        <f>'BD Team'!C20</f>
        <v>M15000</v>
      </c>
      <c r="C13" s="318" t="str">
        <f>'BD Team'!D20</f>
        <v>SIDE HUNG WINDOW</v>
      </c>
      <c r="D13" s="318" t="str">
        <f>'BD Team'!E20</f>
        <v>24MM</v>
      </c>
      <c r="E13" s="318" t="str">
        <f>'BD Team'!G20</f>
        <v>STAIRCASE PASSAGE</v>
      </c>
      <c r="F13" s="318" t="str">
        <f>'BD Team'!F20</f>
        <v>RETRACTABLE</v>
      </c>
      <c r="I13" s="318">
        <f>'BD Team'!H20</f>
        <v>711</v>
      </c>
      <c r="J13" s="318">
        <f>'BD Team'!I20</f>
        <v>1676</v>
      </c>
      <c r="K13" s="318">
        <f>'BD Team'!J20</f>
        <v>2</v>
      </c>
      <c r="L13" s="319">
        <f>'BD Team'!K20</f>
        <v>163.30000000000001</v>
      </c>
      <c r="M13" s="318">
        <f>Pricing!O15</f>
        <v>2805</v>
      </c>
      <c r="N13" s="318">
        <f>Pricing!Q15</f>
        <v>0</v>
      </c>
      <c r="O13" s="318">
        <f>Pricing!R15</f>
        <v>16145.999999999998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W3</v>
      </c>
      <c r="B14" s="318" t="str">
        <f>'BD Team'!C21</f>
        <v>M15000</v>
      </c>
      <c r="C14" s="318" t="str">
        <f>'BD Team'!D21</f>
        <v>FRENCH CASEMENT WINDOW</v>
      </c>
      <c r="D14" s="318" t="str">
        <f>'BD Team'!E21</f>
        <v>24MM</v>
      </c>
      <c r="E14" s="318" t="str">
        <f>'BD Team'!G21</f>
        <v>NORMATHAS OFFICE</v>
      </c>
      <c r="F14" s="318" t="str">
        <f>'BD Team'!F21</f>
        <v>RETRACTABLE</v>
      </c>
      <c r="I14" s="318">
        <f>'BD Team'!H21</f>
        <v>1321</v>
      </c>
      <c r="J14" s="318">
        <f>'BD Team'!I21</f>
        <v>1676</v>
      </c>
      <c r="K14" s="318">
        <f>'BD Team'!J21</f>
        <v>1</v>
      </c>
      <c r="L14" s="319">
        <f>'BD Team'!K21</f>
        <v>270.76</v>
      </c>
      <c r="M14" s="318">
        <f>Pricing!O16</f>
        <v>2805</v>
      </c>
      <c r="N14" s="318">
        <f>Pricing!Q16</f>
        <v>0</v>
      </c>
      <c r="O14" s="318">
        <f>Pricing!R16</f>
        <v>16145.999999999998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W4</v>
      </c>
      <c r="B15" s="318" t="str">
        <f>'BD Team'!C22</f>
        <v>M15000</v>
      </c>
      <c r="C15" s="318" t="str">
        <f>'BD Team'!D22</f>
        <v>FRENCH CASEMENT WINDOW</v>
      </c>
      <c r="D15" s="318" t="str">
        <f>'BD Team'!E22</f>
        <v>24MM</v>
      </c>
      <c r="E15" s="318" t="str">
        <f>'BD Team'!G22</f>
        <v>CORRIDOR 2</v>
      </c>
      <c r="F15" s="318" t="str">
        <f>'BD Team'!F22</f>
        <v>RETRACTABLE</v>
      </c>
      <c r="I15" s="318">
        <f>'BD Team'!H22</f>
        <v>1930</v>
      </c>
      <c r="J15" s="318">
        <f>'BD Team'!I22</f>
        <v>1981</v>
      </c>
      <c r="K15" s="318">
        <f>'BD Team'!J22</f>
        <v>1</v>
      </c>
      <c r="L15" s="319">
        <f>'BD Team'!K22</f>
        <v>324.10000000000002</v>
      </c>
      <c r="M15" s="318">
        <f>Pricing!O17</f>
        <v>2805</v>
      </c>
      <c r="N15" s="318">
        <f>Pricing!Q17</f>
        <v>0</v>
      </c>
      <c r="O15" s="318">
        <f>Pricing!R17</f>
        <v>13993.199999999999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W5</v>
      </c>
      <c r="B16" s="318" t="str">
        <f>'BD Team'!C23</f>
        <v>M15000</v>
      </c>
      <c r="C16" s="318" t="str">
        <f>'BD Team'!D23</f>
        <v>FRENCH CASEMENT WINDOW WITH FIXED GLASS</v>
      </c>
      <c r="D16" s="318" t="str">
        <f>'BD Team'!E23</f>
        <v>24MM</v>
      </c>
      <c r="E16" s="318" t="str">
        <f>'BD Team'!G23</f>
        <v>KITCHEN</v>
      </c>
      <c r="F16" s="318" t="str">
        <f>'BD Team'!F23</f>
        <v>RETRACTABLE</v>
      </c>
      <c r="I16" s="318">
        <f>'BD Team'!H23</f>
        <v>3150</v>
      </c>
      <c r="J16" s="318">
        <f>'BD Team'!I23</f>
        <v>1372</v>
      </c>
      <c r="K16" s="318">
        <f>'BD Team'!J23</f>
        <v>1</v>
      </c>
      <c r="L16" s="319">
        <f>'BD Team'!K23</f>
        <v>343.91</v>
      </c>
      <c r="M16" s="318">
        <f>Pricing!O18</f>
        <v>2805</v>
      </c>
      <c r="N16" s="318">
        <f>Pricing!Q18</f>
        <v>0</v>
      </c>
      <c r="O16" s="318">
        <f>Pricing!R18</f>
        <v>10764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W6</v>
      </c>
      <c r="B17" s="318" t="str">
        <f>'BD Team'!C24</f>
        <v>M15000</v>
      </c>
      <c r="C17" s="318" t="str">
        <f>'BD Team'!D24</f>
        <v>FRENCH CASEMENT WINDOW WITH FIXED GLASS</v>
      </c>
      <c r="D17" s="318" t="str">
        <f>'BD Team'!E24</f>
        <v>24MM</v>
      </c>
      <c r="E17" s="318" t="str">
        <f>'BD Team'!G24</f>
        <v>GUEST ROOM</v>
      </c>
      <c r="F17" s="318" t="str">
        <f>'BD Team'!F24</f>
        <v>RETRACTABLE</v>
      </c>
      <c r="I17" s="318">
        <f>'BD Team'!H24</f>
        <v>3162</v>
      </c>
      <c r="J17" s="318">
        <f>'BD Team'!I24</f>
        <v>1676</v>
      </c>
      <c r="K17" s="318">
        <f>'BD Team'!J24</f>
        <v>1</v>
      </c>
      <c r="L17" s="319">
        <f>'BD Team'!K24</f>
        <v>377.33</v>
      </c>
      <c r="M17" s="318">
        <f>Pricing!O19</f>
        <v>2805</v>
      </c>
      <c r="N17" s="318">
        <f>Pricing!Q19</f>
        <v>0</v>
      </c>
      <c r="O17" s="318">
        <f>Pricing!R19</f>
        <v>10764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W7</v>
      </c>
      <c r="B18" s="318" t="str">
        <f>'BD Team'!C25</f>
        <v>M15000</v>
      </c>
      <c r="C18" s="318" t="str">
        <f>'BD Team'!D25</f>
        <v>2 SIDE HUNG WINDOWS WITH CENTER FIXED</v>
      </c>
      <c r="D18" s="318" t="str">
        <f>'BD Team'!E25</f>
        <v>24MM</v>
      </c>
      <c r="E18" s="318" t="str">
        <f>'BD Team'!G25</f>
        <v>VARIES</v>
      </c>
      <c r="F18" s="318" t="str">
        <f>'BD Team'!F25</f>
        <v>RETRACTABLE</v>
      </c>
      <c r="I18" s="318">
        <f>'BD Team'!H25</f>
        <v>3073</v>
      </c>
      <c r="J18" s="318">
        <f>'BD Team'!I25</f>
        <v>1676</v>
      </c>
      <c r="K18" s="318">
        <f>'BD Team'!J25</f>
        <v>2</v>
      </c>
      <c r="L18" s="319">
        <f>'BD Team'!K25</f>
        <v>449.49</v>
      </c>
      <c r="M18" s="318">
        <f>Pricing!O20</f>
        <v>2805</v>
      </c>
      <c r="N18" s="318">
        <f>Pricing!Q20</f>
        <v>0</v>
      </c>
      <c r="O18" s="318">
        <f>Pricing!R20</f>
        <v>10764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W8</v>
      </c>
      <c r="B19" s="318" t="str">
        <f>'BD Team'!C26</f>
        <v>M15000</v>
      </c>
      <c r="C19" s="318" t="str">
        <f>'BD Team'!D26</f>
        <v>FIXED GLASS 4 NO'S</v>
      </c>
      <c r="D19" s="318" t="str">
        <f>'BD Team'!E26</f>
        <v>24MM</v>
      </c>
      <c r="E19" s="318" t="str">
        <f>'BD Team'!G26</f>
        <v>PEEYUSH JAIN'S OFFICE</v>
      </c>
      <c r="F19" s="318" t="str">
        <f>'BD Team'!F26</f>
        <v>NO</v>
      </c>
      <c r="I19" s="318">
        <f>'BD Team'!H26</f>
        <v>2833</v>
      </c>
      <c r="J19" s="318">
        <f>'BD Team'!I26</f>
        <v>2438</v>
      </c>
      <c r="K19" s="318">
        <f>'BD Team'!J26</f>
        <v>1</v>
      </c>
      <c r="L19" s="319">
        <f>'BD Team'!K26</f>
        <v>252.13</v>
      </c>
      <c r="M19" s="318">
        <f>Pricing!O21</f>
        <v>2805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W9</v>
      </c>
      <c r="B20" s="318" t="str">
        <f>'BD Team'!C27</f>
        <v>M15000</v>
      </c>
      <c r="C20" s="318" t="str">
        <f>'BD Team'!D27</f>
        <v>FIXED GLASS 3 NO'S WITH DOOR</v>
      </c>
      <c r="D20" s="318" t="str">
        <f>'BD Team'!E27</f>
        <v>24MM</v>
      </c>
      <c r="E20" s="318" t="str">
        <f>'BD Team'!G27</f>
        <v>NORMATHAS OFFICE</v>
      </c>
      <c r="F20" s="318" t="str">
        <f>'BD Team'!F27</f>
        <v>RETRACTABLE</v>
      </c>
      <c r="I20" s="318">
        <f>'BD Team'!H27</f>
        <v>2438</v>
      </c>
      <c r="J20" s="318">
        <f>'BD Team'!I27</f>
        <v>2438</v>
      </c>
      <c r="K20" s="318">
        <f>'BD Team'!J27</f>
        <v>1</v>
      </c>
      <c r="L20" s="319">
        <f>'BD Team'!K27</f>
        <v>427.31</v>
      </c>
      <c r="M20" s="318">
        <f>Pricing!O22</f>
        <v>2805</v>
      </c>
      <c r="N20" s="318">
        <f>Pricing!Q22</f>
        <v>0</v>
      </c>
      <c r="O20" s="318">
        <f>Pricing!R22</f>
        <v>9687.5999999999985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W10</v>
      </c>
      <c r="B21" s="318" t="str">
        <f>'BD Team'!C28</f>
        <v>M15000</v>
      </c>
      <c r="C21" s="318" t="str">
        <f>'BD Team'!D28</f>
        <v>2 FRENCH CASEMENT WINDOW</v>
      </c>
      <c r="D21" s="318" t="str">
        <f>'BD Team'!E28</f>
        <v>24MM</v>
      </c>
      <c r="E21" s="318" t="str">
        <f>'BD Team'!G28</f>
        <v>FAMILY ROOM</v>
      </c>
      <c r="F21" s="318" t="str">
        <f>'BD Team'!F28</f>
        <v>RETRACTABLE</v>
      </c>
      <c r="I21" s="318">
        <f>'BD Team'!H28</f>
        <v>2235</v>
      </c>
      <c r="J21" s="318">
        <f>'BD Team'!I28</f>
        <v>1372</v>
      </c>
      <c r="K21" s="318">
        <f>'BD Team'!J28</f>
        <v>1</v>
      </c>
      <c r="L21" s="319">
        <f>'BD Team'!K28</f>
        <v>533.37</v>
      </c>
      <c r="M21" s="318">
        <f>Pricing!O23</f>
        <v>2805</v>
      </c>
      <c r="N21" s="318">
        <f>Pricing!Q23</f>
        <v>0</v>
      </c>
      <c r="O21" s="318">
        <f>Pricing!R23</f>
        <v>16145.999999999998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W11</v>
      </c>
      <c r="B22" s="318" t="str">
        <f>'BD Team'!C29</f>
        <v>M15000</v>
      </c>
      <c r="C22" s="318" t="str">
        <f>'BD Team'!D29</f>
        <v>FRNCH CASEMENT WINDOW WITH FIXED GALSS</v>
      </c>
      <c r="D22" s="318" t="str">
        <f>'BD Team'!E29</f>
        <v>24MM</v>
      </c>
      <c r="E22" s="318" t="str">
        <f>'BD Team'!G29</f>
        <v>SUITE BEDROOM</v>
      </c>
      <c r="F22" s="318" t="str">
        <f>'BD Team'!F29</f>
        <v>RETRACTABLE</v>
      </c>
      <c r="I22" s="318">
        <f>'BD Team'!H29</f>
        <v>2845</v>
      </c>
      <c r="J22" s="318">
        <f>'BD Team'!I29</f>
        <v>1372</v>
      </c>
      <c r="K22" s="318">
        <f>'BD Team'!J29</f>
        <v>2</v>
      </c>
      <c r="L22" s="319">
        <f>'BD Team'!K29</f>
        <v>289.06</v>
      </c>
      <c r="M22" s="318">
        <f>Pricing!O24</f>
        <v>2805</v>
      </c>
      <c r="N22" s="318">
        <f>Pricing!Q24</f>
        <v>0</v>
      </c>
      <c r="O22" s="318">
        <f>Pricing!R24</f>
        <v>8611.1999999999989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W12</v>
      </c>
      <c r="B23" s="318" t="str">
        <f>'BD Team'!C30</f>
        <v>M15000</v>
      </c>
      <c r="C23" s="318" t="str">
        <f>'BD Team'!D30</f>
        <v>SIDE HUNG WINDOW</v>
      </c>
      <c r="D23" s="318" t="str">
        <f>'BD Team'!E30</f>
        <v>24MM</v>
      </c>
      <c r="E23" s="318" t="str">
        <f>'BD Team'!G30</f>
        <v>VARIES</v>
      </c>
      <c r="F23" s="318" t="str">
        <f>'BD Team'!F30</f>
        <v>RETRACTABLE</v>
      </c>
      <c r="I23" s="318">
        <f>'BD Team'!H30</f>
        <v>711</v>
      </c>
      <c r="J23" s="318">
        <f>'BD Team'!I30</f>
        <v>1372</v>
      </c>
      <c r="K23" s="318">
        <f>'BD Team'!J30</f>
        <v>4</v>
      </c>
      <c r="L23" s="319">
        <f>'BD Team'!K30</f>
        <v>149.34</v>
      </c>
      <c r="M23" s="318">
        <f>Pricing!O25</f>
        <v>2805</v>
      </c>
      <c r="N23" s="318">
        <f>Pricing!Q25</f>
        <v>0</v>
      </c>
      <c r="O23" s="318">
        <f>Pricing!R25</f>
        <v>16145.999999999998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W13</v>
      </c>
      <c r="B24" s="318" t="str">
        <f>'BD Team'!C31</f>
        <v>M15000</v>
      </c>
      <c r="C24" s="318" t="str">
        <f>'BD Team'!D31</f>
        <v>2 SIDE HUNG WINDOWS WITH CENTER FIXED</v>
      </c>
      <c r="D24" s="318" t="str">
        <f>'BD Team'!E31</f>
        <v>24MM</v>
      </c>
      <c r="E24" s="318" t="str">
        <f>'BD Team'!G31</f>
        <v>VARIES</v>
      </c>
      <c r="F24" s="318" t="str">
        <f>'BD Team'!F31</f>
        <v>RETRACTABLE</v>
      </c>
      <c r="I24" s="318">
        <f>'BD Team'!H31</f>
        <v>3251</v>
      </c>
      <c r="J24" s="318">
        <f>'BD Team'!I31</f>
        <v>1676</v>
      </c>
      <c r="K24" s="318">
        <f>'BD Team'!J31</f>
        <v>2</v>
      </c>
      <c r="L24" s="319">
        <f>'BD Team'!K31</f>
        <v>452.99</v>
      </c>
      <c r="M24" s="318">
        <f>Pricing!O26</f>
        <v>2805</v>
      </c>
      <c r="N24" s="318">
        <f>Pricing!Q26</f>
        <v>0</v>
      </c>
      <c r="O24" s="318">
        <f>Pricing!R26</f>
        <v>10764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W14</v>
      </c>
      <c r="B25" s="318" t="str">
        <f>'BD Team'!C32</f>
        <v>M15000</v>
      </c>
      <c r="C25" s="318" t="str">
        <f>'BD Team'!D32</f>
        <v>FRENCH CASEMENT WINDWO</v>
      </c>
      <c r="D25" s="318" t="str">
        <f>'BD Team'!E32</f>
        <v>24MM</v>
      </c>
      <c r="E25" s="318" t="str">
        <f>'BD Team'!G32</f>
        <v>VARIES</v>
      </c>
      <c r="F25" s="318" t="str">
        <f>'BD Team'!F32</f>
        <v>RETRACTABLE</v>
      </c>
      <c r="I25" s="318">
        <f>'BD Team'!H32</f>
        <v>1321</v>
      </c>
      <c r="J25" s="318">
        <f>'BD Team'!I32</f>
        <v>1676</v>
      </c>
      <c r="K25" s="318">
        <f>'BD Team'!J32</f>
        <v>2</v>
      </c>
      <c r="L25" s="319">
        <f>'BD Team'!K32</f>
        <v>270.76</v>
      </c>
      <c r="M25" s="318">
        <f>Pricing!O27</f>
        <v>2805</v>
      </c>
      <c r="N25" s="318">
        <f>Pricing!Q27</f>
        <v>0</v>
      </c>
      <c r="O25" s="318">
        <f>Pricing!R27</f>
        <v>16145.999999999998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V1</v>
      </c>
      <c r="B26" s="318" t="str">
        <f>'BD Team'!C33</f>
        <v>-</v>
      </c>
      <c r="C26" s="318" t="str">
        <f>'BD Team'!D33</f>
        <v>GLASS LOUVERS</v>
      </c>
      <c r="D26" s="318" t="str">
        <f>'BD Team'!E33</f>
        <v>6MM (A)</v>
      </c>
      <c r="E26" s="318" t="str">
        <f>'BD Team'!G33</f>
        <v>WORK STATION</v>
      </c>
      <c r="F26" s="318" t="str">
        <f>'BD Team'!F33</f>
        <v>RETRACTABLE</v>
      </c>
      <c r="I26" s="318">
        <f>'BD Team'!H33</f>
        <v>2350</v>
      </c>
      <c r="J26" s="318">
        <f>'BD Team'!I33</f>
        <v>610</v>
      </c>
      <c r="K26" s="318">
        <f>'BD Team'!J33</f>
        <v>1</v>
      </c>
      <c r="L26" s="319">
        <f>'BD Team'!K33</f>
        <v>39.380000000000003</v>
      </c>
      <c r="M26" s="318">
        <f>Pricing!O28</f>
        <v>1002</v>
      </c>
      <c r="N26" s="318">
        <f>Pricing!Q28</f>
        <v>0</v>
      </c>
      <c r="O26" s="318">
        <f>Pricing!R28</f>
        <v>16145.999999999998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V1A</v>
      </c>
      <c r="B27" s="318" t="str">
        <f>'BD Team'!C34</f>
        <v>-</v>
      </c>
      <c r="C27" s="318" t="str">
        <f>'BD Team'!D34</f>
        <v>GLASS LOUVERS</v>
      </c>
      <c r="D27" s="318" t="str">
        <f>'BD Team'!E34</f>
        <v>6MM (A)</v>
      </c>
      <c r="E27" s="318" t="str">
        <f>'BD Team'!G34</f>
        <v>NA</v>
      </c>
      <c r="F27" s="318" t="str">
        <f>'BD Team'!F34</f>
        <v>RETRACTABLE</v>
      </c>
      <c r="I27" s="318">
        <f>'BD Team'!H34</f>
        <v>2121</v>
      </c>
      <c r="J27" s="318">
        <f>'BD Team'!I34</f>
        <v>610</v>
      </c>
      <c r="K27" s="318">
        <f>'BD Team'!J34</f>
        <v>1</v>
      </c>
      <c r="L27" s="319">
        <f>'BD Team'!K34</f>
        <v>36.020000000000003</v>
      </c>
      <c r="M27" s="318">
        <f>Pricing!O29</f>
        <v>1002</v>
      </c>
      <c r="N27" s="318">
        <f>Pricing!Q29</f>
        <v>0</v>
      </c>
      <c r="O27" s="318">
        <f>Pricing!R29</f>
        <v>16145.999999999998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V2</v>
      </c>
      <c r="B28" s="318" t="str">
        <f>'BD Team'!C35</f>
        <v>-</v>
      </c>
      <c r="C28" s="318" t="str">
        <f>'BD Team'!D35</f>
        <v>GLASS LOUVERS</v>
      </c>
      <c r="D28" s="318" t="str">
        <f>'BD Team'!E35</f>
        <v>6MM (A)</v>
      </c>
      <c r="E28" s="318" t="str">
        <f>'BD Team'!G35</f>
        <v>SERVANTS WC</v>
      </c>
      <c r="F28" s="318" t="str">
        <f>'BD Team'!F35</f>
        <v>RETRACTABLE</v>
      </c>
      <c r="I28" s="318">
        <f>'BD Team'!H35</f>
        <v>610</v>
      </c>
      <c r="J28" s="318">
        <f>'BD Team'!I35</f>
        <v>610</v>
      </c>
      <c r="K28" s="318">
        <f>'BD Team'!J35</f>
        <v>1</v>
      </c>
      <c r="L28" s="319">
        <f>'BD Team'!K35</f>
        <v>13.83</v>
      </c>
      <c r="M28" s="318">
        <f>Pricing!O30</f>
        <v>1002</v>
      </c>
      <c r="N28" s="318">
        <f>Pricing!Q30</f>
        <v>0</v>
      </c>
      <c r="O28" s="318">
        <f>Pricing!R30</f>
        <v>16145.999999999998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V3</v>
      </c>
      <c r="B29" s="318" t="str">
        <f>'BD Team'!C36</f>
        <v>-</v>
      </c>
      <c r="C29" s="318" t="str">
        <f>'BD Team'!D36</f>
        <v>GLASS LOUVERS</v>
      </c>
      <c r="D29" s="318" t="str">
        <f>'BD Team'!E36</f>
        <v>6MM (A)</v>
      </c>
      <c r="E29" s="318" t="str">
        <f>'BD Team'!G36</f>
        <v>SERVANTS WC</v>
      </c>
      <c r="F29" s="318" t="str">
        <f>'BD Team'!F36</f>
        <v>RETRACTABLE</v>
      </c>
      <c r="I29" s="318">
        <f>'BD Team'!H36</f>
        <v>1334</v>
      </c>
      <c r="J29" s="318">
        <f>'BD Team'!I36</f>
        <v>610</v>
      </c>
      <c r="K29" s="318">
        <f>'BD Team'!J36</f>
        <v>1</v>
      </c>
      <c r="L29" s="319">
        <f>'BD Team'!K36</f>
        <v>24.46</v>
      </c>
      <c r="M29" s="318">
        <f>Pricing!O31</f>
        <v>1002</v>
      </c>
      <c r="N29" s="318">
        <f>Pricing!Q31</f>
        <v>0</v>
      </c>
      <c r="O29" s="318">
        <f>Pricing!R31</f>
        <v>16145.999999999998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V4</v>
      </c>
      <c r="B30" s="318" t="str">
        <f>'BD Team'!C37</f>
        <v>M15000</v>
      </c>
      <c r="C30" s="318" t="str">
        <f>'BD Team'!D37</f>
        <v>2 SIDE HUNG WINDOWS WITH CENTER FIXED GLASS TO GLASS JOINT</v>
      </c>
      <c r="D30" s="318" t="str">
        <f>'BD Team'!E37</f>
        <v>6MM</v>
      </c>
      <c r="E30" s="318" t="str">
        <f>'BD Team'!G37</f>
        <v>WORK STATION</v>
      </c>
      <c r="F30" s="318" t="str">
        <f>'BD Team'!F37</f>
        <v>RETRACTABLE</v>
      </c>
      <c r="I30" s="318">
        <f>'BD Team'!H37</f>
        <v>4470</v>
      </c>
      <c r="J30" s="318">
        <f>'BD Team'!I37</f>
        <v>610</v>
      </c>
      <c r="K30" s="318">
        <f>'BD Team'!J37</f>
        <v>1</v>
      </c>
      <c r="L30" s="319">
        <f>'BD Team'!K37</f>
        <v>321.75</v>
      </c>
      <c r="M30" s="318">
        <f>Pricing!O32</f>
        <v>1002</v>
      </c>
      <c r="N30" s="318">
        <f>Pricing!Q32</f>
        <v>0</v>
      </c>
      <c r="O30" s="318">
        <f>Pricing!R32</f>
        <v>16145.999999999998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V5</v>
      </c>
      <c r="B31" s="318" t="str">
        <f>'BD Team'!C38</f>
        <v>M15000</v>
      </c>
      <c r="C31" s="318" t="str">
        <f>'BD Team'!D38</f>
        <v>SIDE HUNG WINDOW</v>
      </c>
      <c r="D31" s="318" t="str">
        <f>'BD Team'!E38</f>
        <v>24MM</v>
      </c>
      <c r="E31" s="318" t="str">
        <f>'BD Team'!G38</f>
        <v>VARIES</v>
      </c>
      <c r="F31" s="318" t="str">
        <f>'BD Team'!F38</f>
        <v>RETRACTABLE</v>
      </c>
      <c r="I31" s="318">
        <f>'BD Team'!H38</f>
        <v>914</v>
      </c>
      <c r="J31" s="318">
        <f>'BD Team'!I38</f>
        <v>914</v>
      </c>
      <c r="K31" s="318">
        <f>'BD Team'!J38</f>
        <v>7</v>
      </c>
      <c r="L31" s="319">
        <f>'BD Team'!K38</f>
        <v>135.56</v>
      </c>
      <c r="M31" s="318">
        <f>Pricing!O33</f>
        <v>2805</v>
      </c>
      <c r="N31" s="318">
        <f>Pricing!Q33</f>
        <v>0</v>
      </c>
      <c r="O31" s="318">
        <f>Pricing!R33</f>
        <v>16145.999999999998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V6</v>
      </c>
      <c r="B32" s="318" t="str">
        <f>'BD Team'!C39</f>
        <v>M15000</v>
      </c>
      <c r="C32" s="318" t="str">
        <f>'BD Team'!D39</f>
        <v>SIDE HUNG WINDOW</v>
      </c>
      <c r="D32" s="318" t="str">
        <f>'BD Team'!E39</f>
        <v>24MM</v>
      </c>
      <c r="E32" s="318" t="str">
        <f>'BD Team'!G39</f>
        <v>VARIES</v>
      </c>
      <c r="F32" s="318" t="str">
        <f>'BD Team'!F39</f>
        <v>RETRACTABLE</v>
      </c>
      <c r="I32" s="318">
        <f>'BD Team'!H39</f>
        <v>711</v>
      </c>
      <c r="J32" s="318">
        <f>'BD Team'!I39</f>
        <v>914</v>
      </c>
      <c r="K32" s="318">
        <f>'BD Team'!J39</f>
        <v>2</v>
      </c>
      <c r="L32" s="319">
        <f>'BD Team'!K39</f>
        <v>124.38</v>
      </c>
      <c r="M32" s="318">
        <f>Pricing!O34</f>
        <v>2805</v>
      </c>
      <c r="N32" s="318">
        <f>Pricing!Q34</f>
        <v>0</v>
      </c>
      <c r="O32" s="318">
        <f>Pricing!R34</f>
        <v>16145.999999999998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V7</v>
      </c>
      <c r="B33" s="318" t="str">
        <f>'BD Team'!C40</f>
        <v>M15000</v>
      </c>
      <c r="C33" s="318" t="str">
        <f>'BD Team'!D40</f>
        <v>2 SIDE HUNG WINDOWS WITH CENTER FIXED</v>
      </c>
      <c r="D33" s="318" t="str">
        <f>'BD Team'!E40</f>
        <v>6MM</v>
      </c>
      <c r="E33" s="318" t="str">
        <f>'BD Team'!G40</f>
        <v>VARIES</v>
      </c>
      <c r="F33" s="318" t="str">
        <f>'BD Team'!F40</f>
        <v>RETRACTABLE</v>
      </c>
      <c r="I33" s="318">
        <f>'BD Team'!H40</f>
        <v>2743</v>
      </c>
      <c r="J33" s="318">
        <f>'BD Team'!I40</f>
        <v>610</v>
      </c>
      <c r="K33" s="318">
        <f>'BD Team'!J40</f>
        <v>2</v>
      </c>
      <c r="L33" s="319">
        <f>'BD Team'!K40</f>
        <v>274.52</v>
      </c>
      <c r="M33" s="318">
        <f>Pricing!O35</f>
        <v>1002</v>
      </c>
      <c r="N33" s="318">
        <f>Pricing!Q35</f>
        <v>0</v>
      </c>
      <c r="O33" s="318">
        <f>Pricing!R35</f>
        <v>16145.999999999998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V8</v>
      </c>
      <c r="B34" s="318" t="str">
        <f>'BD Team'!C41</f>
        <v>M15000</v>
      </c>
      <c r="C34" s="318" t="str">
        <f>'BD Team'!D41</f>
        <v>2 SIDE HUNG WINDOWS WITH CENTER FIXED</v>
      </c>
      <c r="D34" s="318" t="str">
        <f>'BD Team'!E41</f>
        <v>6MM</v>
      </c>
      <c r="E34" s="318" t="str">
        <f>'BD Team'!G41</f>
        <v>STORE</v>
      </c>
      <c r="F34" s="318" t="str">
        <f>'BD Team'!F41</f>
        <v>RETRACTABLE</v>
      </c>
      <c r="I34" s="318">
        <f>'BD Team'!H41</f>
        <v>3073</v>
      </c>
      <c r="J34" s="318">
        <f>'BD Team'!I41</f>
        <v>610</v>
      </c>
      <c r="K34" s="318">
        <f>'BD Team'!J41</f>
        <v>1</v>
      </c>
      <c r="L34" s="319">
        <f>'BD Team'!K41</f>
        <v>283.54000000000002</v>
      </c>
      <c r="M34" s="318">
        <f>Pricing!O36</f>
        <v>1002</v>
      </c>
      <c r="N34" s="318">
        <f>Pricing!Q36</f>
        <v>0</v>
      </c>
      <c r="O34" s="318">
        <f>Pricing!R36</f>
        <v>16145.999999999998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CW1</v>
      </c>
      <c r="B35" s="318" t="str">
        <f>'BD Team'!C42</f>
        <v>M15000</v>
      </c>
      <c r="C35" s="318" t="str">
        <f>'BD Team'!D42</f>
        <v>2 SIDE HUNG WINDOWS WITH CENTER FIXED 2 NO'S</v>
      </c>
      <c r="D35" s="318" t="str">
        <f>'BD Team'!E42</f>
        <v>24MM</v>
      </c>
      <c r="E35" s="318" t="str">
        <f>'BD Team'!G42</f>
        <v>POOJA ROOM</v>
      </c>
      <c r="F35" s="318" t="str">
        <f>'BD Team'!F42</f>
        <v>RETRACTABLE</v>
      </c>
      <c r="I35" s="318">
        <f>'BD Team'!H42</f>
        <v>5385</v>
      </c>
      <c r="J35" s="318">
        <f>'BD Team'!I42</f>
        <v>1676</v>
      </c>
      <c r="K35" s="318">
        <f>'BD Team'!J42</f>
        <v>1</v>
      </c>
      <c r="L35" s="319">
        <f>'BD Team'!K42</f>
        <v>596.22</v>
      </c>
      <c r="M35" s="318">
        <f>Pricing!O37</f>
        <v>2805</v>
      </c>
      <c r="N35" s="318">
        <f>Pricing!Q37</f>
        <v>0</v>
      </c>
      <c r="O35" s="318">
        <f>Pricing!R37</f>
        <v>6458.4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CW2</v>
      </c>
      <c r="B36" s="318" t="str">
        <f>'BD Team'!C43</f>
        <v>M15000</v>
      </c>
      <c r="C36" s="318" t="str">
        <f>'BD Team'!D43</f>
        <v>FRENCH WINDOW WITH SIDE HUNG AND CENTER FIXED</v>
      </c>
      <c r="D36" s="318" t="str">
        <f>'BD Team'!E43</f>
        <v>24MM</v>
      </c>
      <c r="E36" s="318" t="str">
        <f>'BD Team'!G43</f>
        <v>STUDY ROOM</v>
      </c>
      <c r="F36" s="318" t="str">
        <f>'BD Team'!F43</f>
        <v>RETRACTABLE</v>
      </c>
      <c r="I36" s="318">
        <f>'BD Team'!H43</f>
        <v>5791</v>
      </c>
      <c r="J36" s="318">
        <f>'BD Team'!I43</f>
        <v>1372</v>
      </c>
      <c r="K36" s="318">
        <f>'BD Team'!J43</f>
        <v>1</v>
      </c>
      <c r="L36" s="319">
        <f>'BD Team'!K43</f>
        <v>644.94000000000005</v>
      </c>
      <c r="M36" s="318">
        <f>Pricing!O38</f>
        <v>2805</v>
      </c>
      <c r="N36" s="318">
        <f>Pricing!Q38</f>
        <v>0</v>
      </c>
      <c r="O36" s="318">
        <f>Pricing!R38</f>
        <v>6458.4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CW3</v>
      </c>
      <c r="B37" s="318" t="str">
        <f>'BD Team'!C44</f>
        <v>M15000</v>
      </c>
      <c r="C37" s="318" t="str">
        <f>'BD Team'!D44</f>
        <v>FIXED GLASS 11 NO'S</v>
      </c>
      <c r="D37" s="318" t="str">
        <f>'BD Team'!E44</f>
        <v>24MM</v>
      </c>
      <c r="E37" s="318" t="str">
        <f>'BD Team'!G44</f>
        <v>LIVING DOUBLE HEIGHT</v>
      </c>
      <c r="F37" s="318" t="str">
        <f>'BD Team'!F44</f>
        <v>NO</v>
      </c>
      <c r="I37" s="318">
        <f>'BD Team'!H44</f>
        <v>9398</v>
      </c>
      <c r="J37" s="318">
        <f>'BD Team'!I44</f>
        <v>3200</v>
      </c>
      <c r="K37" s="318">
        <f>'BD Team'!J44</f>
        <v>1</v>
      </c>
      <c r="L37" s="319">
        <f>'BD Team'!K44</f>
        <v>969.92</v>
      </c>
      <c r="M37" s="318">
        <f>Pricing!O39</f>
        <v>2805</v>
      </c>
      <c r="N37" s="318">
        <f>Pricing!Q39</f>
        <v>0</v>
      </c>
      <c r="O37" s="318">
        <f>Pricing!R39</f>
        <v>0</v>
      </c>
      <c r="P37" s="318">
        <f>Pricing!S39</f>
        <v>25803.263999999996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W15</v>
      </c>
      <c r="B38" s="318" t="str">
        <f>'BD Team'!C45</f>
        <v>M15000</v>
      </c>
      <c r="C38" s="318" t="str">
        <f>'BD Team'!D45</f>
        <v>2 FRENCH CASEMENT WINDOW WITH 7 FIXED</v>
      </c>
      <c r="D38" s="318" t="str">
        <f>'BD Team'!E45</f>
        <v>24MM</v>
      </c>
      <c r="E38" s="318" t="str">
        <f>'BD Team'!G45</f>
        <v>CORRIDOR</v>
      </c>
      <c r="F38" s="318" t="str">
        <f>'BD Team'!F45</f>
        <v>RETRACTABLE</v>
      </c>
      <c r="I38" s="318">
        <f>'BD Team'!H45</f>
        <v>4762</v>
      </c>
      <c r="J38" s="318">
        <f>'BD Team'!I45</f>
        <v>3200</v>
      </c>
      <c r="K38" s="318">
        <f>'BD Team'!J45</f>
        <v>1</v>
      </c>
      <c r="L38" s="319">
        <f>'BD Team'!K45</f>
        <v>961.77</v>
      </c>
      <c r="M38" s="318">
        <f>Pricing!O40</f>
        <v>2805</v>
      </c>
      <c r="N38" s="318">
        <f>Pricing!Q40</f>
        <v>0</v>
      </c>
      <c r="O38" s="318">
        <f>Pricing!R40</f>
        <v>5382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W16</v>
      </c>
      <c r="B39" s="318" t="str">
        <f>'BD Team'!C46</f>
        <v>M7 &amp; M15000</v>
      </c>
      <c r="C39" s="318" t="str">
        <f>'BD Team'!D46</f>
        <v>CURTAIN WALL WITH SHAPE WITH FRENCH DOOR AND SINGLE DOOR</v>
      </c>
      <c r="D39" s="318" t="str">
        <f>'BD Team'!E46</f>
        <v>24MM</v>
      </c>
      <c r="E39" s="318" t="str">
        <f>'BD Team'!G46</f>
        <v>HOME THEATER</v>
      </c>
      <c r="F39" s="318" t="str">
        <f>'BD Team'!F46</f>
        <v>RETRACTABLE</v>
      </c>
      <c r="I39" s="318">
        <f>'BD Team'!H46</f>
        <v>6452</v>
      </c>
      <c r="J39" s="318">
        <f>'BD Team'!I46</f>
        <v>4280</v>
      </c>
      <c r="K39" s="318">
        <f>'BD Team'!J46</f>
        <v>1</v>
      </c>
      <c r="L39" s="319">
        <f>'BD Team'!K46</f>
        <v>2151.91</v>
      </c>
      <c r="M39" s="318">
        <f>Pricing!O41</f>
        <v>2805</v>
      </c>
      <c r="N39" s="318">
        <f>Pricing!Q41</f>
        <v>0</v>
      </c>
      <c r="O39" s="318">
        <f>Pricing!R41</f>
        <v>3229.2</v>
      </c>
      <c r="P39" s="318">
        <f>Pricing!S41</f>
        <v>12000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W17</v>
      </c>
      <c r="B40" s="318" t="str">
        <f>'BD Team'!C47</f>
        <v>M15000</v>
      </c>
      <c r="C40" s="318" t="str">
        <f>'BD Team'!D47</f>
        <v>4 FRENCH WINDOWS</v>
      </c>
      <c r="D40" s="318" t="str">
        <f>'BD Team'!E47</f>
        <v>24MM</v>
      </c>
      <c r="E40" s="318" t="str">
        <f>'BD Team'!G47</f>
        <v>GYM</v>
      </c>
      <c r="F40" s="318" t="str">
        <f>'BD Team'!F47</f>
        <v>RETRACTABLE</v>
      </c>
      <c r="I40" s="318">
        <f>'BD Team'!H47</f>
        <v>5131</v>
      </c>
      <c r="J40" s="318">
        <f>'BD Team'!I47</f>
        <v>1676</v>
      </c>
      <c r="K40" s="318">
        <f>'BD Team'!J47</f>
        <v>1</v>
      </c>
      <c r="L40" s="319">
        <f>'BD Team'!K47</f>
        <v>1207.67</v>
      </c>
      <c r="M40" s="318">
        <f>Pricing!O42</f>
        <v>2805</v>
      </c>
      <c r="N40" s="318">
        <f>Pricing!Q42</f>
        <v>0</v>
      </c>
      <c r="O40" s="318">
        <f>Pricing!R42</f>
        <v>7534.7999999999993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W18</v>
      </c>
      <c r="B41" s="318" t="str">
        <f>'BD Team'!C48</f>
        <v>M15000</v>
      </c>
      <c r="C41" s="318" t="str">
        <f>'BD Team'!D48</f>
        <v>2 FRENCH WINDOWS WITH CENTER FIXED</v>
      </c>
      <c r="D41" s="318" t="str">
        <f>'BD Team'!E48</f>
        <v>24MM</v>
      </c>
      <c r="E41" s="318" t="str">
        <f>'BD Team'!G48</f>
        <v>CORRIDOR</v>
      </c>
      <c r="F41" s="318" t="str">
        <f>'BD Team'!F48</f>
        <v>RETRACTABLE</v>
      </c>
      <c r="I41" s="318">
        <f>'BD Team'!H48</f>
        <v>4648</v>
      </c>
      <c r="J41" s="318">
        <f>'BD Team'!I48</f>
        <v>1676</v>
      </c>
      <c r="K41" s="318">
        <f>'BD Team'!J48</f>
        <v>1</v>
      </c>
      <c r="L41" s="319">
        <f>'BD Team'!K48</f>
        <v>676.18</v>
      </c>
      <c r="M41" s="318">
        <f>Pricing!O43</f>
        <v>2805</v>
      </c>
      <c r="N41" s="318">
        <f>Pricing!Q43</f>
        <v>0</v>
      </c>
      <c r="O41" s="318">
        <f>Pricing!R43</f>
        <v>8611.1999999999989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  <row r="42" spans="1:21">
      <c r="A42" s="318" t="str">
        <f>'BD Team'!B49</f>
        <v>W19</v>
      </c>
      <c r="B42" s="318" t="str">
        <f>'BD Team'!C49</f>
        <v>M15000</v>
      </c>
      <c r="C42" s="318" t="str">
        <f>'BD Team'!D49</f>
        <v>FIXED GLASS 4 NO'S</v>
      </c>
      <c r="D42" s="318" t="str">
        <f>'BD Team'!E49</f>
        <v>24MM</v>
      </c>
      <c r="E42" s="318" t="str">
        <f>'BD Team'!G49</f>
        <v>COVERED TERRACE</v>
      </c>
      <c r="F42" s="318" t="str">
        <f>'BD Team'!F49</f>
        <v>NO</v>
      </c>
      <c r="I42" s="318">
        <f>'BD Team'!H49</f>
        <v>4197</v>
      </c>
      <c r="J42" s="318">
        <f>'BD Team'!I49</f>
        <v>1397</v>
      </c>
      <c r="K42" s="318">
        <f>'BD Team'!J49</f>
        <v>1</v>
      </c>
      <c r="L42" s="319">
        <f>'BD Team'!K49</f>
        <v>202.04</v>
      </c>
      <c r="M42" s="318">
        <f>Pricing!O44</f>
        <v>2805</v>
      </c>
      <c r="N42" s="318">
        <f>Pricing!Q44</f>
        <v>0</v>
      </c>
      <c r="O42" s="318">
        <f>Pricing!R44</f>
        <v>0</v>
      </c>
      <c r="P42" s="318">
        <f>Pricing!S44</f>
        <v>0</v>
      </c>
      <c r="Q42" s="319">
        <f>'Cost Calculation'!L48</f>
        <v>0</v>
      </c>
      <c r="R42" s="319">
        <f>'Cost Calculation'!M48</f>
        <v>0</v>
      </c>
      <c r="S42" s="319">
        <f>'Cost Calculation'!N48</f>
        <v>0</v>
      </c>
      <c r="T42" s="318">
        <f>Pricing!P44</f>
        <v>0</v>
      </c>
      <c r="U42" s="317">
        <f>'Cost Calculation'!AC48</f>
        <v>0</v>
      </c>
    </row>
    <row r="43" spans="1:21">
      <c r="A43" s="318" t="str">
        <f>'BD Team'!B50</f>
        <v>W20</v>
      </c>
      <c r="B43" s="318" t="str">
        <f>'BD Team'!C50</f>
        <v>M15000</v>
      </c>
      <c r="C43" s="318" t="str">
        <f>'BD Team'!D50</f>
        <v>SIDE HUNG WINDOW WITH 2 FIXED</v>
      </c>
      <c r="D43" s="318" t="str">
        <f>'BD Team'!E50</f>
        <v>24MM</v>
      </c>
      <c r="E43" s="318" t="str">
        <f>'BD Team'!G50</f>
        <v>PEEYUSH JAIN'S OFFICE</v>
      </c>
      <c r="F43" s="318" t="str">
        <f>'BD Team'!F50</f>
        <v>RETRACTABLE</v>
      </c>
      <c r="I43" s="318">
        <f>'BD Team'!H50</f>
        <v>2946</v>
      </c>
      <c r="J43" s="318">
        <f>'BD Team'!I50</f>
        <v>1524</v>
      </c>
      <c r="K43" s="318">
        <f>'BD Team'!J50</f>
        <v>1</v>
      </c>
      <c r="L43" s="319">
        <f>'BD Team'!K50</f>
        <v>302.70999999999998</v>
      </c>
      <c r="M43" s="318">
        <f>Pricing!O45</f>
        <v>2805</v>
      </c>
      <c r="N43" s="318">
        <f>Pricing!Q45</f>
        <v>0</v>
      </c>
      <c r="O43" s="318">
        <f>Pricing!R45</f>
        <v>10764</v>
      </c>
      <c r="P43" s="318">
        <f>Pricing!S45</f>
        <v>0</v>
      </c>
      <c r="Q43" s="319">
        <f>'Cost Calculation'!L49</f>
        <v>0</v>
      </c>
      <c r="R43" s="319">
        <f>'Cost Calculation'!M49</f>
        <v>0</v>
      </c>
      <c r="S43" s="319">
        <f>'Cost Calculation'!N49</f>
        <v>0</v>
      </c>
      <c r="T43" s="318">
        <f>Pricing!P45</f>
        <v>0</v>
      </c>
      <c r="U43" s="317">
        <f>'Cost Calculation'!AC49</f>
        <v>0</v>
      </c>
    </row>
    <row r="44" spans="1:21">
      <c r="A44" s="318" t="str">
        <f>'BD Team'!B51</f>
        <v>W9</v>
      </c>
      <c r="B44" s="318" t="str">
        <f>'BD Team'!C51</f>
        <v>M15000</v>
      </c>
      <c r="C44" s="318" t="str">
        <f>'BD Team'!D51</f>
        <v>FIXED GLASS 3 NO'S</v>
      </c>
      <c r="D44" s="318" t="str">
        <f>'BD Team'!E51</f>
        <v>24MM</v>
      </c>
      <c r="E44" s="318" t="str">
        <f>'BD Team'!G51</f>
        <v>NORMATHAS OFFICE</v>
      </c>
      <c r="F44" s="318" t="str">
        <f>'BD Team'!F51</f>
        <v>NO</v>
      </c>
      <c r="I44" s="318">
        <f>'BD Team'!H51</f>
        <v>1778</v>
      </c>
      <c r="J44" s="318">
        <f>'BD Team'!I51</f>
        <v>2438</v>
      </c>
      <c r="K44" s="318">
        <f>'BD Team'!J51</f>
        <v>1</v>
      </c>
      <c r="L44" s="319">
        <f>'BD Team'!K51</f>
        <v>183.85</v>
      </c>
      <c r="M44" s="318">
        <f>Pricing!O46</f>
        <v>2805</v>
      </c>
      <c r="N44" s="318">
        <f>Pricing!Q46</f>
        <v>0</v>
      </c>
      <c r="O44" s="318">
        <f>Pricing!R46</f>
        <v>0</v>
      </c>
      <c r="P44" s="318">
        <f>Pricing!S46</f>
        <v>0</v>
      </c>
      <c r="Q44" s="319">
        <f>'Cost Calculation'!L50</f>
        <v>0</v>
      </c>
      <c r="R44" s="319">
        <f>'Cost Calculation'!M50</f>
        <v>0</v>
      </c>
      <c r="S44" s="319">
        <f>'Cost Calculation'!N50</f>
        <v>0</v>
      </c>
      <c r="T44" s="318">
        <f>Pricing!P46</f>
        <v>0</v>
      </c>
      <c r="U44" s="317">
        <f>'Cost Calculation'!AC50</f>
        <v>0</v>
      </c>
    </row>
    <row r="45" spans="1:21">
      <c r="A45" s="318" t="str">
        <f>'BD Team'!B52</f>
        <v>SFD1</v>
      </c>
      <c r="B45" s="318" t="str">
        <f>'BD Team'!C52</f>
        <v>M9800</v>
      </c>
      <c r="C45" s="318" t="str">
        <f>'BD Team'!D52</f>
        <v>SLIDE &amp; FOLD WITH 3 LEAFS</v>
      </c>
      <c r="D45" s="318" t="str">
        <f>'BD Team'!E52</f>
        <v>24MM</v>
      </c>
      <c r="E45" s="318" t="str">
        <f>'BD Team'!G52</f>
        <v>LIVING ROOM</v>
      </c>
      <c r="F45" s="318" t="str">
        <f>'BD Team'!F52</f>
        <v>RETRACTABLE</v>
      </c>
      <c r="I45" s="318">
        <f>'BD Team'!H52</f>
        <v>2997</v>
      </c>
      <c r="J45" s="318">
        <f>'BD Team'!I52</f>
        <v>2438</v>
      </c>
      <c r="K45" s="318">
        <f>'BD Team'!J52</f>
        <v>1</v>
      </c>
      <c r="L45" s="319">
        <f>'BD Team'!K52</f>
        <v>646.98</v>
      </c>
      <c r="M45" s="318">
        <f>Pricing!O47</f>
        <v>2805</v>
      </c>
      <c r="N45" s="318">
        <f>Pricing!Q47</f>
        <v>0</v>
      </c>
      <c r="O45" s="318">
        <f>Pricing!R47</f>
        <v>9687.5999999999985</v>
      </c>
      <c r="P45" s="318">
        <f>Pricing!S47</f>
        <v>0</v>
      </c>
      <c r="Q45" s="319">
        <f>'Cost Calculation'!L51</f>
        <v>0</v>
      </c>
      <c r="R45" s="319">
        <f>'Cost Calculation'!M51</f>
        <v>0</v>
      </c>
      <c r="S45" s="319">
        <f>'Cost Calculation'!N51</f>
        <v>0</v>
      </c>
      <c r="T45" s="318">
        <f>Pricing!P47</f>
        <v>0</v>
      </c>
      <c r="U45" s="317">
        <f>'Cost Calculation'!AC51</f>
        <v>0</v>
      </c>
    </row>
    <row r="46" spans="1:21">
      <c r="A46" s="318" t="str">
        <f>'BD Team'!B53</f>
        <v>SFD2</v>
      </c>
      <c r="B46" s="318" t="str">
        <f>'BD Team'!C53</f>
        <v>M9800</v>
      </c>
      <c r="C46" s="318" t="str">
        <f>'BD Team'!D53</f>
        <v>SLIDE &amp; FOLD WITH 5 LEAFS</v>
      </c>
      <c r="D46" s="318" t="str">
        <f>'BD Team'!E53</f>
        <v>24MM</v>
      </c>
      <c r="E46" s="318" t="str">
        <f>'BD Team'!G53</f>
        <v>DINING ROOM</v>
      </c>
      <c r="F46" s="318" t="str">
        <f>'BD Team'!F53</f>
        <v>RETRACTABLE</v>
      </c>
      <c r="I46" s="318">
        <f>'BD Team'!H53</f>
        <v>4648</v>
      </c>
      <c r="J46" s="318">
        <f>'BD Team'!I53</f>
        <v>2438</v>
      </c>
      <c r="K46" s="318">
        <f>'BD Team'!J53</f>
        <v>1</v>
      </c>
      <c r="L46" s="319">
        <f>'BD Team'!K53</f>
        <v>1008.82</v>
      </c>
      <c r="M46" s="318">
        <f>Pricing!O48</f>
        <v>2805</v>
      </c>
      <c r="N46" s="318">
        <f>Pricing!Q48</f>
        <v>0</v>
      </c>
      <c r="O46" s="318">
        <f>Pricing!R48</f>
        <v>9687.5999999999985</v>
      </c>
      <c r="P46" s="318">
        <f>Pricing!S48</f>
        <v>0</v>
      </c>
      <c r="Q46" s="319">
        <f>'Cost Calculation'!L52</f>
        <v>0</v>
      </c>
      <c r="R46" s="319">
        <f>'Cost Calculation'!M52</f>
        <v>0</v>
      </c>
      <c r="S46" s="319">
        <f>'Cost Calculation'!N52</f>
        <v>0</v>
      </c>
      <c r="T46" s="318">
        <f>Pricing!P48</f>
        <v>0</v>
      </c>
      <c r="U46" s="317">
        <f>'Cost Calculation'!AC52</f>
        <v>0</v>
      </c>
    </row>
    <row r="47" spans="1:21">
      <c r="A47" s="318" t="str">
        <f>'BD Team'!B54</f>
        <v>SFD3</v>
      </c>
      <c r="B47" s="318" t="str">
        <f>'BD Team'!C54</f>
        <v>M9800</v>
      </c>
      <c r="C47" s="318" t="str">
        <f>'BD Team'!D54</f>
        <v>SLIDE &amp; FOLD WITH 5 LEAFS</v>
      </c>
      <c r="D47" s="318" t="str">
        <f>'BD Team'!E54</f>
        <v>24MM</v>
      </c>
      <c r="E47" s="318" t="str">
        <f>'BD Team'!G54</f>
        <v>GUEST BEDROOM</v>
      </c>
      <c r="F47" s="318" t="str">
        <f>'BD Team'!F54</f>
        <v>RETRACTABLE</v>
      </c>
      <c r="I47" s="318">
        <f>'BD Team'!H54</f>
        <v>3340</v>
      </c>
      <c r="J47" s="318">
        <f>'BD Team'!I54</f>
        <v>2438</v>
      </c>
      <c r="K47" s="318">
        <f>'BD Team'!J54</f>
        <v>1</v>
      </c>
      <c r="L47" s="319">
        <f>'BD Team'!K54</f>
        <v>924.21</v>
      </c>
      <c r="M47" s="318">
        <f>Pricing!O49</f>
        <v>2805</v>
      </c>
      <c r="N47" s="318">
        <f>Pricing!Q49</f>
        <v>0</v>
      </c>
      <c r="O47" s="318">
        <f>Pricing!R49</f>
        <v>9687.5999999999985</v>
      </c>
      <c r="P47" s="318">
        <f>Pricing!S49</f>
        <v>0</v>
      </c>
      <c r="Q47" s="319">
        <f>'Cost Calculation'!L53</f>
        <v>0</v>
      </c>
      <c r="R47" s="319">
        <f>'Cost Calculation'!M53</f>
        <v>0</v>
      </c>
      <c r="S47" s="319">
        <f>'Cost Calculation'!N53</f>
        <v>0</v>
      </c>
      <c r="T47" s="318">
        <f>Pricing!P49</f>
        <v>0</v>
      </c>
      <c r="U47" s="317">
        <f>'Cost Calculation'!AC53</f>
        <v>0</v>
      </c>
    </row>
    <row r="48" spans="1:21">
      <c r="A48" s="318" t="str">
        <f>'BD Team'!B55</f>
        <v>D1</v>
      </c>
      <c r="B48" s="318" t="str">
        <f>'BD Team'!C55</f>
        <v>M15000</v>
      </c>
      <c r="C48" s="318" t="str">
        <f>'BD Team'!D55</f>
        <v>SIDE HUNG DOOR</v>
      </c>
      <c r="D48" s="318" t="str">
        <f>'BD Team'!E55</f>
        <v>24MM</v>
      </c>
      <c r="E48" s="318" t="str">
        <f>'BD Team'!G55</f>
        <v>NA</v>
      </c>
      <c r="F48" s="318" t="str">
        <f>'BD Team'!F55</f>
        <v>NO</v>
      </c>
      <c r="I48" s="318">
        <f>'BD Team'!H55</f>
        <v>1067</v>
      </c>
      <c r="J48" s="318">
        <f>'BD Team'!I55</f>
        <v>2438</v>
      </c>
      <c r="K48" s="318">
        <f>'BD Team'!J55</f>
        <v>2</v>
      </c>
      <c r="L48" s="319">
        <f>'BD Team'!K55</f>
        <v>229.12</v>
      </c>
      <c r="M48" s="318">
        <f>Pricing!O50</f>
        <v>2805</v>
      </c>
      <c r="N48" s="318">
        <f>Pricing!Q50</f>
        <v>0</v>
      </c>
      <c r="O48" s="318">
        <f>Pricing!R50</f>
        <v>0</v>
      </c>
      <c r="P48" s="318">
        <f>Pricing!S50</f>
        <v>0</v>
      </c>
      <c r="Q48" s="319">
        <f>'Cost Calculation'!L54</f>
        <v>0</v>
      </c>
      <c r="R48" s="319">
        <f>'Cost Calculation'!M54</f>
        <v>0</v>
      </c>
      <c r="S48" s="319">
        <f>'Cost Calculation'!N54</f>
        <v>0</v>
      </c>
      <c r="T48" s="318">
        <f>Pricing!P50</f>
        <v>0</v>
      </c>
      <c r="U48" s="317">
        <f>'Cost Calculation'!AC54</f>
        <v>0</v>
      </c>
    </row>
    <row r="49" spans="1:21">
      <c r="A49" s="318" t="str">
        <f>'BD Team'!B56</f>
        <v>D2</v>
      </c>
      <c r="B49" s="318" t="str">
        <f>'BD Team'!C56</f>
        <v>M15000</v>
      </c>
      <c r="C49" s="318" t="str">
        <f>'BD Team'!D56</f>
        <v>SIDE HUNG DOOR</v>
      </c>
      <c r="D49" s="318" t="str">
        <f>'BD Team'!E56</f>
        <v>24MM</v>
      </c>
      <c r="E49" s="318" t="str">
        <f>'BD Team'!G56</f>
        <v>NA</v>
      </c>
      <c r="F49" s="318" t="str">
        <f>'BD Team'!F56</f>
        <v>NO</v>
      </c>
      <c r="I49" s="318">
        <f>'BD Team'!H56</f>
        <v>914</v>
      </c>
      <c r="J49" s="318">
        <f>'BD Team'!I56</f>
        <v>2438</v>
      </c>
      <c r="K49" s="318">
        <f>'BD Team'!J56</f>
        <v>19</v>
      </c>
      <c r="L49" s="319">
        <f>'BD Team'!K56</f>
        <v>221.34</v>
      </c>
      <c r="M49" s="318">
        <f>Pricing!O51</f>
        <v>2805</v>
      </c>
      <c r="N49" s="318">
        <f>Pricing!Q51</f>
        <v>0</v>
      </c>
      <c r="O49" s="318">
        <f>Pricing!R51</f>
        <v>0</v>
      </c>
      <c r="P49" s="318">
        <f>Pricing!S51</f>
        <v>0</v>
      </c>
      <c r="Q49" s="319">
        <f>'Cost Calculation'!L55</f>
        <v>0</v>
      </c>
      <c r="R49" s="319">
        <f>'Cost Calculation'!M55</f>
        <v>0</v>
      </c>
      <c r="S49" s="319">
        <f>'Cost Calculation'!N55</f>
        <v>0</v>
      </c>
      <c r="T49" s="318">
        <f>Pricing!P51</f>
        <v>0</v>
      </c>
      <c r="U49" s="317">
        <f>'Cost Calculation'!AC55</f>
        <v>0</v>
      </c>
    </row>
    <row r="50" spans="1:21">
      <c r="A50" s="318" t="str">
        <f>'BD Team'!B57</f>
        <v>D3</v>
      </c>
      <c r="B50" s="318" t="str">
        <f>'BD Team'!C57</f>
        <v>M15000</v>
      </c>
      <c r="C50" s="318" t="str">
        <f>'BD Team'!D57</f>
        <v>SIDE HUNG DOOR</v>
      </c>
      <c r="D50" s="318" t="str">
        <f>'BD Team'!E57</f>
        <v>24MM</v>
      </c>
      <c r="E50" s="318" t="str">
        <f>'BD Team'!G57</f>
        <v>NA</v>
      </c>
      <c r="F50" s="318" t="str">
        <f>'BD Team'!F57</f>
        <v>NO</v>
      </c>
      <c r="I50" s="318">
        <f>'BD Team'!H57</f>
        <v>762</v>
      </c>
      <c r="J50" s="318">
        <f>'BD Team'!I57</f>
        <v>2438</v>
      </c>
      <c r="K50" s="318">
        <f>'BD Team'!J57</f>
        <v>16</v>
      </c>
      <c r="L50" s="319">
        <f>'BD Team'!K57</f>
        <v>213.62</v>
      </c>
      <c r="M50" s="318">
        <f>Pricing!O52</f>
        <v>2805</v>
      </c>
      <c r="N50" s="318">
        <f>Pricing!Q52</f>
        <v>0</v>
      </c>
      <c r="O50" s="318">
        <f>Pricing!R52</f>
        <v>0</v>
      </c>
      <c r="P50" s="318">
        <f>Pricing!S52</f>
        <v>0</v>
      </c>
      <c r="Q50" s="319">
        <f>'Cost Calculation'!L56</f>
        <v>0</v>
      </c>
      <c r="R50" s="319">
        <f>'Cost Calculation'!M56</f>
        <v>0</v>
      </c>
      <c r="S50" s="319">
        <f>'Cost Calculation'!N56</f>
        <v>0</v>
      </c>
      <c r="T50" s="318">
        <f>Pricing!P52</f>
        <v>0</v>
      </c>
      <c r="U50" s="317">
        <f>'Cost Calculation'!AC56</f>
        <v>0</v>
      </c>
    </row>
    <row r="51" spans="1:21">
      <c r="A51" s="318" t="str">
        <f>'BD Team'!B58</f>
        <v>DW1</v>
      </c>
      <c r="B51" s="318" t="str">
        <f>'BD Team'!C58</f>
        <v>M15000 &amp; M14600</v>
      </c>
      <c r="C51" s="318" t="str">
        <f>'BD Team'!D58</f>
        <v>3 TRACK 2 SHUTTER SLIDING DOOR WITH SINGLE DOOR AND TOP FIXED</v>
      </c>
      <c r="D51" s="318" t="str">
        <f>'BD Team'!E58</f>
        <v>24MM</v>
      </c>
      <c r="E51" s="318" t="str">
        <f>'BD Team'!G58</f>
        <v>ELECTRICAL ROOM</v>
      </c>
      <c r="F51" s="318" t="str">
        <f>'BD Team'!F58</f>
        <v>NO</v>
      </c>
      <c r="I51" s="318">
        <f>'BD Team'!H58</f>
        <v>2210</v>
      </c>
      <c r="J51" s="318">
        <f>'BD Team'!I58</f>
        <v>4115</v>
      </c>
      <c r="K51" s="318">
        <f>'BD Team'!J58</f>
        <v>1</v>
      </c>
      <c r="L51" s="319">
        <f>'BD Team'!K58</f>
        <v>817.48</v>
      </c>
      <c r="M51" s="318">
        <f>Pricing!O53</f>
        <v>2805</v>
      </c>
      <c r="N51" s="318">
        <f>Pricing!Q53</f>
        <v>0</v>
      </c>
      <c r="O51" s="318">
        <f>Pricing!R53</f>
        <v>0</v>
      </c>
      <c r="P51" s="318">
        <f>Pricing!S53</f>
        <v>1236.375</v>
      </c>
      <c r="Q51" s="319">
        <f>'Cost Calculation'!L57</f>
        <v>0</v>
      </c>
      <c r="R51" s="319">
        <f>'Cost Calculation'!M57</f>
        <v>0</v>
      </c>
      <c r="S51" s="319">
        <f>'Cost Calculation'!N57</f>
        <v>0</v>
      </c>
      <c r="T51" s="318">
        <f>Pricing!P53</f>
        <v>0</v>
      </c>
      <c r="U51" s="317">
        <f>'Cost Calculation'!AC57</f>
        <v>0</v>
      </c>
    </row>
    <row r="52" spans="1:21">
      <c r="A52" s="318" t="str">
        <f>'BD Team'!B59</f>
        <v>MD</v>
      </c>
      <c r="B52" s="318" t="str">
        <f>'BD Team'!C59</f>
        <v>M15000</v>
      </c>
      <c r="C52" s="318" t="str">
        <f>'BD Team'!D59</f>
        <v>SIDE HUNG DOOR WITH 3 FIXED</v>
      </c>
      <c r="D52" s="318" t="str">
        <f>'BD Team'!E59</f>
        <v>24MM</v>
      </c>
      <c r="E52" s="318" t="str">
        <f>'BD Team'!G59</f>
        <v>ENTRANCE DOOR</v>
      </c>
      <c r="F52" s="318" t="str">
        <f>'BD Team'!F59</f>
        <v>NO</v>
      </c>
      <c r="I52" s="318">
        <f>'BD Team'!H59</f>
        <v>2033</v>
      </c>
      <c r="J52" s="318">
        <f>'BD Team'!I59</f>
        <v>4115</v>
      </c>
      <c r="K52" s="318">
        <f>'BD Team'!J59</f>
        <v>1</v>
      </c>
      <c r="L52" s="319">
        <f>'BD Team'!K59</f>
        <v>424.55</v>
      </c>
      <c r="M52" s="318">
        <f>Pricing!O54</f>
        <v>2805</v>
      </c>
      <c r="N52" s="318">
        <f>Pricing!Q54</f>
        <v>0</v>
      </c>
      <c r="O52" s="318">
        <f>Pricing!R54</f>
        <v>0</v>
      </c>
      <c r="P52" s="318">
        <f>Pricing!S54</f>
        <v>0</v>
      </c>
      <c r="Q52" s="319">
        <f>'Cost Calculation'!L58</f>
        <v>0</v>
      </c>
      <c r="R52" s="319">
        <f>'Cost Calculation'!M58</f>
        <v>0</v>
      </c>
      <c r="S52" s="319">
        <f>'Cost Calculation'!N58</f>
        <v>0</v>
      </c>
      <c r="T52" s="318">
        <f>Pricing!P54</f>
        <v>0</v>
      </c>
      <c r="U52" s="317">
        <f>'Cost Calculation'!AC58</f>
        <v>0</v>
      </c>
    </row>
    <row r="53" spans="1:21">
      <c r="A53" s="318" t="str">
        <f>'BD Team'!B60</f>
        <v>PD1</v>
      </c>
      <c r="B53" s="318" t="str">
        <f>'BD Team'!C60</f>
        <v>M14600</v>
      </c>
      <c r="C53" s="318" t="str">
        <f>'BD Team'!D60</f>
        <v>POCKET DOOR</v>
      </c>
      <c r="D53" s="318" t="str">
        <f>'BD Team'!E60</f>
        <v>24MM</v>
      </c>
      <c r="E53" s="318" t="str">
        <f>'BD Team'!G60</f>
        <v>FORMAL LIVING ROOM</v>
      </c>
      <c r="F53" s="318" t="str">
        <f>'BD Team'!F60</f>
        <v>NO</v>
      </c>
      <c r="I53" s="318">
        <f>'BD Team'!H60</f>
        <v>6098</v>
      </c>
      <c r="J53" s="318">
        <f>'BD Team'!I60</f>
        <v>2438</v>
      </c>
      <c r="K53" s="318">
        <f>'BD Team'!J60</f>
        <v>1</v>
      </c>
      <c r="L53" s="319">
        <f>'BD Team'!K60</f>
        <v>737.79</v>
      </c>
      <c r="M53" s="318">
        <f>Pricing!O55</f>
        <v>2805</v>
      </c>
      <c r="N53" s="318">
        <f>Pricing!Q55</f>
        <v>0</v>
      </c>
      <c r="O53" s="318">
        <f>Pricing!R55</f>
        <v>0</v>
      </c>
      <c r="P53" s="318">
        <f>Pricing!S55</f>
        <v>0</v>
      </c>
      <c r="Q53" s="319">
        <f>'Cost Calculation'!L59</f>
        <v>0</v>
      </c>
      <c r="R53" s="319">
        <f>'Cost Calculation'!M59</f>
        <v>0</v>
      </c>
      <c r="S53" s="319">
        <f>'Cost Calculation'!N59</f>
        <v>0</v>
      </c>
      <c r="T53" s="318">
        <f>Pricing!P55</f>
        <v>0</v>
      </c>
      <c r="U53" s="317">
        <f>'Cost Calculation'!AC59</f>
        <v>0</v>
      </c>
    </row>
    <row r="54" spans="1:21">
      <c r="A54" s="318" t="str">
        <f>'BD Team'!B61</f>
        <v>PD2</v>
      </c>
      <c r="B54" s="318" t="str">
        <f>'BD Team'!C61</f>
        <v>M14600</v>
      </c>
      <c r="C54" s="318" t="str">
        <f>'BD Team'!D61</f>
        <v>POCKET DOOR</v>
      </c>
      <c r="D54" s="318" t="str">
        <f>'BD Team'!E61</f>
        <v>24MM</v>
      </c>
      <c r="E54" s="318" t="str">
        <f>'BD Team'!G61</f>
        <v>NORMATHAS OFFICE</v>
      </c>
      <c r="F54" s="318" t="str">
        <f>'BD Team'!F61</f>
        <v>NO</v>
      </c>
      <c r="I54" s="318">
        <f>'BD Team'!H61</f>
        <v>1981</v>
      </c>
      <c r="J54" s="318">
        <f>'BD Team'!I61</f>
        <v>2438</v>
      </c>
      <c r="K54" s="318">
        <f>'BD Team'!J61</f>
        <v>1</v>
      </c>
      <c r="L54" s="319">
        <f>'BD Team'!K61</f>
        <v>371.05</v>
      </c>
      <c r="M54" s="318">
        <f>Pricing!O56</f>
        <v>2805</v>
      </c>
      <c r="N54" s="318">
        <f>Pricing!Q56</f>
        <v>0</v>
      </c>
      <c r="O54" s="318">
        <f>Pricing!R56</f>
        <v>0</v>
      </c>
      <c r="P54" s="318">
        <f>Pricing!S56</f>
        <v>0</v>
      </c>
      <c r="Q54" s="319">
        <f>'Cost Calculation'!L60</f>
        <v>0</v>
      </c>
      <c r="R54" s="319">
        <f>'Cost Calculation'!M60</f>
        <v>0</v>
      </c>
      <c r="S54" s="319">
        <f>'Cost Calculation'!N60</f>
        <v>0</v>
      </c>
      <c r="T54" s="318">
        <f>Pricing!P56</f>
        <v>0</v>
      </c>
      <c r="U54" s="317">
        <f>'Cost Calculation'!AC60</f>
        <v>0</v>
      </c>
    </row>
    <row r="55" spans="1:21">
      <c r="A55" s="318" t="str">
        <f>'BD Team'!B62</f>
        <v>PD3</v>
      </c>
      <c r="B55" s="318" t="str">
        <f>'BD Team'!C62</f>
        <v>M14600</v>
      </c>
      <c r="C55" s="318" t="str">
        <f>'BD Team'!D62</f>
        <v>POCKET DOOR</v>
      </c>
      <c r="D55" s="318" t="str">
        <f>'BD Team'!E62</f>
        <v>24MM</v>
      </c>
      <c r="E55" s="318" t="str">
        <f>'BD Team'!G62</f>
        <v>FAMILY ROOM</v>
      </c>
      <c r="F55" s="318" t="str">
        <f>'BD Team'!F62</f>
        <v>NO</v>
      </c>
      <c r="I55" s="318">
        <f>'BD Team'!H62</f>
        <v>5182</v>
      </c>
      <c r="J55" s="318">
        <f>'BD Team'!I62</f>
        <v>2438</v>
      </c>
      <c r="K55" s="318">
        <f>'BD Team'!J62</f>
        <v>1</v>
      </c>
      <c r="L55" s="319">
        <f>'BD Team'!K62</f>
        <v>745.77</v>
      </c>
      <c r="M55" s="318">
        <f>Pricing!O57</f>
        <v>2805</v>
      </c>
      <c r="N55" s="318">
        <f>Pricing!Q57</f>
        <v>0</v>
      </c>
      <c r="O55" s="318">
        <f>Pricing!R57</f>
        <v>0</v>
      </c>
      <c r="P55" s="318">
        <f>Pricing!S57</f>
        <v>0</v>
      </c>
      <c r="Q55" s="319">
        <f>'Cost Calculation'!L61</f>
        <v>0</v>
      </c>
      <c r="R55" s="319">
        <f>'Cost Calculation'!M61</f>
        <v>0</v>
      </c>
      <c r="S55" s="319">
        <f>'Cost Calculation'!N61</f>
        <v>0</v>
      </c>
      <c r="T55" s="318">
        <f>Pricing!P57</f>
        <v>0</v>
      </c>
      <c r="U55" s="317">
        <f>'Cost Calculation'!AC61</f>
        <v>0</v>
      </c>
    </row>
    <row r="56" spans="1:21">
      <c r="A56" s="318" t="str">
        <f>'BD Team'!B63</f>
        <v>PD4</v>
      </c>
      <c r="B56" s="318" t="str">
        <f>'BD Team'!C63</f>
        <v>M14600</v>
      </c>
      <c r="C56" s="318" t="str">
        <f>'BD Team'!D63</f>
        <v>POCKET DOOR</v>
      </c>
      <c r="D56" s="318" t="str">
        <f>'BD Team'!E63</f>
        <v>24MM</v>
      </c>
      <c r="E56" s="318" t="str">
        <f>'BD Team'!G63</f>
        <v>CORRIDOR</v>
      </c>
      <c r="F56" s="318" t="str">
        <f>'BD Team'!F63</f>
        <v>NO</v>
      </c>
      <c r="I56" s="318">
        <f>'BD Team'!H63</f>
        <v>2210</v>
      </c>
      <c r="J56" s="318">
        <f>'BD Team'!I63</f>
        <v>2438</v>
      </c>
      <c r="K56" s="318">
        <f>'BD Team'!J63</f>
        <v>2</v>
      </c>
      <c r="L56" s="319">
        <f>'BD Team'!K63</f>
        <v>385.06</v>
      </c>
      <c r="M56" s="318">
        <f>Pricing!O58</f>
        <v>2805</v>
      </c>
      <c r="N56" s="318">
        <f>Pricing!Q58</f>
        <v>0</v>
      </c>
      <c r="O56" s="318">
        <f>Pricing!R58</f>
        <v>0</v>
      </c>
      <c r="P56" s="318">
        <f>Pricing!S58</f>
        <v>0</v>
      </c>
      <c r="Q56" s="319">
        <f>'Cost Calculation'!L62</f>
        <v>0</v>
      </c>
      <c r="R56" s="319">
        <f>'Cost Calculation'!M62</f>
        <v>0</v>
      </c>
      <c r="S56" s="319">
        <f>'Cost Calculation'!N62</f>
        <v>0</v>
      </c>
      <c r="T56" s="318">
        <f>Pricing!P58</f>
        <v>0</v>
      </c>
      <c r="U56" s="317">
        <f>'Cost Calculation'!AC62</f>
        <v>0</v>
      </c>
    </row>
    <row r="57" spans="1:21">
      <c r="A57" s="318" t="str">
        <f>'BD Team'!B64</f>
        <v>PD5</v>
      </c>
      <c r="B57" s="318" t="str">
        <f>'BD Team'!C64</f>
        <v>M14600</v>
      </c>
      <c r="C57" s="318" t="str">
        <f>'BD Team'!D64</f>
        <v>POCKET DOOR</v>
      </c>
      <c r="D57" s="318" t="str">
        <f>'BD Team'!E64</f>
        <v>24MM</v>
      </c>
      <c r="E57" s="318" t="str">
        <f>'BD Team'!G64</f>
        <v>NA</v>
      </c>
      <c r="F57" s="318" t="str">
        <f>'BD Team'!F64</f>
        <v>NO</v>
      </c>
      <c r="I57" s="318">
        <f>'BD Team'!H64</f>
        <v>1981</v>
      </c>
      <c r="J57" s="318">
        <f>'BD Team'!I64</f>
        <v>2438</v>
      </c>
      <c r="K57" s="318">
        <f>'BD Team'!J64</f>
        <v>4</v>
      </c>
      <c r="L57" s="319">
        <f>'BD Team'!K64</f>
        <v>371.05</v>
      </c>
      <c r="M57" s="318">
        <f>Pricing!O59</f>
        <v>2805</v>
      </c>
      <c r="N57" s="318">
        <f>Pricing!Q59</f>
        <v>0</v>
      </c>
      <c r="O57" s="318">
        <f>Pricing!R59</f>
        <v>0</v>
      </c>
      <c r="P57" s="318">
        <f>Pricing!S59</f>
        <v>0</v>
      </c>
      <c r="Q57" s="319">
        <f>'Cost Calculation'!L63</f>
        <v>0</v>
      </c>
      <c r="R57" s="319">
        <f>'Cost Calculation'!M63</f>
        <v>0</v>
      </c>
      <c r="S57" s="319">
        <f>'Cost Calculation'!N63</f>
        <v>0</v>
      </c>
      <c r="T57" s="318">
        <f>Pricing!P59</f>
        <v>0</v>
      </c>
      <c r="U57" s="317">
        <f>'Cost Calculation'!AC63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34" zoomScale="75" zoomScaleNormal="75" zoomScaleSheetLayoutView="75" workbookViewId="0">
      <selection activeCell="K65" sqref="K6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77.42578125" style="156" bestFit="1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419</v>
      </c>
      <c r="F2" s="137"/>
      <c r="G2" s="163"/>
      <c r="H2" s="323" t="s">
        <v>185</v>
      </c>
      <c r="I2" s="324"/>
      <c r="J2" s="165" t="s">
        <v>560</v>
      </c>
      <c r="K2" s="167"/>
      <c r="L2" s="104" t="s">
        <v>208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420</v>
      </c>
      <c r="F3" s="136" t="s">
        <v>183</v>
      </c>
      <c r="G3" s="162" t="s">
        <v>418</v>
      </c>
      <c r="H3" s="323" t="s">
        <v>186</v>
      </c>
      <c r="I3" s="324"/>
      <c r="J3" s="166">
        <v>43664</v>
      </c>
      <c r="K3" s="167"/>
      <c r="L3" s="104" t="s">
        <v>257</v>
      </c>
      <c r="M3" s="104" t="s">
        <v>382</v>
      </c>
    </row>
    <row r="4" spans="1:13" s="104" customFormat="1" ht="18">
      <c r="A4" s="322" t="s">
        <v>169</v>
      </c>
      <c r="B4" s="322"/>
      <c r="C4" s="322"/>
      <c r="D4" s="322"/>
      <c r="E4" s="162" t="s">
        <v>365</v>
      </c>
      <c r="F4" s="135"/>
      <c r="G4" s="164"/>
      <c r="H4" s="323" t="s">
        <v>187</v>
      </c>
      <c r="I4" s="324"/>
      <c r="J4" s="165" t="s">
        <v>403</v>
      </c>
      <c r="K4" s="167"/>
      <c r="L4" s="104" t="s">
        <v>258</v>
      </c>
      <c r="M4" s="104" t="s">
        <v>383</v>
      </c>
    </row>
    <row r="5" spans="1:13" s="104" customFormat="1">
      <c r="A5" s="322" t="s">
        <v>177</v>
      </c>
      <c r="B5" s="322"/>
      <c r="C5" s="322"/>
      <c r="D5" s="322"/>
      <c r="E5" s="162" t="s">
        <v>421</v>
      </c>
      <c r="F5" s="136" t="s">
        <v>184</v>
      </c>
      <c r="G5" s="162" t="s">
        <v>260</v>
      </c>
      <c r="H5" s="323" t="s">
        <v>375</v>
      </c>
      <c r="I5" s="324"/>
      <c r="J5" s="165"/>
      <c r="K5" s="167"/>
      <c r="L5" s="104" t="s">
        <v>259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261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403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425</v>
      </c>
      <c r="E9" s="113" t="s">
        <v>263</v>
      </c>
      <c r="F9" s="113" t="s">
        <v>426</v>
      </c>
      <c r="G9" s="113" t="s">
        <v>427</v>
      </c>
      <c r="H9" s="113">
        <v>3658</v>
      </c>
      <c r="I9" s="113">
        <v>2438</v>
      </c>
      <c r="J9" s="113">
        <v>1</v>
      </c>
      <c r="K9" s="123">
        <v>647.66</v>
      </c>
    </row>
    <row r="10" spans="1:13" ht="20.100000000000001" customHeight="1">
      <c r="A10" s="113">
        <v>2</v>
      </c>
      <c r="B10" s="113" t="s">
        <v>428</v>
      </c>
      <c r="C10" s="113" t="s">
        <v>423</v>
      </c>
      <c r="D10" s="113" t="s">
        <v>425</v>
      </c>
      <c r="E10" s="113" t="s">
        <v>263</v>
      </c>
      <c r="F10" s="113" t="s">
        <v>426</v>
      </c>
      <c r="G10" s="113" t="s">
        <v>429</v>
      </c>
      <c r="H10" s="113">
        <v>1524</v>
      </c>
      <c r="I10" s="113">
        <v>1372</v>
      </c>
      <c r="J10" s="113">
        <v>1</v>
      </c>
      <c r="K10" s="123">
        <v>343.15</v>
      </c>
      <c r="L10" s="47" t="s">
        <v>282</v>
      </c>
    </row>
    <row r="11" spans="1:13" ht="20.100000000000001" customHeight="1">
      <c r="A11" s="113">
        <v>3</v>
      </c>
      <c r="B11" s="113" t="s">
        <v>430</v>
      </c>
      <c r="C11" s="113" t="s">
        <v>423</v>
      </c>
      <c r="D11" s="113" t="s">
        <v>434</v>
      </c>
      <c r="E11" s="113" t="s">
        <v>263</v>
      </c>
      <c r="F11" s="113" t="s">
        <v>426</v>
      </c>
      <c r="G11" s="113" t="s">
        <v>432</v>
      </c>
      <c r="H11" s="113">
        <v>4521</v>
      </c>
      <c r="I11" s="113">
        <v>1676</v>
      </c>
      <c r="J11" s="113">
        <v>1</v>
      </c>
      <c r="K11" s="123">
        <v>673.36</v>
      </c>
      <c r="L11" s="47" t="s">
        <v>281</v>
      </c>
    </row>
    <row r="12" spans="1:13" ht="20.100000000000001" customHeight="1">
      <c r="A12" s="113">
        <v>4</v>
      </c>
      <c r="B12" s="113" t="s">
        <v>433</v>
      </c>
      <c r="C12" s="113" t="s">
        <v>423</v>
      </c>
      <c r="D12" s="113" t="s">
        <v>424</v>
      </c>
      <c r="E12" s="113" t="s">
        <v>263</v>
      </c>
      <c r="F12" s="113" t="s">
        <v>426</v>
      </c>
      <c r="G12" s="113" t="s">
        <v>435</v>
      </c>
      <c r="H12" s="113">
        <v>1524</v>
      </c>
      <c r="I12" s="113">
        <v>1372</v>
      </c>
      <c r="J12" s="113">
        <v>1</v>
      </c>
      <c r="K12" s="123">
        <v>343.15</v>
      </c>
      <c r="L12" s="47" t="s">
        <v>365</v>
      </c>
    </row>
    <row r="13" spans="1:13" ht="20.100000000000001" customHeight="1">
      <c r="A13" s="113">
        <v>5</v>
      </c>
      <c r="B13" s="113" t="s">
        <v>436</v>
      </c>
      <c r="C13" s="113" t="s">
        <v>423</v>
      </c>
      <c r="D13" s="113" t="s">
        <v>431</v>
      </c>
      <c r="E13" s="113" t="s">
        <v>263</v>
      </c>
      <c r="F13" s="113" t="s">
        <v>426</v>
      </c>
      <c r="G13" s="113" t="s">
        <v>437</v>
      </c>
      <c r="H13" s="113">
        <v>5486</v>
      </c>
      <c r="I13" s="113">
        <v>2438</v>
      </c>
      <c r="J13" s="113">
        <v>1</v>
      </c>
      <c r="K13" s="123">
        <v>872.93</v>
      </c>
      <c r="L13" s="47" t="s">
        <v>366</v>
      </c>
    </row>
    <row r="14" spans="1:13">
      <c r="A14" s="113">
        <v>6</v>
      </c>
      <c r="B14" s="113" t="s">
        <v>438</v>
      </c>
      <c r="C14" s="113" t="s">
        <v>423</v>
      </c>
      <c r="D14" s="113" t="s">
        <v>425</v>
      </c>
      <c r="E14" s="113" t="s">
        <v>263</v>
      </c>
      <c r="F14" s="113" t="s">
        <v>426</v>
      </c>
      <c r="G14" s="113" t="s">
        <v>439</v>
      </c>
      <c r="H14" s="113">
        <v>3658</v>
      </c>
      <c r="I14" s="113">
        <v>2438</v>
      </c>
      <c r="J14" s="113">
        <v>1</v>
      </c>
      <c r="K14" s="123">
        <v>647.66</v>
      </c>
      <c r="L14" s="47" t="s">
        <v>367</v>
      </c>
    </row>
    <row r="15" spans="1:13" ht="20.100000000000001" customHeight="1">
      <c r="A15" s="113">
        <v>7</v>
      </c>
      <c r="B15" s="113" t="s">
        <v>445</v>
      </c>
      <c r="C15" s="113" t="s">
        <v>440</v>
      </c>
      <c r="D15" s="113" t="s">
        <v>441</v>
      </c>
      <c r="E15" s="113" t="s">
        <v>263</v>
      </c>
      <c r="F15" s="113" t="s">
        <v>442</v>
      </c>
      <c r="G15" s="113" t="s">
        <v>443</v>
      </c>
      <c r="H15" s="113">
        <v>7061</v>
      </c>
      <c r="I15" s="113">
        <v>5690</v>
      </c>
      <c r="J15" s="113">
        <v>1</v>
      </c>
      <c r="K15" s="123">
        <v>1203.47</v>
      </c>
      <c r="L15" s="47" t="s">
        <v>368</v>
      </c>
    </row>
    <row r="16" spans="1:13" ht="20.100000000000001" customHeight="1">
      <c r="A16" s="113">
        <v>8</v>
      </c>
      <c r="B16" s="113" t="s">
        <v>444</v>
      </c>
      <c r="C16" s="113" t="s">
        <v>423</v>
      </c>
      <c r="D16" s="113" t="s">
        <v>425</v>
      </c>
      <c r="E16" s="113" t="s">
        <v>263</v>
      </c>
      <c r="F16" s="113" t="s">
        <v>426</v>
      </c>
      <c r="G16" s="113" t="s">
        <v>443</v>
      </c>
      <c r="H16" s="113">
        <v>3607</v>
      </c>
      <c r="I16" s="113">
        <v>2412</v>
      </c>
      <c r="J16" s="113">
        <v>1</v>
      </c>
      <c r="K16" s="123">
        <v>645.36</v>
      </c>
      <c r="L16" s="47" t="s">
        <v>369</v>
      </c>
    </row>
    <row r="17" spans="1:12" ht="20.100000000000001" customHeight="1">
      <c r="A17" s="113">
        <v>9</v>
      </c>
      <c r="B17" s="113" t="s">
        <v>446</v>
      </c>
      <c r="C17" s="113" t="s">
        <v>423</v>
      </c>
      <c r="D17" s="113" t="s">
        <v>425</v>
      </c>
      <c r="E17" s="113" t="s">
        <v>263</v>
      </c>
      <c r="F17" s="113" t="s">
        <v>426</v>
      </c>
      <c r="G17" s="113" t="s">
        <v>447</v>
      </c>
      <c r="H17" s="113">
        <v>4064</v>
      </c>
      <c r="I17" s="113">
        <v>2438</v>
      </c>
      <c r="J17" s="113">
        <v>1</v>
      </c>
      <c r="K17" s="123">
        <v>677.33</v>
      </c>
      <c r="L17" s="47" t="s">
        <v>370</v>
      </c>
    </row>
    <row r="18" spans="1:12" ht="20.100000000000001" customHeight="1">
      <c r="A18" s="113">
        <v>10</v>
      </c>
      <c r="B18" s="113" t="s">
        <v>448</v>
      </c>
      <c r="C18" s="113" t="s">
        <v>423</v>
      </c>
      <c r="D18" s="113" t="s">
        <v>425</v>
      </c>
      <c r="E18" s="113" t="s">
        <v>263</v>
      </c>
      <c r="F18" s="113" t="s">
        <v>426</v>
      </c>
      <c r="G18" s="113" t="s">
        <v>443</v>
      </c>
      <c r="H18" s="113">
        <v>2438</v>
      </c>
      <c r="I18" s="113">
        <v>2438</v>
      </c>
      <c r="J18" s="113">
        <v>1</v>
      </c>
      <c r="K18" s="123">
        <v>558.49</v>
      </c>
      <c r="L18" s="47" t="s">
        <v>371</v>
      </c>
    </row>
    <row r="19" spans="1:12" ht="20.100000000000001" customHeight="1">
      <c r="A19" s="113">
        <v>11</v>
      </c>
      <c r="B19" s="113" t="s">
        <v>449</v>
      </c>
      <c r="C19" s="113" t="s">
        <v>450</v>
      </c>
      <c r="D19" s="113" t="s">
        <v>451</v>
      </c>
      <c r="E19" s="113" t="s">
        <v>263</v>
      </c>
      <c r="F19" s="113" t="s">
        <v>442</v>
      </c>
      <c r="G19" s="113" t="s">
        <v>452</v>
      </c>
      <c r="H19" s="113">
        <v>1524</v>
      </c>
      <c r="I19" s="113">
        <v>2134</v>
      </c>
      <c r="J19" s="113">
        <v>3</v>
      </c>
      <c r="K19" s="123">
        <v>77.75</v>
      </c>
      <c r="L19" s="47" t="s">
        <v>372</v>
      </c>
    </row>
    <row r="20" spans="1:12">
      <c r="A20" s="113">
        <v>12</v>
      </c>
      <c r="B20" s="113" t="s">
        <v>453</v>
      </c>
      <c r="C20" s="113" t="s">
        <v>450</v>
      </c>
      <c r="D20" s="113" t="s">
        <v>454</v>
      </c>
      <c r="E20" s="113" t="s">
        <v>263</v>
      </c>
      <c r="F20" s="113" t="s">
        <v>455</v>
      </c>
      <c r="G20" s="113" t="s">
        <v>456</v>
      </c>
      <c r="H20" s="113">
        <v>711</v>
      </c>
      <c r="I20" s="113">
        <v>1676</v>
      </c>
      <c r="J20" s="113">
        <v>2</v>
      </c>
      <c r="K20" s="123">
        <v>163.30000000000001</v>
      </c>
      <c r="L20" s="47" t="s">
        <v>386</v>
      </c>
    </row>
    <row r="21" spans="1:12" ht="20.100000000000001" customHeight="1">
      <c r="A21" s="113">
        <v>13</v>
      </c>
      <c r="B21" s="113" t="s">
        <v>457</v>
      </c>
      <c r="C21" s="113" t="s">
        <v>450</v>
      </c>
      <c r="D21" s="113" t="s">
        <v>458</v>
      </c>
      <c r="E21" s="113" t="s">
        <v>263</v>
      </c>
      <c r="F21" s="113" t="s">
        <v>455</v>
      </c>
      <c r="G21" s="113" t="s">
        <v>459</v>
      </c>
      <c r="H21" s="113">
        <v>1321</v>
      </c>
      <c r="I21" s="113">
        <v>1676</v>
      </c>
      <c r="J21" s="113">
        <v>1</v>
      </c>
      <c r="K21" s="123">
        <v>270.76</v>
      </c>
      <c r="L21" s="47" t="s">
        <v>387</v>
      </c>
    </row>
    <row r="22" spans="1:12" ht="20.100000000000001" customHeight="1">
      <c r="A22" s="113">
        <v>14</v>
      </c>
      <c r="B22" s="113" t="s">
        <v>460</v>
      </c>
      <c r="C22" s="113" t="s">
        <v>450</v>
      </c>
      <c r="D22" s="113" t="s">
        <v>458</v>
      </c>
      <c r="E22" s="113" t="s">
        <v>263</v>
      </c>
      <c r="F22" s="113" t="s">
        <v>455</v>
      </c>
      <c r="G22" s="113" t="s">
        <v>461</v>
      </c>
      <c r="H22" s="113">
        <v>1930</v>
      </c>
      <c r="I22" s="113">
        <v>1981</v>
      </c>
      <c r="J22" s="113">
        <v>1</v>
      </c>
      <c r="K22" s="123">
        <v>324.10000000000002</v>
      </c>
      <c r="L22" s="47" t="s">
        <v>388</v>
      </c>
    </row>
    <row r="23" spans="1:12" ht="20.100000000000001" customHeight="1">
      <c r="A23" s="113">
        <v>15</v>
      </c>
      <c r="B23" s="113" t="s">
        <v>462</v>
      </c>
      <c r="C23" s="113" t="s">
        <v>450</v>
      </c>
      <c r="D23" s="113" t="s">
        <v>463</v>
      </c>
      <c r="E23" s="113" t="s">
        <v>263</v>
      </c>
      <c r="F23" s="113" t="s">
        <v>455</v>
      </c>
      <c r="G23" s="113" t="s">
        <v>464</v>
      </c>
      <c r="H23" s="113">
        <v>3150</v>
      </c>
      <c r="I23" s="113">
        <v>1372</v>
      </c>
      <c r="J23" s="113">
        <v>1</v>
      </c>
      <c r="K23" s="123">
        <v>343.91</v>
      </c>
      <c r="L23" s="47" t="s">
        <v>404</v>
      </c>
    </row>
    <row r="24" spans="1:12" ht="20.100000000000001" customHeight="1">
      <c r="A24" s="113">
        <v>16</v>
      </c>
      <c r="B24" s="113" t="s">
        <v>465</v>
      </c>
      <c r="C24" s="113" t="s">
        <v>450</v>
      </c>
      <c r="D24" s="113" t="s">
        <v>463</v>
      </c>
      <c r="E24" s="113" t="s">
        <v>263</v>
      </c>
      <c r="F24" s="113" t="s">
        <v>455</v>
      </c>
      <c r="G24" s="113" t="s">
        <v>466</v>
      </c>
      <c r="H24" s="113">
        <v>3162</v>
      </c>
      <c r="I24" s="113">
        <v>1676</v>
      </c>
      <c r="J24" s="113">
        <v>1</v>
      </c>
      <c r="K24" s="123">
        <v>377.33</v>
      </c>
    </row>
    <row r="25" spans="1:12" ht="20.100000000000001" customHeight="1">
      <c r="A25" s="113">
        <v>17</v>
      </c>
      <c r="B25" s="113" t="s">
        <v>467</v>
      </c>
      <c r="C25" s="113" t="s">
        <v>450</v>
      </c>
      <c r="D25" s="113" t="s">
        <v>468</v>
      </c>
      <c r="E25" s="113" t="s">
        <v>263</v>
      </c>
      <c r="F25" s="113" t="s">
        <v>455</v>
      </c>
      <c r="G25" s="113" t="s">
        <v>439</v>
      </c>
      <c r="H25" s="113">
        <v>3073</v>
      </c>
      <c r="I25" s="113">
        <v>1676</v>
      </c>
      <c r="J25" s="113">
        <v>2</v>
      </c>
      <c r="K25" s="123">
        <v>449.49</v>
      </c>
    </row>
    <row r="26" spans="1:12">
      <c r="A26" s="113">
        <v>18</v>
      </c>
      <c r="B26" s="113" t="s">
        <v>469</v>
      </c>
      <c r="C26" s="113" t="s">
        <v>450</v>
      </c>
      <c r="D26" s="113" t="s">
        <v>470</v>
      </c>
      <c r="E26" s="113" t="s">
        <v>263</v>
      </c>
      <c r="F26" s="113" t="s">
        <v>442</v>
      </c>
      <c r="G26" s="113" t="s">
        <v>471</v>
      </c>
      <c r="H26" s="113">
        <v>2833</v>
      </c>
      <c r="I26" s="113">
        <v>2438</v>
      </c>
      <c r="J26" s="113">
        <v>1</v>
      </c>
      <c r="K26" s="123">
        <v>252.13</v>
      </c>
    </row>
    <row r="27" spans="1:12" ht="20.100000000000001" customHeight="1">
      <c r="A27" s="113">
        <v>19</v>
      </c>
      <c r="B27" s="113" t="s">
        <v>472</v>
      </c>
      <c r="C27" s="113" t="s">
        <v>450</v>
      </c>
      <c r="D27" s="113" t="s">
        <v>473</v>
      </c>
      <c r="E27" s="113" t="s">
        <v>263</v>
      </c>
      <c r="F27" s="113" t="s">
        <v>455</v>
      </c>
      <c r="G27" s="113" t="s">
        <v>459</v>
      </c>
      <c r="H27" s="113">
        <v>2438</v>
      </c>
      <c r="I27" s="113">
        <v>2438</v>
      </c>
      <c r="J27" s="113">
        <v>1</v>
      </c>
      <c r="K27" s="123">
        <v>427.31</v>
      </c>
    </row>
    <row r="28" spans="1:12" ht="20.100000000000001" customHeight="1">
      <c r="A28" s="113">
        <v>20</v>
      </c>
      <c r="B28" s="113" t="s">
        <v>474</v>
      </c>
      <c r="C28" s="113" t="s">
        <v>450</v>
      </c>
      <c r="D28" s="113" t="s">
        <v>475</v>
      </c>
      <c r="E28" s="113" t="s">
        <v>263</v>
      </c>
      <c r="F28" s="113" t="s">
        <v>455</v>
      </c>
      <c r="G28" s="113" t="s">
        <v>476</v>
      </c>
      <c r="H28" s="113">
        <v>2235</v>
      </c>
      <c r="I28" s="113">
        <v>1372</v>
      </c>
      <c r="J28" s="113">
        <v>1</v>
      </c>
      <c r="K28" s="123">
        <v>533.37</v>
      </c>
    </row>
    <row r="29" spans="1:12" ht="20.100000000000001" customHeight="1">
      <c r="A29" s="113">
        <v>21</v>
      </c>
      <c r="B29" s="113" t="s">
        <v>477</v>
      </c>
      <c r="C29" s="113" t="s">
        <v>450</v>
      </c>
      <c r="D29" s="113" t="s">
        <v>478</v>
      </c>
      <c r="E29" s="113" t="s">
        <v>263</v>
      </c>
      <c r="F29" s="113" t="s">
        <v>455</v>
      </c>
      <c r="G29" s="113" t="s">
        <v>479</v>
      </c>
      <c r="H29" s="113">
        <v>2845</v>
      </c>
      <c r="I29" s="113">
        <v>1372</v>
      </c>
      <c r="J29" s="113">
        <v>2</v>
      </c>
      <c r="K29" s="123">
        <v>289.06</v>
      </c>
    </row>
    <row r="30" spans="1:12" ht="20.100000000000001" customHeight="1">
      <c r="A30" s="113">
        <v>22</v>
      </c>
      <c r="B30" s="113" t="s">
        <v>480</v>
      </c>
      <c r="C30" s="113" t="s">
        <v>450</v>
      </c>
      <c r="D30" s="113" t="s">
        <v>454</v>
      </c>
      <c r="E30" s="113" t="s">
        <v>263</v>
      </c>
      <c r="F30" s="113" t="s">
        <v>455</v>
      </c>
      <c r="G30" s="113" t="s">
        <v>439</v>
      </c>
      <c r="H30" s="113">
        <v>711</v>
      </c>
      <c r="I30" s="113">
        <v>1372</v>
      </c>
      <c r="J30" s="113">
        <v>4</v>
      </c>
      <c r="K30" s="123">
        <v>149.34</v>
      </c>
    </row>
    <row r="31" spans="1:12" ht="20.100000000000001" customHeight="1">
      <c r="A31" s="113">
        <v>23</v>
      </c>
      <c r="B31" s="113" t="s">
        <v>481</v>
      </c>
      <c r="C31" s="113" t="s">
        <v>450</v>
      </c>
      <c r="D31" s="113" t="s">
        <v>468</v>
      </c>
      <c r="E31" s="113" t="s">
        <v>263</v>
      </c>
      <c r="F31" s="113" t="s">
        <v>455</v>
      </c>
      <c r="G31" s="113" t="s">
        <v>439</v>
      </c>
      <c r="H31" s="113">
        <v>3251</v>
      </c>
      <c r="I31" s="113">
        <v>1676</v>
      </c>
      <c r="J31" s="113">
        <v>2</v>
      </c>
      <c r="K31" s="123">
        <v>452.99</v>
      </c>
    </row>
    <row r="32" spans="1:12">
      <c r="A32" s="113">
        <v>24</v>
      </c>
      <c r="B32" s="113" t="s">
        <v>482</v>
      </c>
      <c r="C32" s="113" t="s">
        <v>450</v>
      </c>
      <c r="D32" s="113" t="s">
        <v>483</v>
      </c>
      <c r="E32" s="113" t="s">
        <v>263</v>
      </c>
      <c r="F32" s="113" t="s">
        <v>455</v>
      </c>
      <c r="G32" s="113" t="s">
        <v>439</v>
      </c>
      <c r="H32" s="113">
        <v>1321</v>
      </c>
      <c r="I32" s="113">
        <v>1676</v>
      </c>
      <c r="J32" s="113">
        <v>2</v>
      </c>
      <c r="K32" s="123">
        <v>270.76</v>
      </c>
    </row>
    <row r="33" spans="1:11" ht="20.100000000000001" customHeight="1">
      <c r="A33" s="113">
        <v>25</v>
      </c>
      <c r="B33" s="113" t="s">
        <v>484</v>
      </c>
      <c r="C33" s="113" t="s">
        <v>485</v>
      </c>
      <c r="D33" s="113" t="s">
        <v>486</v>
      </c>
      <c r="E33" s="113" t="s">
        <v>487</v>
      </c>
      <c r="F33" s="113" t="s">
        <v>455</v>
      </c>
      <c r="G33" s="113" t="s">
        <v>488</v>
      </c>
      <c r="H33" s="113">
        <v>2350</v>
      </c>
      <c r="I33" s="113">
        <v>610</v>
      </c>
      <c r="J33" s="113">
        <v>1</v>
      </c>
      <c r="K33" s="123">
        <v>39.380000000000003</v>
      </c>
    </row>
    <row r="34" spans="1:11" ht="20.100000000000001" customHeight="1">
      <c r="A34" s="113">
        <v>26</v>
      </c>
      <c r="B34" s="113" t="s">
        <v>489</v>
      </c>
      <c r="C34" s="113" t="s">
        <v>485</v>
      </c>
      <c r="D34" s="113" t="s">
        <v>486</v>
      </c>
      <c r="E34" s="113" t="s">
        <v>487</v>
      </c>
      <c r="F34" s="113" t="s">
        <v>455</v>
      </c>
      <c r="G34" s="113" t="s">
        <v>435</v>
      </c>
      <c r="H34" s="113">
        <v>2121</v>
      </c>
      <c r="I34" s="113">
        <v>610</v>
      </c>
      <c r="J34" s="113">
        <v>1</v>
      </c>
      <c r="K34" s="123">
        <v>36.020000000000003</v>
      </c>
    </row>
    <row r="35" spans="1:11" ht="20.100000000000001" customHeight="1">
      <c r="A35" s="113">
        <v>27</v>
      </c>
      <c r="B35" s="113" t="s">
        <v>491</v>
      </c>
      <c r="C35" s="113" t="s">
        <v>485</v>
      </c>
      <c r="D35" s="113" t="s">
        <v>486</v>
      </c>
      <c r="E35" s="113" t="s">
        <v>487</v>
      </c>
      <c r="F35" s="113" t="s">
        <v>455</v>
      </c>
      <c r="G35" s="113" t="s">
        <v>490</v>
      </c>
      <c r="H35" s="113">
        <v>610</v>
      </c>
      <c r="I35" s="113">
        <v>610</v>
      </c>
      <c r="J35" s="113">
        <v>1</v>
      </c>
      <c r="K35" s="123">
        <v>13.83</v>
      </c>
    </row>
    <row r="36" spans="1:11" ht="20.100000000000001" customHeight="1">
      <c r="A36" s="113">
        <v>28</v>
      </c>
      <c r="B36" s="113" t="s">
        <v>492</v>
      </c>
      <c r="C36" s="113" t="s">
        <v>485</v>
      </c>
      <c r="D36" s="113" t="s">
        <v>486</v>
      </c>
      <c r="E36" s="113" t="s">
        <v>487</v>
      </c>
      <c r="F36" s="113" t="s">
        <v>455</v>
      </c>
      <c r="G36" s="113" t="s">
        <v>490</v>
      </c>
      <c r="H36" s="113">
        <v>1334</v>
      </c>
      <c r="I36" s="113">
        <v>610</v>
      </c>
      <c r="J36" s="113">
        <v>1</v>
      </c>
      <c r="K36" s="123">
        <v>24.46</v>
      </c>
    </row>
    <row r="37" spans="1:11" ht="20.100000000000001" customHeight="1">
      <c r="A37" s="113">
        <v>29</v>
      </c>
      <c r="B37" s="113" t="s">
        <v>493</v>
      </c>
      <c r="C37" s="113" t="s">
        <v>450</v>
      </c>
      <c r="D37" s="113" t="s">
        <v>495</v>
      </c>
      <c r="E37" s="113" t="s">
        <v>494</v>
      </c>
      <c r="F37" s="113" t="s">
        <v>455</v>
      </c>
      <c r="G37" s="113" t="s">
        <v>488</v>
      </c>
      <c r="H37" s="113">
        <v>4470</v>
      </c>
      <c r="I37" s="113">
        <v>610</v>
      </c>
      <c r="J37" s="113">
        <v>1</v>
      </c>
      <c r="K37" s="123">
        <v>321.75</v>
      </c>
    </row>
    <row r="38" spans="1:11">
      <c r="A38" s="113">
        <v>30</v>
      </c>
      <c r="B38" s="113" t="s">
        <v>496</v>
      </c>
      <c r="C38" s="113" t="s">
        <v>450</v>
      </c>
      <c r="D38" s="113" t="s">
        <v>454</v>
      </c>
      <c r="E38" s="113" t="s">
        <v>263</v>
      </c>
      <c r="F38" s="113" t="s">
        <v>455</v>
      </c>
      <c r="G38" s="113" t="s">
        <v>439</v>
      </c>
      <c r="H38" s="113">
        <v>914</v>
      </c>
      <c r="I38" s="113">
        <v>914</v>
      </c>
      <c r="J38" s="113">
        <v>7</v>
      </c>
      <c r="K38" s="123">
        <v>135.56</v>
      </c>
    </row>
    <row r="39" spans="1:11" ht="20.100000000000001" customHeight="1">
      <c r="A39" s="113">
        <v>31</v>
      </c>
      <c r="B39" s="113" t="s">
        <v>497</v>
      </c>
      <c r="C39" s="113" t="s">
        <v>450</v>
      </c>
      <c r="D39" s="113" t="s">
        <v>454</v>
      </c>
      <c r="E39" s="113" t="s">
        <v>263</v>
      </c>
      <c r="F39" s="113" t="s">
        <v>455</v>
      </c>
      <c r="G39" s="113" t="s">
        <v>439</v>
      </c>
      <c r="H39" s="113">
        <v>711</v>
      </c>
      <c r="I39" s="113">
        <v>914</v>
      </c>
      <c r="J39" s="113">
        <v>2</v>
      </c>
      <c r="K39" s="123">
        <v>124.38</v>
      </c>
    </row>
    <row r="40" spans="1:11" ht="20.100000000000001" customHeight="1">
      <c r="A40" s="113">
        <v>32</v>
      </c>
      <c r="B40" s="113" t="s">
        <v>498</v>
      </c>
      <c r="C40" s="113" t="s">
        <v>450</v>
      </c>
      <c r="D40" s="113" t="s">
        <v>468</v>
      </c>
      <c r="E40" s="113" t="s">
        <v>494</v>
      </c>
      <c r="F40" s="113" t="s">
        <v>455</v>
      </c>
      <c r="G40" s="113" t="s">
        <v>439</v>
      </c>
      <c r="H40" s="113">
        <v>2743</v>
      </c>
      <c r="I40" s="113">
        <v>610</v>
      </c>
      <c r="J40" s="113">
        <v>2</v>
      </c>
      <c r="K40" s="123">
        <v>274.52</v>
      </c>
    </row>
    <row r="41" spans="1:11" ht="20.100000000000001" customHeight="1">
      <c r="A41" s="113">
        <v>33</v>
      </c>
      <c r="B41" s="113" t="s">
        <v>499</v>
      </c>
      <c r="C41" s="113" t="s">
        <v>450</v>
      </c>
      <c r="D41" s="113" t="s">
        <v>468</v>
      </c>
      <c r="E41" s="113" t="s">
        <v>494</v>
      </c>
      <c r="F41" s="113" t="s">
        <v>455</v>
      </c>
      <c r="G41" s="113" t="s">
        <v>500</v>
      </c>
      <c r="H41" s="113">
        <v>3073</v>
      </c>
      <c r="I41" s="113">
        <v>610</v>
      </c>
      <c r="J41" s="113">
        <v>1</v>
      </c>
      <c r="K41" s="123">
        <v>283.54000000000002</v>
      </c>
    </row>
    <row r="42" spans="1:11">
      <c r="A42" s="113">
        <v>34</v>
      </c>
      <c r="B42" s="113" t="s">
        <v>501</v>
      </c>
      <c r="C42" s="113" t="s">
        <v>450</v>
      </c>
      <c r="D42" s="113" t="s">
        <v>502</v>
      </c>
      <c r="E42" s="113" t="s">
        <v>263</v>
      </c>
      <c r="F42" s="113" t="s">
        <v>455</v>
      </c>
      <c r="G42" s="113" t="s">
        <v>503</v>
      </c>
      <c r="H42" s="113">
        <v>5385</v>
      </c>
      <c r="I42" s="113">
        <v>1676</v>
      </c>
      <c r="J42" s="113">
        <v>1</v>
      </c>
      <c r="K42" s="123">
        <v>596.22</v>
      </c>
    </row>
    <row r="43" spans="1:11" ht="20.100000000000001" customHeight="1">
      <c r="A43" s="113">
        <v>35</v>
      </c>
      <c r="B43" s="113" t="s">
        <v>504</v>
      </c>
      <c r="C43" s="113" t="s">
        <v>450</v>
      </c>
      <c r="D43" s="113" t="s">
        <v>505</v>
      </c>
      <c r="E43" s="113" t="s">
        <v>263</v>
      </c>
      <c r="F43" s="113" t="s">
        <v>455</v>
      </c>
      <c r="G43" s="113" t="s">
        <v>506</v>
      </c>
      <c r="H43" s="113">
        <v>5791</v>
      </c>
      <c r="I43" s="113">
        <v>1372</v>
      </c>
      <c r="J43" s="113">
        <v>1</v>
      </c>
      <c r="K43" s="123">
        <v>644.94000000000005</v>
      </c>
    </row>
    <row r="44" spans="1:11" ht="20.100000000000001" customHeight="1">
      <c r="A44" s="113">
        <v>36</v>
      </c>
      <c r="B44" s="113" t="s">
        <v>507</v>
      </c>
      <c r="C44" s="113" t="s">
        <v>450</v>
      </c>
      <c r="D44" s="113" t="s">
        <v>508</v>
      </c>
      <c r="E44" s="113" t="s">
        <v>263</v>
      </c>
      <c r="F44" s="113" t="s">
        <v>442</v>
      </c>
      <c r="G44" s="113" t="s">
        <v>509</v>
      </c>
      <c r="H44" s="113">
        <v>9398</v>
      </c>
      <c r="I44" s="113">
        <v>3200</v>
      </c>
      <c r="J44" s="113">
        <v>1</v>
      </c>
      <c r="K44" s="123">
        <v>969.92</v>
      </c>
    </row>
    <row r="45" spans="1:11" ht="20.100000000000001" customHeight="1">
      <c r="A45" s="113">
        <v>37</v>
      </c>
      <c r="B45" s="113" t="s">
        <v>510</v>
      </c>
      <c r="C45" s="113" t="s">
        <v>450</v>
      </c>
      <c r="D45" s="113" t="s">
        <v>511</v>
      </c>
      <c r="E45" s="113" t="s">
        <v>263</v>
      </c>
      <c r="F45" s="113" t="s">
        <v>455</v>
      </c>
      <c r="G45" s="113" t="s">
        <v>512</v>
      </c>
      <c r="H45" s="113">
        <v>4762</v>
      </c>
      <c r="I45" s="113">
        <v>3200</v>
      </c>
      <c r="J45" s="113">
        <v>1</v>
      </c>
      <c r="K45" s="123">
        <v>961.77</v>
      </c>
    </row>
    <row r="46" spans="1:11" ht="20.100000000000001" customHeight="1">
      <c r="A46" s="113">
        <v>38</v>
      </c>
      <c r="B46" s="113" t="s">
        <v>513</v>
      </c>
      <c r="C46" s="113" t="s">
        <v>514</v>
      </c>
      <c r="D46" s="113" t="s">
        <v>515</v>
      </c>
      <c r="E46" s="113" t="s">
        <v>263</v>
      </c>
      <c r="F46" s="113" t="s">
        <v>455</v>
      </c>
      <c r="G46" s="113" t="s">
        <v>443</v>
      </c>
      <c r="H46" s="113">
        <v>6452</v>
      </c>
      <c r="I46" s="113">
        <v>4280</v>
      </c>
      <c r="J46" s="113">
        <v>1</v>
      </c>
      <c r="K46" s="123">
        <v>2151.91</v>
      </c>
    </row>
    <row r="47" spans="1:11" ht="20.100000000000001" customHeight="1">
      <c r="A47" s="113">
        <v>39</v>
      </c>
      <c r="B47" s="113" t="s">
        <v>516</v>
      </c>
      <c r="C47" s="113" t="s">
        <v>450</v>
      </c>
      <c r="D47" s="113" t="s">
        <v>517</v>
      </c>
      <c r="E47" s="113" t="s">
        <v>263</v>
      </c>
      <c r="F47" s="113" t="s">
        <v>455</v>
      </c>
      <c r="G47" s="113" t="s">
        <v>518</v>
      </c>
      <c r="H47" s="113">
        <v>5131</v>
      </c>
      <c r="I47" s="113">
        <v>1676</v>
      </c>
      <c r="J47" s="113">
        <v>1</v>
      </c>
      <c r="K47" s="123">
        <v>1207.67</v>
      </c>
    </row>
    <row r="48" spans="1:11">
      <c r="A48" s="113">
        <v>40</v>
      </c>
      <c r="B48" s="113" t="s">
        <v>519</v>
      </c>
      <c r="C48" s="113" t="s">
        <v>450</v>
      </c>
      <c r="D48" s="113" t="s">
        <v>520</v>
      </c>
      <c r="E48" s="113" t="s">
        <v>263</v>
      </c>
      <c r="F48" s="113" t="s">
        <v>455</v>
      </c>
      <c r="G48" s="113" t="s">
        <v>512</v>
      </c>
      <c r="H48" s="113">
        <v>4648</v>
      </c>
      <c r="I48" s="113">
        <v>1676</v>
      </c>
      <c r="J48" s="113">
        <v>1</v>
      </c>
      <c r="K48" s="123">
        <v>676.18</v>
      </c>
    </row>
    <row r="49" spans="1:11" ht="20.100000000000001" customHeight="1">
      <c r="A49" s="113">
        <v>41</v>
      </c>
      <c r="B49" s="113" t="s">
        <v>521</v>
      </c>
      <c r="C49" s="113" t="s">
        <v>450</v>
      </c>
      <c r="D49" s="113" t="s">
        <v>470</v>
      </c>
      <c r="E49" s="113" t="s">
        <v>263</v>
      </c>
      <c r="F49" s="113" t="s">
        <v>442</v>
      </c>
      <c r="G49" s="113" t="s">
        <v>447</v>
      </c>
      <c r="H49" s="113">
        <v>4197</v>
      </c>
      <c r="I49" s="113">
        <v>1397</v>
      </c>
      <c r="J49" s="113">
        <v>1</v>
      </c>
      <c r="K49" s="123">
        <v>202.04</v>
      </c>
    </row>
    <row r="50" spans="1:11" ht="20.100000000000001" customHeight="1">
      <c r="A50" s="113">
        <v>42</v>
      </c>
      <c r="B50" s="113" t="s">
        <v>522</v>
      </c>
      <c r="C50" s="113" t="s">
        <v>450</v>
      </c>
      <c r="D50" s="113" t="s">
        <v>523</v>
      </c>
      <c r="E50" s="113" t="s">
        <v>263</v>
      </c>
      <c r="F50" s="113" t="s">
        <v>455</v>
      </c>
      <c r="G50" s="113" t="s">
        <v>471</v>
      </c>
      <c r="H50" s="113">
        <v>2946</v>
      </c>
      <c r="I50" s="113">
        <v>1524</v>
      </c>
      <c r="J50" s="113">
        <v>1</v>
      </c>
      <c r="K50" s="123">
        <v>302.70999999999998</v>
      </c>
    </row>
    <row r="51" spans="1:11" ht="20.100000000000001" customHeight="1">
      <c r="A51" s="113">
        <v>43</v>
      </c>
      <c r="B51" s="113" t="s">
        <v>472</v>
      </c>
      <c r="C51" s="113" t="s">
        <v>450</v>
      </c>
      <c r="D51" s="113" t="s">
        <v>524</v>
      </c>
      <c r="E51" s="113" t="s">
        <v>263</v>
      </c>
      <c r="F51" s="113" t="s">
        <v>442</v>
      </c>
      <c r="G51" s="113" t="s">
        <v>459</v>
      </c>
      <c r="H51" s="113">
        <v>1778</v>
      </c>
      <c r="I51" s="113">
        <v>2438</v>
      </c>
      <c r="J51" s="113">
        <v>1</v>
      </c>
      <c r="K51" s="123">
        <v>183.85</v>
      </c>
    </row>
    <row r="52" spans="1:11" ht="20.100000000000001" customHeight="1">
      <c r="A52" s="113">
        <v>44</v>
      </c>
      <c r="B52" s="113" t="s">
        <v>525</v>
      </c>
      <c r="C52" s="113" t="s">
        <v>526</v>
      </c>
      <c r="D52" s="113" t="s">
        <v>527</v>
      </c>
      <c r="E52" s="113" t="s">
        <v>263</v>
      </c>
      <c r="F52" s="113" t="s">
        <v>455</v>
      </c>
      <c r="G52" s="113" t="s">
        <v>528</v>
      </c>
      <c r="H52" s="113">
        <v>2997</v>
      </c>
      <c r="I52" s="113">
        <v>2438</v>
      </c>
      <c r="J52" s="113">
        <v>1</v>
      </c>
      <c r="K52" s="123">
        <v>646.98</v>
      </c>
    </row>
    <row r="53" spans="1:11" ht="20.100000000000001" customHeight="1">
      <c r="A53" s="113">
        <v>45</v>
      </c>
      <c r="B53" s="113" t="s">
        <v>529</v>
      </c>
      <c r="C53" s="113" t="s">
        <v>526</v>
      </c>
      <c r="D53" s="113" t="s">
        <v>530</v>
      </c>
      <c r="E53" s="113" t="s">
        <v>263</v>
      </c>
      <c r="F53" s="113" t="s">
        <v>455</v>
      </c>
      <c r="G53" s="113" t="s">
        <v>531</v>
      </c>
      <c r="H53" s="113">
        <v>4648</v>
      </c>
      <c r="I53" s="113">
        <v>2438</v>
      </c>
      <c r="J53" s="113">
        <v>1</v>
      </c>
      <c r="K53" s="123">
        <v>1008.82</v>
      </c>
    </row>
    <row r="54" spans="1:11">
      <c r="A54" s="113">
        <v>46</v>
      </c>
      <c r="B54" s="113" t="s">
        <v>532</v>
      </c>
      <c r="C54" s="113" t="s">
        <v>526</v>
      </c>
      <c r="D54" s="113" t="s">
        <v>530</v>
      </c>
      <c r="E54" s="113" t="s">
        <v>263</v>
      </c>
      <c r="F54" s="113" t="s">
        <v>455</v>
      </c>
      <c r="G54" s="113" t="s">
        <v>533</v>
      </c>
      <c r="H54" s="113">
        <v>3340</v>
      </c>
      <c r="I54" s="113">
        <v>2438</v>
      </c>
      <c r="J54" s="113">
        <v>1</v>
      </c>
      <c r="K54" s="123">
        <v>924.21</v>
      </c>
    </row>
    <row r="55" spans="1:11" ht="20.100000000000001" customHeight="1">
      <c r="A55" s="113">
        <v>47</v>
      </c>
      <c r="B55" s="113" t="s">
        <v>534</v>
      </c>
      <c r="C55" s="113" t="s">
        <v>450</v>
      </c>
      <c r="D55" s="113" t="s">
        <v>535</v>
      </c>
      <c r="E55" s="113" t="s">
        <v>263</v>
      </c>
      <c r="F55" s="113" t="s">
        <v>442</v>
      </c>
      <c r="G55" s="113" t="s">
        <v>435</v>
      </c>
      <c r="H55" s="113">
        <v>1067</v>
      </c>
      <c r="I55" s="113">
        <v>2438</v>
      </c>
      <c r="J55" s="113">
        <v>2</v>
      </c>
      <c r="K55" s="123">
        <v>229.12</v>
      </c>
    </row>
    <row r="56" spans="1:11" ht="20.100000000000001" customHeight="1">
      <c r="A56" s="113">
        <v>48</v>
      </c>
      <c r="B56" s="113" t="s">
        <v>536</v>
      </c>
      <c r="C56" s="113" t="s">
        <v>450</v>
      </c>
      <c r="D56" s="113" t="s">
        <v>535</v>
      </c>
      <c r="E56" s="113" t="s">
        <v>263</v>
      </c>
      <c r="F56" s="113" t="s">
        <v>442</v>
      </c>
      <c r="G56" s="113" t="s">
        <v>435</v>
      </c>
      <c r="H56" s="113">
        <v>914</v>
      </c>
      <c r="I56" s="113">
        <v>2438</v>
      </c>
      <c r="J56" s="113">
        <v>19</v>
      </c>
      <c r="K56" s="123">
        <v>221.34</v>
      </c>
    </row>
    <row r="57" spans="1:11" ht="20.100000000000001" customHeight="1">
      <c r="A57" s="113">
        <v>49</v>
      </c>
      <c r="B57" s="113" t="s">
        <v>537</v>
      </c>
      <c r="C57" s="113" t="s">
        <v>450</v>
      </c>
      <c r="D57" s="113" t="s">
        <v>535</v>
      </c>
      <c r="E57" s="113" t="s">
        <v>263</v>
      </c>
      <c r="F57" s="113" t="s">
        <v>442</v>
      </c>
      <c r="G57" s="113" t="s">
        <v>435</v>
      </c>
      <c r="H57" s="113">
        <v>762</v>
      </c>
      <c r="I57" s="113">
        <v>2438</v>
      </c>
      <c r="J57" s="113">
        <v>16</v>
      </c>
      <c r="K57" s="123">
        <v>213.62</v>
      </c>
    </row>
    <row r="58" spans="1:11" ht="20.100000000000001" customHeight="1">
      <c r="A58" s="113">
        <v>50</v>
      </c>
      <c r="B58" s="113" t="s">
        <v>538</v>
      </c>
      <c r="C58" s="113" t="s">
        <v>539</v>
      </c>
      <c r="D58" s="113" t="s">
        <v>540</v>
      </c>
      <c r="E58" s="113" t="s">
        <v>263</v>
      </c>
      <c r="F58" s="113" t="s">
        <v>442</v>
      </c>
      <c r="G58" s="113" t="s">
        <v>541</v>
      </c>
      <c r="H58" s="113">
        <v>2210</v>
      </c>
      <c r="I58" s="113">
        <v>4115</v>
      </c>
      <c r="J58" s="113">
        <v>1</v>
      </c>
      <c r="K58" s="123">
        <v>817.48</v>
      </c>
    </row>
    <row r="59" spans="1:11" ht="20.100000000000001" customHeight="1">
      <c r="A59" s="113">
        <v>51</v>
      </c>
      <c r="B59" s="113" t="s">
        <v>542</v>
      </c>
      <c r="C59" s="113" t="s">
        <v>450</v>
      </c>
      <c r="D59" s="113" t="s">
        <v>543</v>
      </c>
      <c r="E59" s="113" t="s">
        <v>263</v>
      </c>
      <c r="F59" s="113" t="s">
        <v>442</v>
      </c>
      <c r="G59" s="113" t="s">
        <v>544</v>
      </c>
      <c r="H59" s="113">
        <v>2033</v>
      </c>
      <c r="I59" s="113">
        <v>4115</v>
      </c>
      <c r="J59" s="113">
        <v>1</v>
      </c>
      <c r="K59" s="123">
        <v>424.55</v>
      </c>
    </row>
    <row r="60" spans="1:11" ht="20.100000000000001" customHeight="1">
      <c r="A60" s="113">
        <v>52</v>
      </c>
      <c r="B60" s="113" t="s">
        <v>545</v>
      </c>
      <c r="C60" s="113" t="s">
        <v>423</v>
      </c>
      <c r="D60" s="113" t="s">
        <v>546</v>
      </c>
      <c r="E60" s="113" t="s">
        <v>263</v>
      </c>
      <c r="F60" s="113" t="s">
        <v>442</v>
      </c>
      <c r="G60" s="113" t="s">
        <v>437</v>
      </c>
      <c r="H60" s="113">
        <v>6098</v>
      </c>
      <c r="I60" s="113">
        <v>2438</v>
      </c>
      <c r="J60" s="113">
        <v>1</v>
      </c>
      <c r="K60" s="123">
        <v>737.79</v>
      </c>
    </row>
    <row r="61" spans="1:11" ht="20.100000000000001" customHeight="1">
      <c r="A61" s="113">
        <v>53</v>
      </c>
      <c r="B61" s="113" t="s">
        <v>547</v>
      </c>
      <c r="C61" s="113" t="s">
        <v>423</v>
      </c>
      <c r="D61" s="113" t="s">
        <v>546</v>
      </c>
      <c r="E61" s="113" t="s">
        <v>263</v>
      </c>
      <c r="F61" s="113" t="s">
        <v>442</v>
      </c>
      <c r="G61" s="113" t="s">
        <v>459</v>
      </c>
      <c r="H61" s="113">
        <v>1981</v>
      </c>
      <c r="I61" s="113">
        <v>2438</v>
      </c>
      <c r="J61" s="113">
        <v>1</v>
      </c>
      <c r="K61" s="123">
        <v>371.05</v>
      </c>
    </row>
    <row r="62" spans="1:11" ht="20.100000000000001" customHeight="1">
      <c r="A62" s="113">
        <v>54</v>
      </c>
      <c r="B62" s="113" t="s">
        <v>548</v>
      </c>
      <c r="C62" s="113" t="s">
        <v>423</v>
      </c>
      <c r="D62" s="113" t="s">
        <v>546</v>
      </c>
      <c r="E62" s="113" t="s">
        <v>263</v>
      </c>
      <c r="F62" s="113" t="s">
        <v>442</v>
      </c>
      <c r="G62" s="113" t="s">
        <v>476</v>
      </c>
      <c r="H62" s="113">
        <v>5182</v>
      </c>
      <c r="I62" s="113">
        <v>2438</v>
      </c>
      <c r="J62" s="113">
        <v>1</v>
      </c>
      <c r="K62" s="123">
        <v>745.77</v>
      </c>
    </row>
    <row r="63" spans="1:11" ht="20.100000000000001" customHeight="1">
      <c r="A63" s="113">
        <v>55</v>
      </c>
      <c r="B63" s="113" t="s">
        <v>549</v>
      </c>
      <c r="C63" s="113" t="s">
        <v>423</v>
      </c>
      <c r="D63" s="113" t="s">
        <v>546</v>
      </c>
      <c r="E63" s="113" t="s">
        <v>263</v>
      </c>
      <c r="F63" s="113" t="s">
        <v>442</v>
      </c>
      <c r="G63" s="113" t="s">
        <v>512</v>
      </c>
      <c r="H63" s="113">
        <v>2210</v>
      </c>
      <c r="I63" s="113">
        <v>2438</v>
      </c>
      <c r="J63" s="113">
        <v>2</v>
      </c>
      <c r="K63" s="123">
        <v>385.06</v>
      </c>
    </row>
    <row r="64" spans="1:11">
      <c r="A64" s="113">
        <v>56</v>
      </c>
      <c r="B64" s="113" t="s">
        <v>550</v>
      </c>
      <c r="C64" s="113" t="s">
        <v>423</v>
      </c>
      <c r="D64" s="113" t="s">
        <v>546</v>
      </c>
      <c r="E64" s="113" t="s">
        <v>263</v>
      </c>
      <c r="F64" s="113" t="s">
        <v>442</v>
      </c>
      <c r="G64" s="113" t="s">
        <v>435</v>
      </c>
      <c r="H64" s="113">
        <v>1981</v>
      </c>
      <c r="I64" s="113">
        <v>2438</v>
      </c>
      <c r="J64" s="113">
        <v>4</v>
      </c>
      <c r="K64" s="123">
        <v>371.05</v>
      </c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15" sqref="Q15"/>
    </sheetView>
  </sheetViews>
  <sheetFormatPr defaultRowHeight="15"/>
  <cols>
    <col min="1" max="1" width="7.42578125" style="114" customWidth="1"/>
    <col min="2" max="3" width="10.42578125" style="114" customWidth="1"/>
    <col min="4" max="4" width="53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277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SW1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DINING</v>
      </c>
      <c r="G4" s="118">
        <f>'BD Team'!H9</f>
        <v>3658</v>
      </c>
      <c r="H4" s="118">
        <f>'BD Team'!I9</f>
        <v>2438</v>
      </c>
      <c r="I4" s="118">
        <f>'BD Team'!J9</f>
        <v>1</v>
      </c>
      <c r="J4" s="103">
        <f t="shared" ref="J4:J53" si="0">G4*H4*I4*10.764/1000000</f>
        <v>95.995547855999988</v>
      </c>
      <c r="K4" s="172">
        <f>'BD Team'!K9</f>
        <v>647.66</v>
      </c>
      <c r="L4" s="171">
        <f>K4*I4</f>
        <v>647.66</v>
      </c>
      <c r="M4" s="170">
        <f>L4*'Changable Values'!$D$4</f>
        <v>53755.78</v>
      </c>
      <c r="N4" s="170" t="str">
        <f>'BD Team'!E9</f>
        <v>24MM</v>
      </c>
      <c r="O4" s="172">
        <v>2805</v>
      </c>
      <c r="P4" s="241"/>
      <c r="Q4" s="173">
        <f>50*10.764</f>
        <v>538.19999999999993</v>
      </c>
      <c r="R4" s="185"/>
      <c r="S4" s="312">
        <f>'MS insert'!P5</f>
        <v>735.93749999999989</v>
      </c>
      <c r="T4" s="313">
        <f>(G4+H4)*I4*2/300</f>
        <v>40.64</v>
      </c>
      <c r="U4" s="313">
        <f>SUM(G4:H4)*I4*2*4/1000</f>
        <v>48.768000000000001</v>
      </c>
      <c r="V4" s="313">
        <f>SUM(G4:H4)*I4*5*5*4/(1000*240)</f>
        <v>2.54</v>
      </c>
      <c r="W4" s="313">
        <f>T4</f>
        <v>40.64</v>
      </c>
      <c r="X4" s="313">
        <f>W4*2</f>
        <v>81.28</v>
      </c>
      <c r="Y4" s="313">
        <f>SUM(G4:H4)*I4*4/1000</f>
        <v>24.384</v>
      </c>
    </row>
    <row r="5" spans="1:25">
      <c r="A5" s="118">
        <f>'BD Team'!A10</f>
        <v>2</v>
      </c>
      <c r="B5" s="118" t="str">
        <f>'BD Team'!B10</f>
        <v>SW2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UTILITY</v>
      </c>
      <c r="G5" s="118">
        <f>'BD Team'!H10</f>
        <v>1524</v>
      </c>
      <c r="H5" s="118">
        <f>'BD Team'!I10</f>
        <v>1372</v>
      </c>
      <c r="I5" s="118">
        <f>'BD Team'!J10</f>
        <v>1</v>
      </c>
      <c r="J5" s="103">
        <f t="shared" si="0"/>
        <v>22.506748991999999</v>
      </c>
      <c r="K5" s="172">
        <f>'BD Team'!K10</f>
        <v>343.15</v>
      </c>
      <c r="L5" s="171">
        <f t="shared" ref="L5:L53" si="1">K5*I5</f>
        <v>343.15</v>
      </c>
      <c r="M5" s="170">
        <f>L5*'Changable Values'!$D$4</f>
        <v>28481.449999999997</v>
      </c>
      <c r="N5" s="170" t="str">
        <f>'BD Team'!E10</f>
        <v>24MM</v>
      </c>
      <c r="O5" s="172">
        <v>2805</v>
      </c>
      <c r="P5" s="241"/>
      <c r="Q5" s="173">
        <f t="shared" ref="Q5:Q9" si="2">50*10.764</f>
        <v>538.19999999999993</v>
      </c>
      <c r="R5" s="185"/>
      <c r="S5" s="312"/>
      <c r="T5" s="313">
        <f t="shared" ref="T5:T68" si="3">(G5+H5)*I5*2/300</f>
        <v>19.306666666666668</v>
      </c>
      <c r="U5" s="313">
        <f t="shared" ref="U5:U68" si="4">SUM(G5:H5)*I5*2*4/1000</f>
        <v>23.167999999999999</v>
      </c>
      <c r="V5" s="313">
        <f t="shared" ref="V5:V68" si="5">SUM(G5:H5)*I5*5*5*4/(1000*240)</f>
        <v>1.2066666666666668</v>
      </c>
      <c r="W5" s="313">
        <f t="shared" ref="W5:W68" si="6">T5</f>
        <v>19.306666666666668</v>
      </c>
      <c r="X5" s="313">
        <f t="shared" ref="X5:X68" si="7">W5*2</f>
        <v>38.613333333333337</v>
      </c>
      <c r="Y5" s="313">
        <f t="shared" ref="Y5:Y68" si="8">SUM(G5:H5)*I5*4/1000</f>
        <v>11.584</v>
      </c>
    </row>
    <row r="6" spans="1:25">
      <c r="A6" s="118">
        <f>'BD Team'!A11</f>
        <v>3</v>
      </c>
      <c r="B6" s="118" t="str">
        <f>'BD Team'!B11</f>
        <v>SW3</v>
      </c>
      <c r="C6" s="118" t="str">
        <f>'BD Team'!C11</f>
        <v>M14600</v>
      </c>
      <c r="D6" s="118" t="str">
        <f>'BD Team'!D11</f>
        <v>3 TRACK 2 SHUTTER SLIDING WINDOW WITH BOTH ENDS FIXED</v>
      </c>
      <c r="E6" s="118" t="str">
        <f>'BD Team'!F11</f>
        <v>SS</v>
      </c>
      <c r="F6" s="121" t="str">
        <f>'BD Team'!G11</f>
        <v>GRANDMOTHER ROOM</v>
      </c>
      <c r="G6" s="118">
        <f>'BD Team'!H11</f>
        <v>4521</v>
      </c>
      <c r="H6" s="118">
        <f>'BD Team'!I11</f>
        <v>1676</v>
      </c>
      <c r="I6" s="118">
        <f>'BD Team'!J11</f>
        <v>1</v>
      </c>
      <c r="J6" s="103">
        <f t="shared" si="0"/>
        <v>81.560937743999986</v>
      </c>
      <c r="K6" s="172">
        <f>'BD Team'!K11</f>
        <v>673.36</v>
      </c>
      <c r="L6" s="171">
        <f t="shared" si="1"/>
        <v>673.36</v>
      </c>
      <c r="M6" s="170">
        <f>L6*'Changable Values'!$D$4</f>
        <v>55888.880000000005</v>
      </c>
      <c r="N6" s="170" t="str">
        <f>'BD Team'!E11</f>
        <v>24MM</v>
      </c>
      <c r="O6" s="172">
        <v>2805</v>
      </c>
      <c r="P6" s="241"/>
      <c r="Q6" s="173">
        <f t="shared" si="2"/>
        <v>538.19999999999993</v>
      </c>
      <c r="R6" s="185"/>
      <c r="S6" s="312">
        <f>'MS insert'!P6</f>
        <v>500.43749999999989</v>
      </c>
      <c r="T6" s="313">
        <f t="shared" si="3"/>
        <v>41.313333333333333</v>
      </c>
      <c r="U6" s="313">
        <f t="shared" si="4"/>
        <v>49.576000000000001</v>
      </c>
      <c r="V6" s="313">
        <f t="shared" si="5"/>
        <v>2.5820833333333333</v>
      </c>
      <c r="W6" s="313">
        <f t="shared" si="6"/>
        <v>41.313333333333333</v>
      </c>
      <c r="X6" s="313">
        <f t="shared" si="7"/>
        <v>82.626666666666665</v>
      </c>
      <c r="Y6" s="313">
        <f t="shared" si="8"/>
        <v>24.788</v>
      </c>
    </row>
    <row r="7" spans="1:25">
      <c r="A7" s="118">
        <f>'BD Team'!A12</f>
        <v>4</v>
      </c>
      <c r="B7" s="118" t="str">
        <f>'BD Team'!B12</f>
        <v>SW4</v>
      </c>
      <c r="C7" s="118" t="str">
        <f>'BD Team'!C12</f>
        <v>M14600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NA</v>
      </c>
      <c r="G7" s="118">
        <f>'BD Team'!H12</f>
        <v>1524</v>
      </c>
      <c r="H7" s="118">
        <f>'BD Team'!I12</f>
        <v>1372</v>
      </c>
      <c r="I7" s="118">
        <f>'BD Team'!J12</f>
        <v>1</v>
      </c>
      <c r="J7" s="103">
        <f t="shared" si="0"/>
        <v>22.506748991999999</v>
      </c>
      <c r="K7" s="172">
        <f>'BD Team'!K12</f>
        <v>343.15</v>
      </c>
      <c r="L7" s="171">
        <f t="shared" si="1"/>
        <v>343.15</v>
      </c>
      <c r="M7" s="170">
        <f>L7*'Changable Values'!$D$4</f>
        <v>28481.449999999997</v>
      </c>
      <c r="N7" s="170" t="str">
        <f>'BD Team'!E12</f>
        <v>24MM</v>
      </c>
      <c r="O7" s="172">
        <v>2805</v>
      </c>
      <c r="P7" s="241"/>
      <c r="Q7" s="173">
        <f t="shared" si="2"/>
        <v>538.19999999999993</v>
      </c>
      <c r="R7" s="185"/>
      <c r="S7" s="312"/>
      <c r="T7" s="313">
        <f t="shared" si="3"/>
        <v>19.306666666666668</v>
      </c>
      <c r="U7" s="313">
        <f t="shared" si="4"/>
        <v>23.167999999999999</v>
      </c>
      <c r="V7" s="313">
        <f t="shared" si="5"/>
        <v>1.2066666666666668</v>
      </c>
      <c r="W7" s="313">
        <f t="shared" si="6"/>
        <v>19.306666666666668</v>
      </c>
      <c r="X7" s="313">
        <f t="shared" si="7"/>
        <v>38.613333333333337</v>
      </c>
      <c r="Y7" s="313">
        <f t="shared" si="8"/>
        <v>11.584</v>
      </c>
    </row>
    <row r="8" spans="1:25">
      <c r="A8" s="118">
        <f>'BD Team'!A13</f>
        <v>5</v>
      </c>
      <c r="B8" s="118" t="str">
        <f>'BD Team'!B13</f>
        <v>SD1</v>
      </c>
      <c r="C8" s="118" t="str">
        <f>'BD Team'!C13</f>
        <v>M14600</v>
      </c>
      <c r="D8" s="118" t="str">
        <f>'BD Team'!D13</f>
        <v>3 TRACK 2 SHUTTER SLIDING DOOR WITH BOTH ENDS FIXED</v>
      </c>
      <c r="E8" s="118" t="str">
        <f>'BD Team'!F13</f>
        <v>SS</v>
      </c>
      <c r="F8" s="121" t="str">
        <f>'BD Team'!G13</f>
        <v>FORMAL LIVING ROOM</v>
      </c>
      <c r="G8" s="118">
        <f>'BD Team'!H13</f>
        <v>5486</v>
      </c>
      <c r="H8" s="118">
        <f>'BD Team'!I13</f>
        <v>2438</v>
      </c>
      <c r="I8" s="118">
        <f>'BD Team'!J13</f>
        <v>1</v>
      </c>
      <c r="J8" s="103">
        <f t="shared" si="0"/>
        <v>143.96707915199997</v>
      </c>
      <c r="K8" s="172">
        <f>'BD Team'!K13</f>
        <v>872.93</v>
      </c>
      <c r="L8" s="171">
        <f t="shared" si="1"/>
        <v>872.93</v>
      </c>
      <c r="M8" s="170">
        <f>L8*'Changable Values'!$D$4</f>
        <v>72453.19</v>
      </c>
      <c r="N8" s="170" t="str">
        <f>'BD Team'!E13</f>
        <v>24MM</v>
      </c>
      <c r="O8" s="172">
        <v>2805</v>
      </c>
      <c r="P8" s="241"/>
      <c r="Q8" s="173">
        <f t="shared" si="2"/>
        <v>538.19999999999993</v>
      </c>
      <c r="R8" s="185"/>
      <c r="S8" s="312">
        <f>'MS insert'!P7</f>
        <v>735.93749999999989</v>
      </c>
      <c r="T8" s="313">
        <f t="shared" si="3"/>
        <v>52.826666666666668</v>
      </c>
      <c r="U8" s="313">
        <f t="shared" si="4"/>
        <v>63.392000000000003</v>
      </c>
      <c r="V8" s="313">
        <f t="shared" si="5"/>
        <v>3.3016666666666667</v>
      </c>
      <c r="W8" s="313">
        <f t="shared" si="6"/>
        <v>52.826666666666668</v>
      </c>
      <c r="X8" s="313">
        <f t="shared" si="7"/>
        <v>105.65333333333334</v>
      </c>
      <c r="Y8" s="313">
        <f t="shared" si="8"/>
        <v>31.696000000000002</v>
      </c>
    </row>
    <row r="9" spans="1:25">
      <c r="A9" s="118">
        <f>'BD Team'!A14</f>
        <v>6</v>
      </c>
      <c r="B9" s="118" t="str">
        <f>'BD Team'!B14</f>
        <v>SD2</v>
      </c>
      <c r="C9" s="118" t="str">
        <f>'BD Team'!C14</f>
        <v>M14600</v>
      </c>
      <c r="D9" s="118" t="str">
        <f>'BD Team'!D14</f>
        <v>3 TRACK 2 SHUTTER SLIDING DOOR</v>
      </c>
      <c r="E9" s="118" t="str">
        <f>'BD Team'!F14</f>
        <v>SS</v>
      </c>
      <c r="F9" s="121" t="str">
        <f>'BD Team'!G14</f>
        <v>VARIES</v>
      </c>
      <c r="G9" s="118">
        <f>'BD Team'!H14</f>
        <v>3658</v>
      </c>
      <c r="H9" s="118">
        <f>'BD Team'!I14</f>
        <v>2438</v>
      </c>
      <c r="I9" s="118">
        <f>'BD Team'!J14</f>
        <v>1</v>
      </c>
      <c r="J9" s="103">
        <f t="shared" si="0"/>
        <v>95.995547855999988</v>
      </c>
      <c r="K9" s="172">
        <f>'BD Team'!K14</f>
        <v>647.66</v>
      </c>
      <c r="L9" s="171">
        <f t="shared" si="1"/>
        <v>647.66</v>
      </c>
      <c r="M9" s="170">
        <f>L9*'Changable Values'!$D$4</f>
        <v>53755.78</v>
      </c>
      <c r="N9" s="170" t="str">
        <f>'BD Team'!E14</f>
        <v>24MM</v>
      </c>
      <c r="O9" s="172">
        <v>2805</v>
      </c>
      <c r="P9" s="241"/>
      <c r="Q9" s="173">
        <f t="shared" si="2"/>
        <v>538.19999999999993</v>
      </c>
      <c r="R9" s="185"/>
      <c r="S9" s="312">
        <f>'MS insert'!P8</f>
        <v>735.93749999999989</v>
      </c>
      <c r="T9" s="313">
        <f t="shared" si="3"/>
        <v>40.64</v>
      </c>
      <c r="U9" s="313">
        <f t="shared" si="4"/>
        <v>48.768000000000001</v>
      </c>
      <c r="V9" s="313">
        <f t="shared" si="5"/>
        <v>2.54</v>
      </c>
      <c r="W9" s="313">
        <f t="shared" si="6"/>
        <v>40.64</v>
      </c>
      <c r="X9" s="313">
        <f t="shared" si="7"/>
        <v>81.28</v>
      </c>
      <c r="Y9" s="313">
        <f t="shared" si="8"/>
        <v>24.384</v>
      </c>
    </row>
    <row r="10" spans="1:25">
      <c r="A10" s="118">
        <f>'BD Team'!A15</f>
        <v>7</v>
      </c>
      <c r="B10" s="118" t="str">
        <f>'BD Team'!B15</f>
        <v>SD3 PART 1</v>
      </c>
      <c r="C10" s="118" t="str">
        <f>'BD Team'!C15</f>
        <v>M7</v>
      </c>
      <c r="D10" s="118" t="str">
        <f>'BD Team'!D15</f>
        <v>CURTAIN WALL WITH SHAPE</v>
      </c>
      <c r="E10" s="118" t="str">
        <f>'BD Team'!F15</f>
        <v>NO</v>
      </c>
      <c r="F10" s="121" t="str">
        <f>'BD Team'!G15</f>
        <v>HOME THEATER</v>
      </c>
      <c r="G10" s="118">
        <f>'BD Team'!H15</f>
        <v>7061</v>
      </c>
      <c r="H10" s="118">
        <f>'BD Team'!I15</f>
        <v>5690</v>
      </c>
      <c r="I10" s="118">
        <f>'BD Team'!J15</f>
        <v>1</v>
      </c>
      <c r="J10" s="103">
        <f t="shared" si="0"/>
        <v>432.46619676</v>
      </c>
      <c r="K10" s="172">
        <f>'BD Team'!K15</f>
        <v>1203.47</v>
      </c>
      <c r="L10" s="171">
        <f t="shared" si="1"/>
        <v>1203.47</v>
      </c>
      <c r="M10" s="170">
        <f>L10*'Changable Values'!$D$4</f>
        <v>99888.010000000009</v>
      </c>
      <c r="N10" s="170" t="str">
        <f>'BD Team'!E15</f>
        <v>24MM</v>
      </c>
      <c r="O10" s="172">
        <v>2805</v>
      </c>
      <c r="P10" s="241"/>
      <c r="Q10" s="173"/>
      <c r="R10" s="185"/>
      <c r="S10" s="312">
        <f>SUM('MS insert'!P9:P10)</f>
        <v>30751.217999999997</v>
      </c>
      <c r="T10" s="313">
        <f t="shared" si="3"/>
        <v>85.006666666666661</v>
      </c>
      <c r="U10" s="313">
        <f t="shared" si="4"/>
        <v>102.008</v>
      </c>
      <c r="V10" s="313">
        <f t="shared" si="5"/>
        <v>5.3129166666666663</v>
      </c>
      <c r="W10" s="313">
        <f t="shared" si="6"/>
        <v>85.006666666666661</v>
      </c>
      <c r="X10" s="313">
        <f t="shared" si="7"/>
        <v>170.01333333333332</v>
      </c>
      <c r="Y10" s="313">
        <f t="shared" si="8"/>
        <v>51.003999999999998</v>
      </c>
    </row>
    <row r="11" spans="1:25">
      <c r="A11" s="118">
        <f>'BD Team'!A16</f>
        <v>8</v>
      </c>
      <c r="B11" s="118" t="str">
        <f>'BD Team'!B16</f>
        <v>SD3 PART 2</v>
      </c>
      <c r="C11" s="118" t="str">
        <f>'BD Team'!C16</f>
        <v>M14600</v>
      </c>
      <c r="D11" s="118" t="str">
        <f>'BD Team'!D16</f>
        <v>3 TRACK 2 SHUTTER SLIDING DOOR</v>
      </c>
      <c r="E11" s="118" t="str">
        <f>'BD Team'!F16</f>
        <v>SS</v>
      </c>
      <c r="F11" s="121" t="str">
        <f>'BD Team'!G16</f>
        <v>HOME THEATER</v>
      </c>
      <c r="G11" s="118">
        <f>'BD Team'!H16</f>
        <v>3607</v>
      </c>
      <c r="H11" s="118">
        <f>'BD Team'!I16</f>
        <v>2412</v>
      </c>
      <c r="I11" s="118">
        <f>'BD Team'!J16</f>
        <v>1</v>
      </c>
      <c r="J11" s="103">
        <f t="shared" si="0"/>
        <v>93.647704176000005</v>
      </c>
      <c r="K11" s="172">
        <f>'BD Team'!K16</f>
        <v>645.36</v>
      </c>
      <c r="L11" s="171">
        <f t="shared" si="1"/>
        <v>645.36</v>
      </c>
      <c r="M11" s="170">
        <f>L11*'Changable Values'!$D$4</f>
        <v>53564.880000000005</v>
      </c>
      <c r="N11" s="170" t="str">
        <f>'BD Team'!E16</f>
        <v>24MM</v>
      </c>
      <c r="O11" s="172">
        <v>2805</v>
      </c>
      <c r="P11" s="241"/>
      <c r="Q11" s="173">
        <f t="shared" ref="Q11:Q13" si="9">50*10.764</f>
        <v>538.19999999999993</v>
      </c>
      <c r="R11" s="185"/>
      <c r="S11" s="312">
        <f>'MS insert'!P11</f>
        <v>735.93749999999989</v>
      </c>
      <c r="T11" s="313">
        <f t="shared" si="3"/>
        <v>40.126666666666665</v>
      </c>
      <c r="U11" s="313">
        <f t="shared" si="4"/>
        <v>48.152000000000001</v>
      </c>
      <c r="V11" s="313">
        <f t="shared" si="5"/>
        <v>2.5079166666666666</v>
      </c>
      <c r="W11" s="313">
        <f t="shared" si="6"/>
        <v>40.126666666666665</v>
      </c>
      <c r="X11" s="313">
        <f t="shared" si="7"/>
        <v>80.25333333333333</v>
      </c>
      <c r="Y11" s="313">
        <f t="shared" si="8"/>
        <v>24.076000000000001</v>
      </c>
    </row>
    <row r="12" spans="1:25">
      <c r="A12" s="118">
        <f>'BD Team'!A17</f>
        <v>9</v>
      </c>
      <c r="B12" s="118" t="str">
        <f>'BD Team'!B17</f>
        <v>SD4</v>
      </c>
      <c r="C12" s="118" t="str">
        <f>'BD Team'!C17</f>
        <v>M14600</v>
      </c>
      <c r="D12" s="118" t="str">
        <f>'BD Team'!D17</f>
        <v>3 TRACK 2 SHUTTER SLIDING DOOR</v>
      </c>
      <c r="E12" s="118" t="str">
        <f>'BD Team'!F17</f>
        <v>SS</v>
      </c>
      <c r="F12" s="121" t="str">
        <f>'BD Team'!G17</f>
        <v>COVERED TERRACE</v>
      </c>
      <c r="G12" s="118">
        <f>'BD Team'!H17</f>
        <v>4064</v>
      </c>
      <c r="H12" s="118">
        <f>'BD Team'!I17</f>
        <v>2438</v>
      </c>
      <c r="I12" s="118">
        <f>'BD Team'!J17</f>
        <v>1</v>
      </c>
      <c r="J12" s="103">
        <f t="shared" si="0"/>
        <v>106.650056448</v>
      </c>
      <c r="K12" s="172">
        <f>'BD Team'!K17</f>
        <v>677.33</v>
      </c>
      <c r="L12" s="171">
        <f t="shared" si="1"/>
        <v>677.33</v>
      </c>
      <c r="M12" s="170">
        <f>L12*'Changable Values'!$D$4</f>
        <v>56218.390000000007</v>
      </c>
      <c r="N12" s="170" t="str">
        <f>'BD Team'!E17</f>
        <v>24MM</v>
      </c>
      <c r="O12" s="172">
        <v>2805</v>
      </c>
      <c r="P12" s="241"/>
      <c r="Q12" s="173">
        <f t="shared" si="9"/>
        <v>538.19999999999993</v>
      </c>
      <c r="R12" s="185"/>
      <c r="S12" s="312">
        <f>'MS insert'!P12</f>
        <v>735.93749999999989</v>
      </c>
      <c r="T12" s="313">
        <f t="shared" si="3"/>
        <v>43.346666666666664</v>
      </c>
      <c r="U12" s="313">
        <f t="shared" si="4"/>
        <v>52.015999999999998</v>
      </c>
      <c r="V12" s="313">
        <f t="shared" si="5"/>
        <v>2.7091666666666665</v>
      </c>
      <c r="W12" s="313">
        <f t="shared" si="6"/>
        <v>43.346666666666664</v>
      </c>
      <c r="X12" s="313">
        <f t="shared" si="7"/>
        <v>86.693333333333328</v>
      </c>
      <c r="Y12" s="313">
        <f t="shared" si="8"/>
        <v>26.007999999999999</v>
      </c>
    </row>
    <row r="13" spans="1:25">
      <c r="A13" s="118">
        <f>'BD Team'!A18</f>
        <v>10</v>
      </c>
      <c r="B13" s="118" t="str">
        <f>'BD Team'!B18</f>
        <v>SD5</v>
      </c>
      <c r="C13" s="118" t="str">
        <f>'BD Team'!C18</f>
        <v>M14600</v>
      </c>
      <c r="D13" s="118" t="str">
        <f>'BD Team'!D18</f>
        <v>3 TRACK 2 SHUTTER SLIDING DOOR</v>
      </c>
      <c r="E13" s="118" t="str">
        <f>'BD Team'!F18</f>
        <v>SS</v>
      </c>
      <c r="F13" s="121" t="str">
        <f>'BD Team'!G18</f>
        <v>HOME THEATER</v>
      </c>
      <c r="G13" s="118">
        <f>'BD Team'!H18</f>
        <v>2438</v>
      </c>
      <c r="H13" s="118">
        <f>'BD Team'!I18</f>
        <v>2438</v>
      </c>
      <c r="I13" s="118">
        <f>'BD Team'!J18</f>
        <v>1</v>
      </c>
      <c r="J13" s="103">
        <f t="shared" si="0"/>
        <v>63.979536816</v>
      </c>
      <c r="K13" s="172">
        <f>'BD Team'!K18</f>
        <v>558.49</v>
      </c>
      <c r="L13" s="171">
        <f t="shared" si="1"/>
        <v>558.49</v>
      </c>
      <c r="M13" s="170">
        <f>L13*'Changable Values'!$D$4</f>
        <v>46354.67</v>
      </c>
      <c r="N13" s="170" t="str">
        <f>'BD Team'!E18</f>
        <v>24MM</v>
      </c>
      <c r="O13" s="172">
        <v>2805</v>
      </c>
      <c r="P13" s="241"/>
      <c r="Q13" s="173">
        <f t="shared" si="9"/>
        <v>538.19999999999993</v>
      </c>
      <c r="R13" s="185"/>
      <c r="S13" s="312">
        <f>'MS insert'!P13</f>
        <v>735.93749999999989</v>
      </c>
      <c r="T13" s="313">
        <f t="shared" si="3"/>
        <v>32.506666666666668</v>
      </c>
      <c r="U13" s="313">
        <f t="shared" si="4"/>
        <v>39.008000000000003</v>
      </c>
      <c r="V13" s="313">
        <f t="shared" si="5"/>
        <v>2.0316666666666667</v>
      </c>
      <c r="W13" s="313">
        <f t="shared" si="6"/>
        <v>32.506666666666668</v>
      </c>
      <c r="X13" s="313">
        <f t="shared" si="7"/>
        <v>65.013333333333335</v>
      </c>
      <c r="Y13" s="313">
        <f t="shared" si="8"/>
        <v>19.504000000000001</v>
      </c>
    </row>
    <row r="14" spans="1:25">
      <c r="A14" s="118">
        <f>'BD Team'!A19</f>
        <v>11</v>
      </c>
      <c r="B14" s="118" t="str">
        <f>'BD Team'!B19</f>
        <v>W1</v>
      </c>
      <c r="C14" s="118" t="str">
        <f>'BD Team'!C19</f>
        <v>M15000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STAIRCASE LANDING</v>
      </c>
      <c r="G14" s="118">
        <f>'BD Team'!H19</f>
        <v>1524</v>
      </c>
      <c r="H14" s="118">
        <f>'BD Team'!I19</f>
        <v>2134</v>
      </c>
      <c r="I14" s="118">
        <f>'BD Team'!J19</f>
        <v>3</v>
      </c>
      <c r="J14" s="103">
        <f t="shared" si="0"/>
        <v>105.020559072</v>
      </c>
      <c r="K14" s="172">
        <f>'BD Team'!K19</f>
        <v>77.75</v>
      </c>
      <c r="L14" s="171">
        <f t="shared" si="1"/>
        <v>233.25</v>
      </c>
      <c r="M14" s="170">
        <f>L14*'Changable Values'!$D$4</f>
        <v>19359.75</v>
      </c>
      <c r="N14" s="170" t="str">
        <f>'BD Team'!E19</f>
        <v>24MM</v>
      </c>
      <c r="O14" s="172">
        <v>2805</v>
      </c>
      <c r="P14" s="241"/>
      <c r="Q14" s="173"/>
      <c r="R14" s="185"/>
      <c r="S14" s="312"/>
      <c r="T14" s="313">
        <f t="shared" si="3"/>
        <v>73.16</v>
      </c>
      <c r="U14" s="313">
        <f t="shared" si="4"/>
        <v>87.792000000000002</v>
      </c>
      <c r="V14" s="313">
        <f t="shared" si="5"/>
        <v>4.5724999999999998</v>
      </c>
      <c r="W14" s="313">
        <f t="shared" si="6"/>
        <v>73.16</v>
      </c>
      <c r="X14" s="313">
        <f t="shared" si="7"/>
        <v>146.32</v>
      </c>
      <c r="Y14" s="313">
        <f t="shared" si="8"/>
        <v>43.896000000000001</v>
      </c>
    </row>
    <row r="15" spans="1:25">
      <c r="A15" s="118">
        <f>'BD Team'!A20</f>
        <v>12</v>
      </c>
      <c r="B15" s="118" t="str">
        <f>'BD Team'!B20</f>
        <v>W2</v>
      </c>
      <c r="C15" s="118" t="str">
        <f>'BD Team'!C20</f>
        <v>M15000</v>
      </c>
      <c r="D15" s="118" t="str">
        <f>'BD Team'!D20</f>
        <v>SIDE HUNG WINDOW</v>
      </c>
      <c r="E15" s="118" t="str">
        <f>'BD Team'!F20</f>
        <v>RETRACTABLE</v>
      </c>
      <c r="F15" s="121" t="str">
        <f>'BD Team'!G20</f>
        <v>STAIRCASE PASSAGE</v>
      </c>
      <c r="G15" s="118">
        <f>'BD Team'!H20</f>
        <v>711</v>
      </c>
      <c r="H15" s="118">
        <f>'BD Team'!I20</f>
        <v>1676</v>
      </c>
      <c r="I15" s="118">
        <f>'BD Team'!J20</f>
        <v>2</v>
      </c>
      <c r="J15" s="103">
        <f t="shared" si="0"/>
        <v>25.653539807999998</v>
      </c>
      <c r="K15" s="172">
        <f>'BD Team'!K20</f>
        <v>163.30000000000001</v>
      </c>
      <c r="L15" s="171">
        <f t="shared" si="1"/>
        <v>326.60000000000002</v>
      </c>
      <c r="M15" s="170">
        <f>L15*'Changable Values'!$D$4</f>
        <v>27107.800000000003</v>
      </c>
      <c r="N15" s="170" t="str">
        <f>'BD Team'!E20</f>
        <v>24MM</v>
      </c>
      <c r="O15" s="172">
        <v>2805</v>
      </c>
      <c r="P15" s="241"/>
      <c r="Q15" s="173"/>
      <c r="R15" s="185">
        <f>1500*10.764</f>
        <v>16145.999999999998</v>
      </c>
      <c r="S15" s="312"/>
      <c r="T15" s="313">
        <f t="shared" si="3"/>
        <v>31.826666666666668</v>
      </c>
      <c r="U15" s="313">
        <f t="shared" si="4"/>
        <v>38.192</v>
      </c>
      <c r="V15" s="313">
        <f t="shared" si="5"/>
        <v>1.9891666666666667</v>
      </c>
      <c r="W15" s="313">
        <f t="shared" si="6"/>
        <v>31.826666666666668</v>
      </c>
      <c r="X15" s="313">
        <f t="shared" si="7"/>
        <v>63.653333333333336</v>
      </c>
      <c r="Y15" s="313">
        <f t="shared" si="8"/>
        <v>19.096</v>
      </c>
    </row>
    <row r="16" spans="1:25">
      <c r="A16" s="118">
        <f>'BD Team'!A21</f>
        <v>13</v>
      </c>
      <c r="B16" s="118" t="str">
        <f>'BD Team'!B21</f>
        <v>W3</v>
      </c>
      <c r="C16" s="118" t="str">
        <f>'BD Team'!C21</f>
        <v>M15000</v>
      </c>
      <c r="D16" s="118" t="str">
        <f>'BD Team'!D21</f>
        <v>FRENCH CASEMENT WINDOW</v>
      </c>
      <c r="E16" s="118" t="str">
        <f>'BD Team'!F21</f>
        <v>RETRACTABLE</v>
      </c>
      <c r="F16" s="121" t="str">
        <f>'BD Team'!G21</f>
        <v>NORMATHAS OFFICE</v>
      </c>
      <c r="G16" s="118">
        <f>'BD Team'!H21</f>
        <v>1321</v>
      </c>
      <c r="H16" s="118">
        <f>'BD Team'!I21</f>
        <v>1676</v>
      </c>
      <c r="I16" s="118">
        <f>'BD Team'!J21</f>
        <v>1</v>
      </c>
      <c r="J16" s="103">
        <f t="shared" si="0"/>
        <v>23.831452943999999</v>
      </c>
      <c r="K16" s="172">
        <f>'BD Team'!K21</f>
        <v>270.76</v>
      </c>
      <c r="L16" s="171">
        <f t="shared" si="1"/>
        <v>270.76</v>
      </c>
      <c r="M16" s="170">
        <f>L16*'Changable Values'!$D$4</f>
        <v>22473.079999999998</v>
      </c>
      <c r="N16" s="170" t="str">
        <f>'BD Team'!E21</f>
        <v>24MM</v>
      </c>
      <c r="O16" s="172">
        <v>2805</v>
      </c>
      <c r="P16" s="241"/>
      <c r="Q16" s="173"/>
      <c r="R16" s="185">
        <f t="shared" ref="R16" si="10">1500*10.764</f>
        <v>16145.999999999998</v>
      </c>
      <c r="S16" s="312"/>
      <c r="T16" s="313">
        <f t="shared" si="3"/>
        <v>19.98</v>
      </c>
      <c r="U16" s="313">
        <f t="shared" si="4"/>
        <v>23.975999999999999</v>
      </c>
      <c r="V16" s="313">
        <f t="shared" si="5"/>
        <v>1.24875</v>
      </c>
      <c r="W16" s="313">
        <f t="shared" si="6"/>
        <v>19.98</v>
      </c>
      <c r="X16" s="313">
        <f t="shared" si="7"/>
        <v>39.96</v>
      </c>
      <c r="Y16" s="313">
        <f t="shared" si="8"/>
        <v>11.988</v>
      </c>
    </row>
    <row r="17" spans="1:25">
      <c r="A17" s="118">
        <f>'BD Team'!A22</f>
        <v>14</v>
      </c>
      <c r="B17" s="118" t="str">
        <f>'BD Team'!B22</f>
        <v>W4</v>
      </c>
      <c r="C17" s="118" t="str">
        <f>'BD Team'!C22</f>
        <v>M15000</v>
      </c>
      <c r="D17" s="118" t="str">
        <f>'BD Team'!D22</f>
        <v>FRENCH CASEMENT WINDOW</v>
      </c>
      <c r="E17" s="118" t="str">
        <f>'BD Team'!F22</f>
        <v>RETRACTABLE</v>
      </c>
      <c r="F17" s="121" t="str">
        <f>'BD Team'!G22</f>
        <v>CORRIDOR 2</v>
      </c>
      <c r="G17" s="118">
        <f>'BD Team'!H22</f>
        <v>1930</v>
      </c>
      <c r="H17" s="118">
        <f>'BD Team'!I22</f>
        <v>1981</v>
      </c>
      <c r="I17" s="118">
        <f>'BD Team'!J22</f>
        <v>1</v>
      </c>
      <c r="J17" s="103">
        <f t="shared" si="0"/>
        <v>41.154324119999998</v>
      </c>
      <c r="K17" s="172">
        <f>'BD Team'!K22</f>
        <v>324.10000000000002</v>
      </c>
      <c r="L17" s="171">
        <f t="shared" si="1"/>
        <v>324.10000000000002</v>
      </c>
      <c r="M17" s="170">
        <f>L17*'Changable Values'!$D$4</f>
        <v>26900.300000000003</v>
      </c>
      <c r="N17" s="170" t="str">
        <f>'BD Team'!E22</f>
        <v>24MM</v>
      </c>
      <c r="O17" s="172">
        <v>2805</v>
      </c>
      <c r="P17" s="241"/>
      <c r="Q17" s="173"/>
      <c r="R17" s="185">
        <f>1300*10.764</f>
        <v>13993.199999999999</v>
      </c>
      <c r="S17" s="312"/>
      <c r="T17" s="313">
        <f t="shared" si="3"/>
        <v>26.073333333333334</v>
      </c>
      <c r="U17" s="313">
        <f t="shared" si="4"/>
        <v>31.288</v>
      </c>
      <c r="V17" s="313">
        <f t="shared" si="5"/>
        <v>1.6295833333333334</v>
      </c>
      <c r="W17" s="313">
        <f t="shared" si="6"/>
        <v>26.073333333333334</v>
      </c>
      <c r="X17" s="313">
        <f t="shared" si="7"/>
        <v>52.146666666666668</v>
      </c>
      <c r="Y17" s="313">
        <f t="shared" si="8"/>
        <v>15.644</v>
      </c>
    </row>
    <row r="18" spans="1:25">
      <c r="A18" s="118">
        <f>'BD Team'!A23</f>
        <v>15</v>
      </c>
      <c r="B18" s="118" t="str">
        <f>'BD Team'!B23</f>
        <v>W5</v>
      </c>
      <c r="C18" s="118" t="str">
        <f>'BD Team'!C23</f>
        <v>M15000</v>
      </c>
      <c r="D18" s="118" t="str">
        <f>'BD Team'!D23</f>
        <v>FRENCH CASEMENT WINDOW WITH FIXED GLASS</v>
      </c>
      <c r="E18" s="118" t="str">
        <f>'BD Team'!F23</f>
        <v>RETRACTABLE</v>
      </c>
      <c r="F18" s="121" t="str">
        <f>'BD Team'!G23</f>
        <v>KITCHEN</v>
      </c>
      <c r="G18" s="118">
        <f>'BD Team'!H23</f>
        <v>3150</v>
      </c>
      <c r="H18" s="118">
        <f>'BD Team'!I23</f>
        <v>1372</v>
      </c>
      <c r="I18" s="118">
        <f>'BD Team'!J23</f>
        <v>1</v>
      </c>
      <c r="J18" s="103">
        <f t="shared" si="0"/>
        <v>46.519855199999995</v>
      </c>
      <c r="K18" s="172">
        <f>'BD Team'!K23</f>
        <v>343.91</v>
      </c>
      <c r="L18" s="171">
        <f t="shared" si="1"/>
        <v>343.91</v>
      </c>
      <c r="M18" s="170">
        <f>L18*'Changable Values'!$D$4</f>
        <v>28544.530000000002</v>
      </c>
      <c r="N18" s="170" t="str">
        <f>'BD Team'!E23</f>
        <v>24MM</v>
      </c>
      <c r="O18" s="172">
        <v>2805</v>
      </c>
      <c r="P18" s="241"/>
      <c r="Q18" s="173"/>
      <c r="R18" s="185">
        <f>1000*10.764</f>
        <v>10764</v>
      </c>
      <c r="S18" s="312"/>
      <c r="T18" s="313">
        <f t="shared" si="3"/>
        <v>30.146666666666668</v>
      </c>
      <c r="U18" s="313">
        <f t="shared" si="4"/>
        <v>36.176000000000002</v>
      </c>
      <c r="V18" s="313">
        <f t="shared" si="5"/>
        <v>1.8841666666666668</v>
      </c>
      <c r="W18" s="313">
        <f t="shared" si="6"/>
        <v>30.146666666666668</v>
      </c>
      <c r="X18" s="313">
        <f t="shared" si="7"/>
        <v>60.293333333333337</v>
      </c>
      <c r="Y18" s="313">
        <f t="shared" si="8"/>
        <v>18.088000000000001</v>
      </c>
    </row>
    <row r="19" spans="1:25">
      <c r="A19" s="118">
        <f>'BD Team'!A24</f>
        <v>16</v>
      </c>
      <c r="B19" s="118" t="str">
        <f>'BD Team'!B24</f>
        <v>W6</v>
      </c>
      <c r="C19" s="118" t="str">
        <f>'BD Team'!C24</f>
        <v>M15000</v>
      </c>
      <c r="D19" s="118" t="str">
        <f>'BD Team'!D24</f>
        <v>FRENCH CASEMENT WINDOW WITH FIXED GLASS</v>
      </c>
      <c r="E19" s="118" t="str">
        <f>'BD Team'!F24</f>
        <v>RETRACTABLE</v>
      </c>
      <c r="F19" s="121" t="str">
        <f>'BD Team'!G24</f>
        <v>GUEST ROOM</v>
      </c>
      <c r="G19" s="118">
        <f>'BD Team'!H24</f>
        <v>3162</v>
      </c>
      <c r="H19" s="118">
        <f>'BD Team'!I24</f>
        <v>1676</v>
      </c>
      <c r="I19" s="118">
        <f>'BD Team'!J24</f>
        <v>1</v>
      </c>
      <c r="J19" s="103">
        <f t="shared" si="0"/>
        <v>57.043947167999995</v>
      </c>
      <c r="K19" s="172">
        <f>'BD Team'!K24</f>
        <v>377.33</v>
      </c>
      <c r="L19" s="171">
        <f t="shared" si="1"/>
        <v>377.33</v>
      </c>
      <c r="M19" s="170">
        <f>L19*'Changable Values'!$D$4</f>
        <v>31318.39</v>
      </c>
      <c r="N19" s="170" t="str">
        <f>'BD Team'!E24</f>
        <v>24MM</v>
      </c>
      <c r="O19" s="172">
        <v>2805</v>
      </c>
      <c r="P19" s="241"/>
      <c r="Q19" s="173"/>
      <c r="R19" s="185">
        <f>1000*10.764</f>
        <v>10764</v>
      </c>
      <c r="S19" s="312"/>
      <c r="T19" s="313">
        <f t="shared" si="3"/>
        <v>32.25333333333333</v>
      </c>
      <c r="U19" s="313">
        <f t="shared" si="4"/>
        <v>38.704000000000001</v>
      </c>
      <c r="V19" s="313">
        <f t="shared" si="5"/>
        <v>2.0158333333333331</v>
      </c>
      <c r="W19" s="313">
        <f t="shared" si="6"/>
        <v>32.25333333333333</v>
      </c>
      <c r="X19" s="313">
        <f t="shared" si="7"/>
        <v>64.506666666666661</v>
      </c>
      <c r="Y19" s="313">
        <f t="shared" si="8"/>
        <v>19.352</v>
      </c>
    </row>
    <row r="20" spans="1:25">
      <c r="A20" s="118">
        <f>'BD Team'!A25</f>
        <v>17</v>
      </c>
      <c r="B20" s="118" t="str">
        <f>'BD Team'!B25</f>
        <v>W7</v>
      </c>
      <c r="C20" s="118" t="str">
        <f>'BD Team'!C25</f>
        <v>M15000</v>
      </c>
      <c r="D20" s="118" t="str">
        <f>'BD Team'!D25</f>
        <v>2 SIDE HUNG WINDOWS WITH CENTER FIXED</v>
      </c>
      <c r="E20" s="118" t="str">
        <f>'BD Team'!F25</f>
        <v>RETRACTABLE</v>
      </c>
      <c r="F20" s="121" t="str">
        <f>'BD Team'!G25</f>
        <v>VARIES</v>
      </c>
      <c r="G20" s="118">
        <f>'BD Team'!H25</f>
        <v>3073</v>
      </c>
      <c r="H20" s="118">
        <f>'BD Team'!I25</f>
        <v>1676</v>
      </c>
      <c r="I20" s="118">
        <f>'BD Team'!J25</f>
        <v>2</v>
      </c>
      <c r="J20" s="103">
        <f t="shared" si="0"/>
        <v>110.87669174399998</v>
      </c>
      <c r="K20" s="172">
        <f>'BD Team'!K25</f>
        <v>449.49</v>
      </c>
      <c r="L20" s="171">
        <f t="shared" si="1"/>
        <v>898.98</v>
      </c>
      <c r="M20" s="170">
        <f>L20*'Changable Values'!$D$4</f>
        <v>74615.34</v>
      </c>
      <c r="N20" s="170" t="str">
        <f>'BD Team'!E25</f>
        <v>24MM</v>
      </c>
      <c r="O20" s="172">
        <v>2805</v>
      </c>
      <c r="P20" s="241"/>
      <c r="Q20" s="173"/>
      <c r="R20" s="185">
        <f>1000*10.764</f>
        <v>10764</v>
      </c>
      <c r="S20" s="312"/>
      <c r="T20" s="313">
        <f t="shared" si="3"/>
        <v>63.32</v>
      </c>
      <c r="U20" s="313">
        <f t="shared" si="4"/>
        <v>75.983999999999995</v>
      </c>
      <c r="V20" s="313">
        <f t="shared" si="5"/>
        <v>3.9575</v>
      </c>
      <c r="W20" s="313">
        <f t="shared" si="6"/>
        <v>63.32</v>
      </c>
      <c r="X20" s="313">
        <f t="shared" si="7"/>
        <v>126.64</v>
      </c>
      <c r="Y20" s="313">
        <f t="shared" si="8"/>
        <v>37.991999999999997</v>
      </c>
    </row>
    <row r="21" spans="1:25">
      <c r="A21" s="118">
        <f>'BD Team'!A26</f>
        <v>18</v>
      </c>
      <c r="B21" s="118" t="str">
        <f>'BD Team'!B26</f>
        <v>W8</v>
      </c>
      <c r="C21" s="118" t="str">
        <f>'BD Team'!C26</f>
        <v>M15000</v>
      </c>
      <c r="D21" s="118" t="str">
        <f>'BD Team'!D26</f>
        <v>FIXED GLASS 4 NO'S</v>
      </c>
      <c r="E21" s="118" t="str">
        <f>'BD Team'!F26</f>
        <v>NO</v>
      </c>
      <c r="F21" s="121" t="str">
        <f>'BD Team'!G26</f>
        <v>PEEYUSH JAIN'S OFFICE</v>
      </c>
      <c r="G21" s="118">
        <f>'BD Team'!H26</f>
        <v>2833</v>
      </c>
      <c r="H21" s="118">
        <f>'BD Team'!I26</f>
        <v>2438</v>
      </c>
      <c r="I21" s="118">
        <f>'BD Team'!J26</f>
        <v>1</v>
      </c>
      <c r="J21" s="103">
        <f t="shared" si="0"/>
        <v>74.345376455999997</v>
      </c>
      <c r="K21" s="172">
        <f>'BD Team'!K26</f>
        <v>252.13</v>
      </c>
      <c r="L21" s="171">
        <f t="shared" si="1"/>
        <v>252.13</v>
      </c>
      <c r="M21" s="170">
        <f>L21*'Changable Values'!$D$4</f>
        <v>20926.79</v>
      </c>
      <c r="N21" s="170" t="str">
        <f>'BD Team'!E26</f>
        <v>24MM</v>
      </c>
      <c r="O21" s="172">
        <v>2805</v>
      </c>
      <c r="P21" s="241"/>
      <c r="Q21" s="173"/>
      <c r="R21" s="185"/>
      <c r="S21" s="312"/>
      <c r="T21" s="313">
        <f t="shared" si="3"/>
        <v>35.14</v>
      </c>
      <c r="U21" s="313">
        <f t="shared" si="4"/>
        <v>42.167999999999999</v>
      </c>
      <c r="V21" s="313">
        <f t="shared" si="5"/>
        <v>2.19625</v>
      </c>
      <c r="W21" s="313">
        <f t="shared" si="6"/>
        <v>35.14</v>
      </c>
      <c r="X21" s="313">
        <f t="shared" si="7"/>
        <v>70.28</v>
      </c>
      <c r="Y21" s="313">
        <f t="shared" si="8"/>
        <v>21.084</v>
      </c>
    </row>
    <row r="22" spans="1:25">
      <c r="A22" s="118">
        <f>'BD Team'!A27</f>
        <v>19</v>
      </c>
      <c r="B22" s="118" t="str">
        <f>'BD Team'!B27</f>
        <v>W9</v>
      </c>
      <c r="C22" s="118" t="str">
        <f>'BD Team'!C27</f>
        <v>M15000</v>
      </c>
      <c r="D22" s="118" t="str">
        <f>'BD Team'!D27</f>
        <v>FIXED GLASS 3 NO'S WITH DOOR</v>
      </c>
      <c r="E22" s="118" t="str">
        <f>'BD Team'!F27</f>
        <v>RETRACTABLE</v>
      </c>
      <c r="F22" s="121" t="str">
        <f>'BD Team'!G27</f>
        <v>NORMATHAS OFFICE</v>
      </c>
      <c r="G22" s="118">
        <f>'BD Team'!H27</f>
        <v>2438</v>
      </c>
      <c r="H22" s="118">
        <f>'BD Team'!I27</f>
        <v>2438</v>
      </c>
      <c r="I22" s="118">
        <f>'BD Team'!J27</f>
        <v>1</v>
      </c>
      <c r="J22" s="103">
        <f t="shared" si="0"/>
        <v>63.979536816</v>
      </c>
      <c r="K22" s="172">
        <f>'BD Team'!K27</f>
        <v>427.31</v>
      </c>
      <c r="L22" s="171">
        <f t="shared" si="1"/>
        <v>427.31</v>
      </c>
      <c r="M22" s="170">
        <f>L22*'Changable Values'!$D$4</f>
        <v>35466.730000000003</v>
      </c>
      <c r="N22" s="170" t="str">
        <f>'BD Team'!E27</f>
        <v>24MM</v>
      </c>
      <c r="O22" s="172">
        <v>2805</v>
      </c>
      <c r="P22" s="241"/>
      <c r="Q22" s="173"/>
      <c r="R22" s="185">
        <f>900*10.764</f>
        <v>9687.5999999999985</v>
      </c>
      <c r="S22" s="312"/>
      <c r="T22" s="313">
        <f t="shared" si="3"/>
        <v>32.506666666666668</v>
      </c>
      <c r="U22" s="313">
        <f t="shared" si="4"/>
        <v>39.008000000000003</v>
      </c>
      <c r="V22" s="313">
        <f t="shared" si="5"/>
        <v>2.0316666666666667</v>
      </c>
      <c r="W22" s="313">
        <f t="shared" si="6"/>
        <v>32.506666666666668</v>
      </c>
      <c r="X22" s="313">
        <f t="shared" si="7"/>
        <v>65.013333333333335</v>
      </c>
      <c r="Y22" s="313">
        <f t="shared" si="8"/>
        <v>19.504000000000001</v>
      </c>
    </row>
    <row r="23" spans="1:25">
      <c r="A23" s="118">
        <f>'BD Team'!A28</f>
        <v>20</v>
      </c>
      <c r="B23" s="118" t="str">
        <f>'BD Team'!B28</f>
        <v>W10</v>
      </c>
      <c r="C23" s="118" t="str">
        <f>'BD Team'!C28</f>
        <v>M15000</v>
      </c>
      <c r="D23" s="118" t="str">
        <f>'BD Team'!D28</f>
        <v>2 FRENCH CASEMENT WINDOW</v>
      </c>
      <c r="E23" s="118" t="str">
        <f>'BD Team'!F28</f>
        <v>RETRACTABLE</v>
      </c>
      <c r="F23" s="121" t="str">
        <f>'BD Team'!G28</f>
        <v>FAMILY ROOM</v>
      </c>
      <c r="G23" s="118">
        <f>'BD Team'!H28</f>
        <v>2235</v>
      </c>
      <c r="H23" s="118">
        <f>'BD Team'!I28</f>
        <v>1372</v>
      </c>
      <c r="I23" s="118">
        <f>'BD Team'!J28</f>
        <v>1</v>
      </c>
      <c r="J23" s="103">
        <f t="shared" si="0"/>
        <v>33.006944879999999</v>
      </c>
      <c r="K23" s="172">
        <f>'BD Team'!K28</f>
        <v>533.37</v>
      </c>
      <c r="L23" s="171">
        <f t="shared" si="1"/>
        <v>533.37</v>
      </c>
      <c r="M23" s="170">
        <f>L23*'Changable Values'!$D$4</f>
        <v>44269.71</v>
      </c>
      <c r="N23" s="170" t="str">
        <f>'BD Team'!E28</f>
        <v>24MM</v>
      </c>
      <c r="O23" s="172">
        <v>2805</v>
      </c>
      <c r="P23" s="241"/>
      <c r="Q23" s="173"/>
      <c r="R23" s="185">
        <f t="shared" ref="R23:R36" si="11">1500*10.764</f>
        <v>16145.999999999998</v>
      </c>
      <c r="S23" s="312"/>
      <c r="T23" s="313">
        <f t="shared" si="3"/>
        <v>24.046666666666667</v>
      </c>
      <c r="U23" s="313">
        <f t="shared" si="4"/>
        <v>28.856000000000002</v>
      </c>
      <c r="V23" s="313">
        <f t="shared" si="5"/>
        <v>1.5029166666666667</v>
      </c>
      <c r="W23" s="313">
        <f t="shared" si="6"/>
        <v>24.046666666666667</v>
      </c>
      <c r="X23" s="313">
        <f t="shared" si="7"/>
        <v>48.093333333333334</v>
      </c>
      <c r="Y23" s="313">
        <f t="shared" si="8"/>
        <v>14.428000000000001</v>
      </c>
    </row>
    <row r="24" spans="1:25">
      <c r="A24" s="118">
        <f>'BD Team'!A29</f>
        <v>21</v>
      </c>
      <c r="B24" s="118" t="str">
        <f>'BD Team'!B29</f>
        <v>W11</v>
      </c>
      <c r="C24" s="118" t="str">
        <f>'BD Team'!C29</f>
        <v>M15000</v>
      </c>
      <c r="D24" s="118" t="str">
        <f>'BD Team'!D29</f>
        <v>FRNCH CASEMENT WINDOW WITH FIXED GALSS</v>
      </c>
      <c r="E24" s="118" t="str">
        <f>'BD Team'!F29</f>
        <v>RETRACTABLE</v>
      </c>
      <c r="F24" s="121" t="str">
        <f>'BD Team'!G29</f>
        <v>SUITE BEDROOM</v>
      </c>
      <c r="G24" s="118">
        <f>'BD Team'!H29</f>
        <v>2845</v>
      </c>
      <c r="H24" s="118">
        <f>'BD Team'!I29</f>
        <v>1372</v>
      </c>
      <c r="I24" s="118">
        <f>'BD Team'!J29</f>
        <v>2</v>
      </c>
      <c r="J24" s="103">
        <f t="shared" si="0"/>
        <v>84.031103520000002</v>
      </c>
      <c r="K24" s="172">
        <f>'BD Team'!K29</f>
        <v>289.06</v>
      </c>
      <c r="L24" s="171">
        <f t="shared" si="1"/>
        <v>578.12</v>
      </c>
      <c r="M24" s="170">
        <f>L24*'Changable Values'!$D$4</f>
        <v>47983.96</v>
      </c>
      <c r="N24" s="170" t="str">
        <f>'BD Team'!E29</f>
        <v>24MM</v>
      </c>
      <c r="O24" s="172">
        <v>2805</v>
      </c>
      <c r="P24" s="241"/>
      <c r="Q24" s="173"/>
      <c r="R24" s="185">
        <f>800*10.764</f>
        <v>8611.1999999999989</v>
      </c>
      <c r="S24" s="312"/>
      <c r="T24" s="313">
        <f t="shared" si="3"/>
        <v>56.226666666666667</v>
      </c>
      <c r="U24" s="313">
        <f t="shared" si="4"/>
        <v>67.471999999999994</v>
      </c>
      <c r="V24" s="313">
        <f t="shared" si="5"/>
        <v>3.5141666666666667</v>
      </c>
      <c r="W24" s="313">
        <f t="shared" si="6"/>
        <v>56.226666666666667</v>
      </c>
      <c r="X24" s="313">
        <f t="shared" si="7"/>
        <v>112.45333333333333</v>
      </c>
      <c r="Y24" s="313">
        <f t="shared" si="8"/>
        <v>33.735999999999997</v>
      </c>
    </row>
    <row r="25" spans="1:25">
      <c r="A25" s="118">
        <f>'BD Team'!A30</f>
        <v>22</v>
      </c>
      <c r="B25" s="118" t="str">
        <f>'BD Team'!B30</f>
        <v>W12</v>
      </c>
      <c r="C25" s="118" t="str">
        <f>'BD Team'!C30</f>
        <v>M15000</v>
      </c>
      <c r="D25" s="118" t="str">
        <f>'BD Team'!D30</f>
        <v>SIDE HUNG WINDOW</v>
      </c>
      <c r="E25" s="118" t="str">
        <f>'BD Team'!F30</f>
        <v>RETRACTABLE</v>
      </c>
      <c r="F25" s="121" t="str">
        <f>'BD Team'!G30</f>
        <v>VARIES</v>
      </c>
      <c r="G25" s="118">
        <f>'BD Team'!H30</f>
        <v>711</v>
      </c>
      <c r="H25" s="118">
        <f>'BD Team'!I30</f>
        <v>1372</v>
      </c>
      <c r="I25" s="118">
        <f>'BD Team'!J30</f>
        <v>4</v>
      </c>
      <c r="J25" s="103">
        <f t="shared" si="0"/>
        <v>42.000783552000001</v>
      </c>
      <c r="K25" s="172">
        <f>'BD Team'!K30</f>
        <v>149.34</v>
      </c>
      <c r="L25" s="171">
        <f t="shared" si="1"/>
        <v>597.36</v>
      </c>
      <c r="M25" s="170">
        <f>L25*'Changable Values'!$D$4</f>
        <v>49580.880000000005</v>
      </c>
      <c r="N25" s="170" t="str">
        <f>'BD Team'!E30</f>
        <v>24MM</v>
      </c>
      <c r="O25" s="172">
        <v>2805</v>
      </c>
      <c r="P25" s="241"/>
      <c r="Q25" s="173"/>
      <c r="R25" s="185">
        <f t="shared" si="11"/>
        <v>16145.999999999998</v>
      </c>
      <c r="S25" s="312"/>
      <c r="T25" s="313">
        <f t="shared" si="3"/>
        <v>55.546666666666667</v>
      </c>
      <c r="U25" s="313">
        <f t="shared" si="4"/>
        <v>66.656000000000006</v>
      </c>
      <c r="V25" s="313">
        <f t="shared" si="5"/>
        <v>3.4716666666666667</v>
      </c>
      <c r="W25" s="313">
        <f t="shared" si="6"/>
        <v>55.546666666666667</v>
      </c>
      <c r="X25" s="313">
        <f t="shared" si="7"/>
        <v>111.09333333333333</v>
      </c>
      <c r="Y25" s="313">
        <f t="shared" si="8"/>
        <v>33.328000000000003</v>
      </c>
    </row>
    <row r="26" spans="1:25">
      <c r="A26" s="118">
        <f>'BD Team'!A31</f>
        <v>23</v>
      </c>
      <c r="B26" s="118" t="str">
        <f>'BD Team'!B31</f>
        <v>W13</v>
      </c>
      <c r="C26" s="118" t="str">
        <f>'BD Team'!C31</f>
        <v>M15000</v>
      </c>
      <c r="D26" s="118" t="str">
        <f>'BD Team'!D31</f>
        <v>2 SIDE HUNG WINDOWS WITH CENTER FIXED</v>
      </c>
      <c r="E26" s="118" t="str">
        <f>'BD Team'!F31</f>
        <v>RETRACTABLE</v>
      </c>
      <c r="F26" s="121" t="str">
        <f>'BD Team'!G31</f>
        <v>VARIES</v>
      </c>
      <c r="G26" s="118">
        <f>'BD Team'!H31</f>
        <v>3251</v>
      </c>
      <c r="H26" s="118">
        <f>'BD Team'!I31</f>
        <v>1676</v>
      </c>
      <c r="I26" s="118">
        <f>'BD Team'!J31</f>
        <v>2</v>
      </c>
      <c r="J26" s="103">
        <f t="shared" si="0"/>
        <v>117.29909692799998</v>
      </c>
      <c r="K26" s="172">
        <f>'BD Team'!K31</f>
        <v>452.99</v>
      </c>
      <c r="L26" s="171">
        <f t="shared" si="1"/>
        <v>905.98</v>
      </c>
      <c r="M26" s="170">
        <f>L26*'Changable Values'!$D$4</f>
        <v>75196.34</v>
      </c>
      <c r="N26" s="170" t="str">
        <f>'BD Team'!E31</f>
        <v>24MM</v>
      </c>
      <c r="O26" s="172">
        <v>2805</v>
      </c>
      <c r="P26" s="241"/>
      <c r="Q26" s="173"/>
      <c r="R26" s="185">
        <f>1000*10.764</f>
        <v>10764</v>
      </c>
      <c r="S26" s="312"/>
      <c r="T26" s="313">
        <f t="shared" si="3"/>
        <v>65.693333333333328</v>
      </c>
      <c r="U26" s="313">
        <f t="shared" si="4"/>
        <v>78.831999999999994</v>
      </c>
      <c r="V26" s="313">
        <f t="shared" si="5"/>
        <v>4.105833333333333</v>
      </c>
      <c r="W26" s="313">
        <f t="shared" si="6"/>
        <v>65.693333333333328</v>
      </c>
      <c r="X26" s="313">
        <f t="shared" si="7"/>
        <v>131.38666666666666</v>
      </c>
      <c r="Y26" s="313">
        <f t="shared" si="8"/>
        <v>39.415999999999997</v>
      </c>
    </row>
    <row r="27" spans="1:25">
      <c r="A27" s="118">
        <f>'BD Team'!A32</f>
        <v>24</v>
      </c>
      <c r="B27" s="118" t="str">
        <f>'BD Team'!B32</f>
        <v>W14</v>
      </c>
      <c r="C27" s="118" t="str">
        <f>'BD Team'!C32</f>
        <v>M15000</v>
      </c>
      <c r="D27" s="118" t="str">
        <f>'BD Team'!D32</f>
        <v>FRENCH CASEMENT WINDWO</v>
      </c>
      <c r="E27" s="118" t="str">
        <f>'BD Team'!F32</f>
        <v>RETRACTABLE</v>
      </c>
      <c r="F27" s="121" t="str">
        <f>'BD Team'!G32</f>
        <v>VARIES</v>
      </c>
      <c r="G27" s="118">
        <f>'BD Team'!H32</f>
        <v>1321</v>
      </c>
      <c r="H27" s="118">
        <f>'BD Team'!I32</f>
        <v>1676</v>
      </c>
      <c r="I27" s="118">
        <f>'BD Team'!J32</f>
        <v>2</v>
      </c>
      <c r="J27" s="103">
        <f t="shared" si="0"/>
        <v>47.662905887999997</v>
      </c>
      <c r="K27" s="172">
        <f>'BD Team'!K32</f>
        <v>270.76</v>
      </c>
      <c r="L27" s="171">
        <f t="shared" si="1"/>
        <v>541.52</v>
      </c>
      <c r="M27" s="170">
        <f>L27*'Changable Values'!$D$4</f>
        <v>44946.159999999996</v>
      </c>
      <c r="N27" s="170" t="str">
        <f>'BD Team'!E32</f>
        <v>24MM</v>
      </c>
      <c r="O27" s="172">
        <v>2805</v>
      </c>
      <c r="P27" s="241"/>
      <c r="Q27" s="173"/>
      <c r="R27" s="185">
        <f t="shared" si="11"/>
        <v>16145.999999999998</v>
      </c>
      <c r="S27" s="312"/>
      <c r="T27" s="313">
        <f t="shared" si="3"/>
        <v>39.96</v>
      </c>
      <c r="U27" s="313">
        <f t="shared" si="4"/>
        <v>47.951999999999998</v>
      </c>
      <c r="V27" s="313">
        <f t="shared" si="5"/>
        <v>2.4975000000000001</v>
      </c>
      <c r="W27" s="313">
        <f t="shared" si="6"/>
        <v>39.96</v>
      </c>
      <c r="X27" s="313">
        <f t="shared" si="7"/>
        <v>79.92</v>
      </c>
      <c r="Y27" s="313">
        <f t="shared" si="8"/>
        <v>23.975999999999999</v>
      </c>
    </row>
    <row r="28" spans="1:25">
      <c r="A28" s="118">
        <f>'BD Team'!A33</f>
        <v>25</v>
      </c>
      <c r="B28" s="118" t="str">
        <f>'BD Team'!B33</f>
        <v>V1</v>
      </c>
      <c r="C28" s="118" t="str">
        <f>'BD Team'!C33</f>
        <v>-</v>
      </c>
      <c r="D28" s="118" t="str">
        <f>'BD Team'!D33</f>
        <v>GLASS LOUVERS</v>
      </c>
      <c r="E28" s="118" t="str">
        <f>'BD Team'!F33</f>
        <v>RETRACTABLE</v>
      </c>
      <c r="F28" s="121" t="str">
        <f>'BD Team'!G33</f>
        <v>WORK STATION</v>
      </c>
      <c r="G28" s="118">
        <f>'BD Team'!H33</f>
        <v>2350</v>
      </c>
      <c r="H28" s="118">
        <f>'BD Team'!I33</f>
        <v>610</v>
      </c>
      <c r="I28" s="118">
        <f>'BD Team'!J33</f>
        <v>1</v>
      </c>
      <c r="J28" s="103">
        <f t="shared" si="0"/>
        <v>15.430193999999998</v>
      </c>
      <c r="K28" s="172">
        <f>'BD Team'!K33</f>
        <v>39.380000000000003</v>
      </c>
      <c r="L28" s="171">
        <f t="shared" si="1"/>
        <v>39.380000000000003</v>
      </c>
      <c r="M28" s="170">
        <f>L28*'Changable Values'!$D$4</f>
        <v>3268.5400000000004</v>
      </c>
      <c r="N28" s="170" t="str">
        <f>'BD Team'!E33</f>
        <v>6MM (A)</v>
      </c>
      <c r="O28" s="172">
        <v>1002</v>
      </c>
      <c r="P28" s="241"/>
      <c r="Q28" s="173"/>
      <c r="R28" s="185">
        <f t="shared" si="11"/>
        <v>16145.999999999998</v>
      </c>
      <c r="S28" s="312"/>
      <c r="T28" s="313">
        <f t="shared" si="3"/>
        <v>19.733333333333334</v>
      </c>
      <c r="U28" s="313">
        <f t="shared" si="4"/>
        <v>23.68</v>
      </c>
      <c r="V28" s="313">
        <f t="shared" si="5"/>
        <v>1.2333333333333334</v>
      </c>
      <c r="W28" s="313">
        <f t="shared" si="6"/>
        <v>19.733333333333334</v>
      </c>
      <c r="X28" s="313">
        <f t="shared" si="7"/>
        <v>39.466666666666669</v>
      </c>
      <c r="Y28" s="313">
        <f t="shared" si="8"/>
        <v>11.84</v>
      </c>
    </row>
    <row r="29" spans="1:25">
      <c r="A29" s="118">
        <f>'BD Team'!A34</f>
        <v>26</v>
      </c>
      <c r="B29" s="118" t="str">
        <f>'BD Team'!B34</f>
        <v>V1A</v>
      </c>
      <c r="C29" s="118" t="str">
        <f>'BD Team'!C34</f>
        <v>-</v>
      </c>
      <c r="D29" s="118" t="str">
        <f>'BD Team'!D34</f>
        <v>GLASS LOUVERS</v>
      </c>
      <c r="E29" s="118" t="str">
        <f>'BD Team'!F34</f>
        <v>RETRACTABLE</v>
      </c>
      <c r="F29" s="121" t="str">
        <f>'BD Team'!G34</f>
        <v>NA</v>
      </c>
      <c r="G29" s="118">
        <f>'BD Team'!H34</f>
        <v>2121</v>
      </c>
      <c r="H29" s="118">
        <f>'BD Team'!I34</f>
        <v>610</v>
      </c>
      <c r="I29" s="118">
        <f>'BD Team'!J34</f>
        <v>1</v>
      </c>
      <c r="J29" s="103">
        <f t="shared" si="0"/>
        <v>13.92657084</v>
      </c>
      <c r="K29" s="172">
        <f>'BD Team'!K34</f>
        <v>36.020000000000003</v>
      </c>
      <c r="L29" s="171">
        <f t="shared" si="1"/>
        <v>36.020000000000003</v>
      </c>
      <c r="M29" s="170">
        <f>L29*'Changable Values'!$D$4</f>
        <v>2989.6600000000003</v>
      </c>
      <c r="N29" s="170" t="str">
        <f>'BD Team'!E34</f>
        <v>6MM (A)</v>
      </c>
      <c r="O29" s="172">
        <v>1002</v>
      </c>
      <c r="P29" s="241"/>
      <c r="Q29" s="173"/>
      <c r="R29" s="185">
        <f t="shared" si="11"/>
        <v>16145.999999999998</v>
      </c>
      <c r="S29" s="312"/>
      <c r="T29" s="313">
        <f t="shared" si="3"/>
        <v>18.206666666666667</v>
      </c>
      <c r="U29" s="313">
        <f t="shared" si="4"/>
        <v>21.847999999999999</v>
      </c>
      <c r="V29" s="313">
        <f t="shared" si="5"/>
        <v>1.1379166666666667</v>
      </c>
      <c r="W29" s="313">
        <f t="shared" si="6"/>
        <v>18.206666666666667</v>
      </c>
      <c r="X29" s="313">
        <f t="shared" si="7"/>
        <v>36.413333333333334</v>
      </c>
      <c r="Y29" s="313">
        <f t="shared" si="8"/>
        <v>10.923999999999999</v>
      </c>
    </row>
    <row r="30" spans="1:25">
      <c r="A30" s="118">
        <f>'BD Team'!A35</f>
        <v>27</v>
      </c>
      <c r="B30" s="118" t="str">
        <f>'BD Team'!B35</f>
        <v>V2</v>
      </c>
      <c r="C30" s="118" t="str">
        <f>'BD Team'!C35</f>
        <v>-</v>
      </c>
      <c r="D30" s="118" t="str">
        <f>'BD Team'!D35</f>
        <v>GLASS LOUVERS</v>
      </c>
      <c r="E30" s="118" t="str">
        <f>'BD Team'!F35</f>
        <v>RETRACTABLE</v>
      </c>
      <c r="F30" s="121" t="str">
        <f>'BD Team'!G35</f>
        <v>SERVANTS WC</v>
      </c>
      <c r="G30" s="118">
        <f>'BD Team'!H35</f>
        <v>610</v>
      </c>
      <c r="H30" s="118">
        <f>'BD Team'!I35</f>
        <v>610</v>
      </c>
      <c r="I30" s="118">
        <f>'BD Team'!J35</f>
        <v>1</v>
      </c>
      <c r="J30" s="103">
        <f t="shared" si="0"/>
        <v>4.0052843999999999</v>
      </c>
      <c r="K30" s="172">
        <f>'BD Team'!K35</f>
        <v>13.83</v>
      </c>
      <c r="L30" s="171">
        <f t="shared" si="1"/>
        <v>13.83</v>
      </c>
      <c r="M30" s="170">
        <f>L30*'Changable Values'!$D$4</f>
        <v>1147.8900000000001</v>
      </c>
      <c r="N30" s="170" t="str">
        <f>'BD Team'!E35</f>
        <v>6MM (A)</v>
      </c>
      <c r="O30" s="172">
        <v>1002</v>
      </c>
      <c r="P30" s="241"/>
      <c r="Q30" s="173"/>
      <c r="R30" s="185">
        <f t="shared" si="11"/>
        <v>16145.999999999998</v>
      </c>
      <c r="S30" s="312"/>
      <c r="T30" s="313">
        <f t="shared" si="3"/>
        <v>8.1333333333333329</v>
      </c>
      <c r="U30" s="313">
        <f t="shared" si="4"/>
        <v>9.76</v>
      </c>
      <c r="V30" s="313">
        <f t="shared" si="5"/>
        <v>0.5083333333333333</v>
      </c>
      <c r="W30" s="313">
        <f t="shared" si="6"/>
        <v>8.1333333333333329</v>
      </c>
      <c r="X30" s="313">
        <f t="shared" si="7"/>
        <v>16.266666666666666</v>
      </c>
      <c r="Y30" s="313">
        <f t="shared" si="8"/>
        <v>4.88</v>
      </c>
    </row>
    <row r="31" spans="1:25">
      <c r="A31" s="118">
        <f>'BD Team'!A36</f>
        <v>28</v>
      </c>
      <c r="B31" s="118" t="str">
        <f>'BD Team'!B36</f>
        <v>V3</v>
      </c>
      <c r="C31" s="118" t="str">
        <f>'BD Team'!C36</f>
        <v>-</v>
      </c>
      <c r="D31" s="118" t="str">
        <f>'BD Team'!D36</f>
        <v>GLASS LOUVERS</v>
      </c>
      <c r="E31" s="118" t="str">
        <f>'BD Team'!F36</f>
        <v>RETRACTABLE</v>
      </c>
      <c r="F31" s="121" t="str">
        <f>'BD Team'!G36</f>
        <v>SERVANTS WC</v>
      </c>
      <c r="G31" s="118">
        <f>'BD Team'!H36</f>
        <v>1334</v>
      </c>
      <c r="H31" s="118">
        <f>'BD Team'!I36</f>
        <v>610</v>
      </c>
      <c r="I31" s="118">
        <f>'BD Team'!J36</f>
        <v>1</v>
      </c>
      <c r="J31" s="103">
        <f t="shared" si="0"/>
        <v>8.7590973600000002</v>
      </c>
      <c r="K31" s="172">
        <f>'BD Team'!K36</f>
        <v>24.46</v>
      </c>
      <c r="L31" s="171">
        <f t="shared" si="1"/>
        <v>24.46</v>
      </c>
      <c r="M31" s="170">
        <f>L31*'Changable Values'!$D$4</f>
        <v>2030.18</v>
      </c>
      <c r="N31" s="170" t="str">
        <f>'BD Team'!E36</f>
        <v>6MM (A)</v>
      </c>
      <c r="O31" s="172">
        <v>1002</v>
      </c>
      <c r="P31" s="241"/>
      <c r="Q31" s="173"/>
      <c r="R31" s="185">
        <f t="shared" si="11"/>
        <v>16145.999999999998</v>
      </c>
      <c r="S31" s="312"/>
      <c r="T31" s="313">
        <f t="shared" si="3"/>
        <v>12.96</v>
      </c>
      <c r="U31" s="313">
        <f t="shared" si="4"/>
        <v>15.552</v>
      </c>
      <c r="V31" s="313">
        <f t="shared" si="5"/>
        <v>0.81</v>
      </c>
      <c r="W31" s="313">
        <f t="shared" si="6"/>
        <v>12.96</v>
      </c>
      <c r="X31" s="313">
        <f t="shared" si="7"/>
        <v>25.92</v>
      </c>
      <c r="Y31" s="313">
        <f t="shared" si="8"/>
        <v>7.7759999999999998</v>
      </c>
    </row>
    <row r="32" spans="1:25">
      <c r="A32" s="118">
        <f>'BD Team'!A37</f>
        <v>29</v>
      </c>
      <c r="B32" s="118" t="str">
        <f>'BD Team'!B37</f>
        <v>V4</v>
      </c>
      <c r="C32" s="118" t="str">
        <f>'BD Team'!C37</f>
        <v>M15000</v>
      </c>
      <c r="D32" s="118" t="str">
        <f>'BD Team'!D37</f>
        <v>2 SIDE HUNG WINDOWS WITH CENTER FIXED GLASS TO GLASS JOINT</v>
      </c>
      <c r="E32" s="118" t="str">
        <f>'BD Team'!F37</f>
        <v>RETRACTABLE</v>
      </c>
      <c r="F32" s="121" t="str">
        <f>'BD Team'!G37</f>
        <v>WORK STATION</v>
      </c>
      <c r="G32" s="118">
        <f>'BD Team'!H37</f>
        <v>4470</v>
      </c>
      <c r="H32" s="118">
        <f>'BD Team'!I37</f>
        <v>610</v>
      </c>
      <c r="I32" s="118">
        <f>'BD Team'!J37</f>
        <v>1</v>
      </c>
      <c r="J32" s="103">
        <f t="shared" si="0"/>
        <v>29.350198799999998</v>
      </c>
      <c r="K32" s="172">
        <f>'BD Team'!K37</f>
        <v>321.75</v>
      </c>
      <c r="L32" s="171">
        <f t="shared" si="1"/>
        <v>321.75</v>
      </c>
      <c r="M32" s="170">
        <f>L32*'Changable Values'!$D$4</f>
        <v>26705.25</v>
      </c>
      <c r="N32" s="170" t="str">
        <f>'BD Team'!E37</f>
        <v>6MM</v>
      </c>
      <c r="O32" s="172">
        <v>1002</v>
      </c>
      <c r="P32" s="241"/>
      <c r="Q32" s="173"/>
      <c r="R32" s="185">
        <f t="shared" si="11"/>
        <v>16145.999999999998</v>
      </c>
      <c r="S32" s="312"/>
      <c r="T32" s="313">
        <f t="shared" si="3"/>
        <v>33.866666666666667</v>
      </c>
      <c r="U32" s="313">
        <f t="shared" si="4"/>
        <v>40.64</v>
      </c>
      <c r="V32" s="313">
        <f t="shared" si="5"/>
        <v>2.1166666666666667</v>
      </c>
      <c r="W32" s="313">
        <f t="shared" si="6"/>
        <v>33.866666666666667</v>
      </c>
      <c r="X32" s="313">
        <f t="shared" si="7"/>
        <v>67.733333333333334</v>
      </c>
      <c r="Y32" s="313">
        <f t="shared" si="8"/>
        <v>20.32</v>
      </c>
    </row>
    <row r="33" spans="1:25">
      <c r="A33" s="118">
        <f>'BD Team'!A38</f>
        <v>30</v>
      </c>
      <c r="B33" s="118" t="str">
        <f>'BD Team'!B38</f>
        <v>V5</v>
      </c>
      <c r="C33" s="118" t="str">
        <f>'BD Team'!C38</f>
        <v>M15000</v>
      </c>
      <c r="D33" s="118" t="str">
        <f>'BD Team'!D38</f>
        <v>SIDE HUNG WINDOW</v>
      </c>
      <c r="E33" s="118" t="str">
        <f>'BD Team'!F38</f>
        <v>RETRACTABLE</v>
      </c>
      <c r="F33" s="121" t="str">
        <f>'BD Team'!G38</f>
        <v>VARIES</v>
      </c>
      <c r="G33" s="118">
        <f>'BD Team'!H38</f>
        <v>914</v>
      </c>
      <c r="H33" s="118">
        <f>'BD Team'!I38</f>
        <v>914</v>
      </c>
      <c r="I33" s="118">
        <f>'BD Team'!J38</f>
        <v>7</v>
      </c>
      <c r="J33" s="103">
        <f t="shared" si="0"/>
        <v>62.945417807999995</v>
      </c>
      <c r="K33" s="172">
        <f>'BD Team'!K38</f>
        <v>135.56</v>
      </c>
      <c r="L33" s="171">
        <f t="shared" si="1"/>
        <v>948.92000000000007</v>
      </c>
      <c r="M33" s="170">
        <f>L33*'Changable Values'!$D$4</f>
        <v>78760.36</v>
      </c>
      <c r="N33" s="170" t="str">
        <f>'BD Team'!E38</f>
        <v>24MM</v>
      </c>
      <c r="O33" s="172">
        <v>2805</v>
      </c>
      <c r="P33" s="241"/>
      <c r="Q33" s="173"/>
      <c r="R33" s="185">
        <f t="shared" si="11"/>
        <v>16145.999999999998</v>
      </c>
      <c r="S33" s="312"/>
      <c r="T33" s="313">
        <f t="shared" si="3"/>
        <v>85.306666666666672</v>
      </c>
      <c r="U33" s="313">
        <f t="shared" si="4"/>
        <v>102.36799999999999</v>
      </c>
      <c r="V33" s="313">
        <f t="shared" si="5"/>
        <v>5.331666666666667</v>
      </c>
      <c r="W33" s="313">
        <f t="shared" si="6"/>
        <v>85.306666666666672</v>
      </c>
      <c r="X33" s="313">
        <f t="shared" si="7"/>
        <v>170.61333333333334</v>
      </c>
      <c r="Y33" s="313">
        <f t="shared" si="8"/>
        <v>51.183999999999997</v>
      </c>
    </row>
    <row r="34" spans="1:25">
      <c r="A34" s="118">
        <f>'BD Team'!A39</f>
        <v>31</v>
      </c>
      <c r="B34" s="118" t="str">
        <f>'BD Team'!B39</f>
        <v>V6</v>
      </c>
      <c r="C34" s="118" t="str">
        <f>'BD Team'!C39</f>
        <v>M15000</v>
      </c>
      <c r="D34" s="118" t="str">
        <f>'BD Team'!D39</f>
        <v>SIDE HUNG WINDOW</v>
      </c>
      <c r="E34" s="118" t="str">
        <f>'BD Team'!F39</f>
        <v>RETRACTABLE</v>
      </c>
      <c r="F34" s="121" t="str">
        <f>'BD Team'!G39</f>
        <v>VARIES</v>
      </c>
      <c r="G34" s="118">
        <f>'BD Team'!H39</f>
        <v>711</v>
      </c>
      <c r="H34" s="118">
        <f>'BD Team'!I39</f>
        <v>914</v>
      </c>
      <c r="I34" s="118">
        <f>'BD Team'!J39</f>
        <v>2</v>
      </c>
      <c r="J34" s="103">
        <f t="shared" si="0"/>
        <v>13.990056911999998</v>
      </c>
      <c r="K34" s="172">
        <f>'BD Team'!K39</f>
        <v>124.38</v>
      </c>
      <c r="L34" s="171">
        <f t="shared" si="1"/>
        <v>248.76</v>
      </c>
      <c r="M34" s="170">
        <f>L34*'Changable Values'!$D$4</f>
        <v>20647.079999999998</v>
      </c>
      <c r="N34" s="170" t="str">
        <f>'BD Team'!E39</f>
        <v>24MM</v>
      </c>
      <c r="O34" s="172">
        <v>2805</v>
      </c>
      <c r="P34" s="241"/>
      <c r="Q34" s="173"/>
      <c r="R34" s="185">
        <f t="shared" si="11"/>
        <v>16145.999999999998</v>
      </c>
      <c r="S34" s="312"/>
      <c r="T34" s="313">
        <f t="shared" si="3"/>
        <v>21.666666666666668</v>
      </c>
      <c r="U34" s="313">
        <f t="shared" si="4"/>
        <v>26</v>
      </c>
      <c r="V34" s="313">
        <f t="shared" si="5"/>
        <v>1.3541666666666667</v>
      </c>
      <c r="W34" s="313">
        <f t="shared" si="6"/>
        <v>21.666666666666668</v>
      </c>
      <c r="X34" s="313">
        <f t="shared" si="7"/>
        <v>43.333333333333336</v>
      </c>
      <c r="Y34" s="313">
        <f t="shared" si="8"/>
        <v>13</v>
      </c>
    </row>
    <row r="35" spans="1:25">
      <c r="A35" s="118">
        <f>'BD Team'!A40</f>
        <v>32</v>
      </c>
      <c r="B35" s="118" t="str">
        <f>'BD Team'!B40</f>
        <v>V7</v>
      </c>
      <c r="C35" s="118" t="str">
        <f>'BD Team'!C40</f>
        <v>M15000</v>
      </c>
      <c r="D35" s="118" t="str">
        <f>'BD Team'!D40</f>
        <v>2 SIDE HUNG WINDOWS WITH CENTER FIXED</v>
      </c>
      <c r="E35" s="118" t="str">
        <f>'BD Team'!F40</f>
        <v>RETRACTABLE</v>
      </c>
      <c r="F35" s="121" t="str">
        <f>'BD Team'!G40</f>
        <v>VARIES</v>
      </c>
      <c r="G35" s="118">
        <f>'BD Team'!H40</f>
        <v>2743</v>
      </c>
      <c r="H35" s="118">
        <f>'BD Team'!I40</f>
        <v>610</v>
      </c>
      <c r="I35" s="118">
        <f>'BD Team'!J40</f>
        <v>2</v>
      </c>
      <c r="J35" s="103">
        <f t="shared" si="0"/>
        <v>36.021295439999996</v>
      </c>
      <c r="K35" s="172">
        <f>'BD Team'!K40</f>
        <v>274.52</v>
      </c>
      <c r="L35" s="171">
        <f t="shared" si="1"/>
        <v>549.04</v>
      </c>
      <c r="M35" s="170">
        <f>L35*'Changable Values'!$D$4</f>
        <v>45570.32</v>
      </c>
      <c r="N35" s="170" t="str">
        <f>'BD Team'!E40</f>
        <v>6MM</v>
      </c>
      <c r="O35" s="172">
        <v>1002</v>
      </c>
      <c r="P35" s="241"/>
      <c r="Q35" s="173"/>
      <c r="R35" s="185">
        <f t="shared" si="11"/>
        <v>16145.999999999998</v>
      </c>
      <c r="S35" s="312"/>
      <c r="T35" s="313">
        <f t="shared" si="3"/>
        <v>44.706666666666663</v>
      </c>
      <c r="U35" s="313">
        <f t="shared" si="4"/>
        <v>53.648000000000003</v>
      </c>
      <c r="V35" s="313">
        <f t="shared" si="5"/>
        <v>2.7941666666666665</v>
      </c>
      <c r="W35" s="313">
        <f t="shared" si="6"/>
        <v>44.706666666666663</v>
      </c>
      <c r="X35" s="313">
        <f t="shared" si="7"/>
        <v>89.413333333333327</v>
      </c>
      <c r="Y35" s="313">
        <f t="shared" si="8"/>
        <v>26.824000000000002</v>
      </c>
    </row>
    <row r="36" spans="1:25">
      <c r="A36" s="118">
        <f>'BD Team'!A41</f>
        <v>33</v>
      </c>
      <c r="B36" s="118" t="str">
        <f>'BD Team'!B41</f>
        <v>V8</v>
      </c>
      <c r="C36" s="118" t="str">
        <f>'BD Team'!C41</f>
        <v>M15000</v>
      </c>
      <c r="D36" s="118" t="str">
        <f>'BD Team'!D41</f>
        <v>2 SIDE HUNG WINDOWS WITH CENTER FIXED</v>
      </c>
      <c r="E36" s="118" t="str">
        <f>'BD Team'!F41</f>
        <v>RETRACTABLE</v>
      </c>
      <c r="F36" s="121" t="str">
        <f>'BD Team'!G41</f>
        <v>STORE</v>
      </c>
      <c r="G36" s="118">
        <f>'BD Team'!H41</f>
        <v>3073</v>
      </c>
      <c r="H36" s="118">
        <f>'BD Team'!I41</f>
        <v>610</v>
      </c>
      <c r="I36" s="118">
        <f>'BD Team'!J41</f>
        <v>1</v>
      </c>
      <c r="J36" s="103">
        <f t="shared" si="0"/>
        <v>20.177440919999999</v>
      </c>
      <c r="K36" s="172">
        <f>'BD Team'!K41</f>
        <v>283.54000000000002</v>
      </c>
      <c r="L36" s="171">
        <f t="shared" si="1"/>
        <v>283.54000000000002</v>
      </c>
      <c r="M36" s="170">
        <f>L36*'Changable Values'!$D$4</f>
        <v>23533.820000000003</v>
      </c>
      <c r="N36" s="170" t="str">
        <f>'BD Team'!E41</f>
        <v>6MM</v>
      </c>
      <c r="O36" s="172">
        <v>1002</v>
      </c>
      <c r="P36" s="241"/>
      <c r="Q36" s="173"/>
      <c r="R36" s="185">
        <f t="shared" si="11"/>
        <v>16145.999999999998</v>
      </c>
      <c r="S36" s="312"/>
      <c r="T36" s="313">
        <f t="shared" si="3"/>
        <v>24.553333333333335</v>
      </c>
      <c r="U36" s="313">
        <f t="shared" si="4"/>
        <v>29.463999999999999</v>
      </c>
      <c r="V36" s="313">
        <f t="shared" si="5"/>
        <v>1.5345833333333334</v>
      </c>
      <c r="W36" s="313">
        <f t="shared" si="6"/>
        <v>24.553333333333335</v>
      </c>
      <c r="X36" s="313">
        <f t="shared" si="7"/>
        <v>49.106666666666669</v>
      </c>
      <c r="Y36" s="313">
        <f t="shared" si="8"/>
        <v>14.731999999999999</v>
      </c>
    </row>
    <row r="37" spans="1:25">
      <c r="A37" s="118">
        <f>'BD Team'!A42</f>
        <v>34</v>
      </c>
      <c r="B37" s="118" t="str">
        <f>'BD Team'!B42</f>
        <v>CW1</v>
      </c>
      <c r="C37" s="118" t="str">
        <f>'BD Team'!C42</f>
        <v>M15000</v>
      </c>
      <c r="D37" s="118" t="str">
        <f>'BD Team'!D42</f>
        <v>2 SIDE HUNG WINDOWS WITH CENTER FIXED 2 NO'S</v>
      </c>
      <c r="E37" s="118" t="str">
        <f>'BD Team'!F42</f>
        <v>RETRACTABLE</v>
      </c>
      <c r="F37" s="121" t="str">
        <f>'BD Team'!G42</f>
        <v>POOJA ROOM</v>
      </c>
      <c r="G37" s="118">
        <f>'BD Team'!H42</f>
        <v>5385</v>
      </c>
      <c r="H37" s="118">
        <f>'BD Team'!I42</f>
        <v>1676</v>
      </c>
      <c r="I37" s="118">
        <f>'BD Team'!J42</f>
        <v>1</v>
      </c>
      <c r="J37" s="103">
        <f t="shared" si="0"/>
        <v>97.147898639999994</v>
      </c>
      <c r="K37" s="172">
        <f>'BD Team'!K42</f>
        <v>596.22</v>
      </c>
      <c r="L37" s="171">
        <f t="shared" si="1"/>
        <v>596.22</v>
      </c>
      <c r="M37" s="170">
        <f>L37*'Changable Values'!$D$4</f>
        <v>49486.26</v>
      </c>
      <c r="N37" s="170" t="str">
        <f>'BD Team'!E42</f>
        <v>24MM</v>
      </c>
      <c r="O37" s="172">
        <v>2805</v>
      </c>
      <c r="P37" s="241"/>
      <c r="Q37" s="173"/>
      <c r="R37" s="185">
        <f>600*10.764</f>
        <v>6458.4</v>
      </c>
      <c r="S37" s="312"/>
      <c r="T37" s="313">
        <f t="shared" si="3"/>
        <v>47.073333333333331</v>
      </c>
      <c r="U37" s="313">
        <f t="shared" si="4"/>
        <v>56.488</v>
      </c>
      <c r="V37" s="313">
        <f t="shared" si="5"/>
        <v>2.9420833333333332</v>
      </c>
      <c r="W37" s="313">
        <f t="shared" si="6"/>
        <v>47.073333333333331</v>
      </c>
      <c r="X37" s="313">
        <f t="shared" si="7"/>
        <v>94.146666666666661</v>
      </c>
      <c r="Y37" s="313">
        <f t="shared" si="8"/>
        <v>28.244</v>
      </c>
    </row>
    <row r="38" spans="1:25">
      <c r="A38" s="118">
        <f>'BD Team'!A43</f>
        <v>35</v>
      </c>
      <c r="B38" s="118" t="str">
        <f>'BD Team'!B43</f>
        <v>CW2</v>
      </c>
      <c r="C38" s="118" t="str">
        <f>'BD Team'!C43</f>
        <v>M15000</v>
      </c>
      <c r="D38" s="118" t="str">
        <f>'BD Team'!D43</f>
        <v>FRENCH WINDOW WITH SIDE HUNG AND CENTER FIXED</v>
      </c>
      <c r="E38" s="118" t="str">
        <f>'BD Team'!F43</f>
        <v>RETRACTABLE</v>
      </c>
      <c r="F38" s="121" t="str">
        <f>'BD Team'!G43</f>
        <v>STUDY ROOM</v>
      </c>
      <c r="G38" s="118">
        <f>'BD Team'!H43</f>
        <v>5791</v>
      </c>
      <c r="H38" s="118">
        <f>'BD Team'!I43</f>
        <v>1372</v>
      </c>
      <c r="I38" s="118">
        <f>'BD Team'!J43</f>
        <v>1</v>
      </c>
      <c r="J38" s="103">
        <f t="shared" si="0"/>
        <v>85.522692527999993</v>
      </c>
      <c r="K38" s="172">
        <f>'BD Team'!K43</f>
        <v>644.94000000000005</v>
      </c>
      <c r="L38" s="171">
        <f t="shared" si="1"/>
        <v>644.94000000000005</v>
      </c>
      <c r="M38" s="170">
        <f>L38*'Changable Values'!$D$4</f>
        <v>53530.020000000004</v>
      </c>
      <c r="N38" s="170" t="str">
        <f>'BD Team'!E43</f>
        <v>24MM</v>
      </c>
      <c r="O38" s="172">
        <v>2805</v>
      </c>
      <c r="P38" s="241"/>
      <c r="Q38" s="173"/>
      <c r="R38" s="185">
        <f>600*10.764</f>
        <v>6458.4</v>
      </c>
      <c r="S38" s="312"/>
      <c r="T38" s="313">
        <f t="shared" si="3"/>
        <v>47.75333333333333</v>
      </c>
      <c r="U38" s="313">
        <f t="shared" si="4"/>
        <v>57.304000000000002</v>
      </c>
      <c r="V38" s="313">
        <f t="shared" si="5"/>
        <v>2.9845833333333331</v>
      </c>
      <c r="W38" s="313">
        <f t="shared" si="6"/>
        <v>47.75333333333333</v>
      </c>
      <c r="X38" s="313">
        <f t="shared" si="7"/>
        <v>95.506666666666661</v>
      </c>
      <c r="Y38" s="313">
        <f t="shared" si="8"/>
        <v>28.652000000000001</v>
      </c>
    </row>
    <row r="39" spans="1:25">
      <c r="A39" s="118">
        <f>'BD Team'!A44</f>
        <v>36</v>
      </c>
      <c r="B39" s="118" t="str">
        <f>'BD Team'!B44</f>
        <v>CW3</v>
      </c>
      <c r="C39" s="118" t="str">
        <f>'BD Team'!C44</f>
        <v>M15000</v>
      </c>
      <c r="D39" s="118" t="str">
        <f>'BD Team'!D44</f>
        <v>FIXED GLASS 11 NO'S</v>
      </c>
      <c r="E39" s="118" t="str">
        <f>'BD Team'!F44</f>
        <v>NO</v>
      </c>
      <c r="F39" s="121" t="str">
        <f>'BD Team'!G44</f>
        <v>LIVING DOUBLE HEIGHT</v>
      </c>
      <c r="G39" s="118">
        <f>'BD Team'!H44</f>
        <v>9398</v>
      </c>
      <c r="H39" s="118">
        <f>'BD Team'!I44</f>
        <v>3200</v>
      </c>
      <c r="I39" s="118">
        <f>'BD Team'!J44</f>
        <v>1</v>
      </c>
      <c r="J39" s="103">
        <f t="shared" si="0"/>
        <v>323.71223039999995</v>
      </c>
      <c r="K39" s="172">
        <f>'BD Team'!K44</f>
        <v>969.92</v>
      </c>
      <c r="L39" s="171">
        <f t="shared" si="1"/>
        <v>969.92</v>
      </c>
      <c r="M39" s="170">
        <f>L39*'Changable Values'!$D$4</f>
        <v>80503.360000000001</v>
      </c>
      <c r="N39" s="170" t="str">
        <f>'BD Team'!E44</f>
        <v>24MM</v>
      </c>
      <c r="O39" s="172">
        <v>2805</v>
      </c>
      <c r="P39" s="241"/>
      <c r="Q39" s="173"/>
      <c r="R39" s="185"/>
      <c r="S39" s="312">
        <f>SUM('MS insert'!P14:P15)</f>
        <v>25803.263999999996</v>
      </c>
      <c r="T39" s="313">
        <f t="shared" si="3"/>
        <v>83.986666666666665</v>
      </c>
      <c r="U39" s="313">
        <f t="shared" si="4"/>
        <v>100.78400000000001</v>
      </c>
      <c r="V39" s="313">
        <f t="shared" si="5"/>
        <v>5.2491666666666665</v>
      </c>
      <c r="W39" s="313">
        <f t="shared" si="6"/>
        <v>83.986666666666665</v>
      </c>
      <c r="X39" s="313">
        <f t="shared" si="7"/>
        <v>167.97333333333333</v>
      </c>
      <c r="Y39" s="313">
        <f t="shared" si="8"/>
        <v>50.392000000000003</v>
      </c>
    </row>
    <row r="40" spans="1:25">
      <c r="A40" s="118">
        <f>'BD Team'!A45</f>
        <v>37</v>
      </c>
      <c r="B40" s="118" t="str">
        <f>'BD Team'!B45</f>
        <v>W15</v>
      </c>
      <c r="C40" s="118" t="str">
        <f>'BD Team'!C45</f>
        <v>M15000</v>
      </c>
      <c r="D40" s="118" t="str">
        <f>'BD Team'!D45</f>
        <v>2 FRENCH CASEMENT WINDOW WITH 7 FIXED</v>
      </c>
      <c r="E40" s="118" t="str">
        <f>'BD Team'!F45</f>
        <v>RETRACTABLE</v>
      </c>
      <c r="F40" s="121" t="str">
        <f>'BD Team'!G45</f>
        <v>CORRIDOR</v>
      </c>
      <c r="G40" s="118">
        <f>'BD Team'!H45</f>
        <v>4762</v>
      </c>
      <c r="H40" s="118">
        <f>'BD Team'!I45</f>
        <v>3200</v>
      </c>
      <c r="I40" s="118">
        <f>'BD Team'!J45</f>
        <v>1</v>
      </c>
      <c r="J40" s="103">
        <f t="shared" si="0"/>
        <v>164.0261376</v>
      </c>
      <c r="K40" s="172">
        <f>'BD Team'!K45</f>
        <v>961.77</v>
      </c>
      <c r="L40" s="171">
        <f t="shared" si="1"/>
        <v>961.77</v>
      </c>
      <c r="M40" s="170">
        <f>L40*'Changable Values'!$D$4</f>
        <v>79826.91</v>
      </c>
      <c r="N40" s="170" t="str">
        <f>'BD Team'!E45</f>
        <v>24MM</v>
      </c>
      <c r="O40" s="172">
        <v>2805</v>
      </c>
      <c r="P40" s="241"/>
      <c r="Q40" s="173"/>
      <c r="R40" s="185">
        <f>500*10.764</f>
        <v>5382</v>
      </c>
      <c r="S40" s="312"/>
      <c r="T40" s="313">
        <f t="shared" si="3"/>
        <v>53.08</v>
      </c>
      <c r="U40" s="313">
        <f t="shared" si="4"/>
        <v>63.695999999999998</v>
      </c>
      <c r="V40" s="313">
        <f t="shared" si="5"/>
        <v>3.3174999999999999</v>
      </c>
      <c r="W40" s="313">
        <f t="shared" si="6"/>
        <v>53.08</v>
      </c>
      <c r="X40" s="313">
        <f t="shared" si="7"/>
        <v>106.16</v>
      </c>
      <c r="Y40" s="313">
        <f t="shared" si="8"/>
        <v>31.847999999999999</v>
      </c>
    </row>
    <row r="41" spans="1:25">
      <c r="A41" s="118">
        <f>'BD Team'!A46</f>
        <v>38</v>
      </c>
      <c r="B41" s="118" t="str">
        <f>'BD Team'!B46</f>
        <v>W16</v>
      </c>
      <c r="C41" s="118" t="str">
        <f>'BD Team'!C46</f>
        <v>M7 &amp; M15000</v>
      </c>
      <c r="D41" s="118" t="str">
        <f>'BD Team'!D46</f>
        <v>CURTAIN WALL WITH SHAPE WITH FRENCH DOOR AND SINGLE DOOR</v>
      </c>
      <c r="E41" s="118" t="str">
        <f>'BD Team'!F46</f>
        <v>RETRACTABLE</v>
      </c>
      <c r="F41" s="121" t="str">
        <f>'BD Team'!G46</f>
        <v>HOME THEATER</v>
      </c>
      <c r="G41" s="118">
        <f>'BD Team'!H46</f>
        <v>6452</v>
      </c>
      <c r="H41" s="118">
        <f>'BD Team'!I46</f>
        <v>4280</v>
      </c>
      <c r="I41" s="118">
        <f>'BD Team'!J46</f>
        <v>1</v>
      </c>
      <c r="J41" s="103">
        <f t="shared" si="0"/>
        <v>297.24312383999995</v>
      </c>
      <c r="K41" s="172">
        <f>'BD Team'!K46</f>
        <v>2151.91</v>
      </c>
      <c r="L41" s="171">
        <f t="shared" si="1"/>
        <v>2151.91</v>
      </c>
      <c r="M41" s="170">
        <f>L41*'Changable Values'!$D$4</f>
        <v>178608.53</v>
      </c>
      <c r="N41" s="170" t="str">
        <f>'BD Team'!E46</f>
        <v>24MM</v>
      </c>
      <c r="O41" s="172">
        <v>2805</v>
      </c>
      <c r="P41" s="241"/>
      <c r="Q41" s="173"/>
      <c r="R41" s="185">
        <f>300*10.764</f>
        <v>3229.2</v>
      </c>
      <c r="S41" s="312">
        <f>'MS insert'!P16</f>
        <v>12000</v>
      </c>
      <c r="T41" s="313">
        <f t="shared" si="3"/>
        <v>71.546666666666667</v>
      </c>
      <c r="U41" s="313">
        <f t="shared" si="4"/>
        <v>85.855999999999995</v>
      </c>
      <c r="V41" s="313">
        <f t="shared" si="5"/>
        <v>4.4716666666666667</v>
      </c>
      <c r="W41" s="313">
        <f t="shared" si="6"/>
        <v>71.546666666666667</v>
      </c>
      <c r="X41" s="313">
        <f t="shared" si="7"/>
        <v>143.09333333333333</v>
      </c>
      <c r="Y41" s="313">
        <f t="shared" si="8"/>
        <v>42.927999999999997</v>
      </c>
    </row>
    <row r="42" spans="1:25">
      <c r="A42" s="118">
        <f>'BD Team'!A47</f>
        <v>39</v>
      </c>
      <c r="B42" s="118" t="str">
        <f>'BD Team'!B47</f>
        <v>W17</v>
      </c>
      <c r="C42" s="118" t="str">
        <f>'BD Team'!C47</f>
        <v>M15000</v>
      </c>
      <c r="D42" s="118" t="str">
        <f>'BD Team'!D47</f>
        <v>4 FRENCH WINDOWS</v>
      </c>
      <c r="E42" s="118" t="str">
        <f>'BD Team'!F47</f>
        <v>RETRACTABLE</v>
      </c>
      <c r="F42" s="121" t="str">
        <f>'BD Team'!G47</f>
        <v>GYM</v>
      </c>
      <c r="G42" s="118">
        <f>'BD Team'!H47</f>
        <v>5131</v>
      </c>
      <c r="H42" s="118">
        <f>'BD Team'!I47</f>
        <v>1676</v>
      </c>
      <c r="I42" s="118">
        <f>'BD Team'!J47</f>
        <v>1</v>
      </c>
      <c r="J42" s="103">
        <f t="shared" si="0"/>
        <v>92.565620783999989</v>
      </c>
      <c r="K42" s="172">
        <f>'BD Team'!K47</f>
        <v>1207.67</v>
      </c>
      <c r="L42" s="171">
        <f t="shared" si="1"/>
        <v>1207.67</v>
      </c>
      <c r="M42" s="170">
        <f>L42*'Changable Values'!$D$4</f>
        <v>100236.61</v>
      </c>
      <c r="N42" s="170" t="str">
        <f>'BD Team'!E47</f>
        <v>24MM</v>
      </c>
      <c r="O42" s="172">
        <v>2805</v>
      </c>
      <c r="P42" s="241"/>
      <c r="Q42" s="173"/>
      <c r="R42" s="185">
        <f>700*10.764</f>
        <v>7534.7999999999993</v>
      </c>
      <c r="S42" s="312"/>
      <c r="T42" s="313">
        <f t="shared" si="3"/>
        <v>45.38</v>
      </c>
      <c r="U42" s="313">
        <f t="shared" si="4"/>
        <v>54.456000000000003</v>
      </c>
      <c r="V42" s="313">
        <f t="shared" si="5"/>
        <v>2.8362500000000002</v>
      </c>
      <c r="W42" s="313">
        <f t="shared" si="6"/>
        <v>45.38</v>
      </c>
      <c r="X42" s="313">
        <f t="shared" si="7"/>
        <v>90.76</v>
      </c>
      <c r="Y42" s="313">
        <f t="shared" si="8"/>
        <v>27.228000000000002</v>
      </c>
    </row>
    <row r="43" spans="1:25">
      <c r="A43" s="118">
        <f>'BD Team'!A48</f>
        <v>40</v>
      </c>
      <c r="B43" s="118" t="str">
        <f>'BD Team'!B48</f>
        <v>W18</v>
      </c>
      <c r="C43" s="118" t="str">
        <f>'BD Team'!C48</f>
        <v>M15000</v>
      </c>
      <c r="D43" s="118" t="str">
        <f>'BD Team'!D48</f>
        <v>2 FRENCH WINDOWS WITH CENTER FIXED</v>
      </c>
      <c r="E43" s="118" t="str">
        <f>'BD Team'!F48</f>
        <v>RETRACTABLE</v>
      </c>
      <c r="F43" s="121" t="str">
        <f>'BD Team'!G48</f>
        <v>CORRIDOR</v>
      </c>
      <c r="G43" s="118">
        <f>'BD Team'!H48</f>
        <v>4648</v>
      </c>
      <c r="H43" s="118">
        <f>'BD Team'!I48</f>
        <v>1676</v>
      </c>
      <c r="I43" s="118">
        <f>'BD Team'!J48</f>
        <v>1</v>
      </c>
      <c r="J43" s="103">
        <f t="shared" si="0"/>
        <v>83.852076671999995</v>
      </c>
      <c r="K43" s="172">
        <f>'BD Team'!K48</f>
        <v>676.18</v>
      </c>
      <c r="L43" s="171">
        <f t="shared" si="1"/>
        <v>676.18</v>
      </c>
      <c r="M43" s="170">
        <f>L43*'Changable Values'!$D$4</f>
        <v>56122.939999999995</v>
      </c>
      <c r="N43" s="170" t="str">
        <f>'BD Team'!E48</f>
        <v>24MM</v>
      </c>
      <c r="O43" s="172">
        <v>2805</v>
      </c>
      <c r="P43" s="241"/>
      <c r="Q43" s="173"/>
      <c r="R43" s="185">
        <f>800*10.764</f>
        <v>8611.1999999999989</v>
      </c>
      <c r="S43" s="312"/>
      <c r="T43" s="313">
        <f t="shared" si="3"/>
        <v>42.16</v>
      </c>
      <c r="U43" s="313">
        <f t="shared" si="4"/>
        <v>50.591999999999999</v>
      </c>
      <c r="V43" s="313">
        <f t="shared" si="5"/>
        <v>2.6349999999999998</v>
      </c>
      <c r="W43" s="313">
        <f t="shared" si="6"/>
        <v>42.16</v>
      </c>
      <c r="X43" s="313">
        <f t="shared" si="7"/>
        <v>84.32</v>
      </c>
      <c r="Y43" s="313">
        <f t="shared" si="8"/>
        <v>25.295999999999999</v>
      </c>
    </row>
    <row r="44" spans="1:25">
      <c r="A44" s="118">
        <f>'BD Team'!A49</f>
        <v>41</v>
      </c>
      <c r="B44" s="118" t="str">
        <f>'BD Team'!B49</f>
        <v>W19</v>
      </c>
      <c r="C44" s="118" t="str">
        <f>'BD Team'!C49</f>
        <v>M15000</v>
      </c>
      <c r="D44" s="118" t="str">
        <f>'BD Team'!D49</f>
        <v>FIXED GLASS 4 NO'S</v>
      </c>
      <c r="E44" s="118" t="str">
        <f>'BD Team'!F49</f>
        <v>NO</v>
      </c>
      <c r="F44" s="121" t="str">
        <f>'BD Team'!G49</f>
        <v>COVERED TERRACE</v>
      </c>
      <c r="G44" s="118">
        <f>'BD Team'!H49</f>
        <v>4197</v>
      </c>
      <c r="H44" s="118">
        <f>'BD Team'!I49</f>
        <v>1397</v>
      </c>
      <c r="I44" s="118">
        <f>'BD Team'!J49</f>
        <v>1</v>
      </c>
      <c r="J44" s="103">
        <f t="shared" si="0"/>
        <v>63.111581676</v>
      </c>
      <c r="K44" s="172">
        <f>'BD Team'!K49</f>
        <v>202.04</v>
      </c>
      <c r="L44" s="171">
        <f t="shared" si="1"/>
        <v>202.04</v>
      </c>
      <c r="M44" s="170">
        <f>L44*'Changable Values'!$D$4</f>
        <v>16769.32</v>
      </c>
      <c r="N44" s="170" t="str">
        <f>'BD Team'!E49</f>
        <v>24MM</v>
      </c>
      <c r="O44" s="172">
        <v>2805</v>
      </c>
      <c r="P44" s="241"/>
      <c r="Q44" s="173"/>
      <c r="R44" s="185"/>
      <c r="S44" s="312"/>
      <c r="T44" s="313">
        <f t="shared" si="3"/>
        <v>37.293333333333337</v>
      </c>
      <c r="U44" s="313">
        <f t="shared" si="4"/>
        <v>44.752000000000002</v>
      </c>
      <c r="V44" s="313">
        <f t="shared" si="5"/>
        <v>2.3308333333333335</v>
      </c>
      <c r="W44" s="313">
        <f t="shared" si="6"/>
        <v>37.293333333333337</v>
      </c>
      <c r="X44" s="313">
        <f t="shared" si="7"/>
        <v>74.586666666666673</v>
      </c>
      <c r="Y44" s="313">
        <f t="shared" si="8"/>
        <v>22.376000000000001</v>
      </c>
    </row>
    <row r="45" spans="1:25">
      <c r="A45" s="118">
        <f>'BD Team'!A50</f>
        <v>42</v>
      </c>
      <c r="B45" s="118" t="str">
        <f>'BD Team'!B50</f>
        <v>W20</v>
      </c>
      <c r="C45" s="118" t="str">
        <f>'BD Team'!C50</f>
        <v>M15000</v>
      </c>
      <c r="D45" s="118" t="str">
        <f>'BD Team'!D50</f>
        <v>SIDE HUNG WINDOW WITH 2 FIXED</v>
      </c>
      <c r="E45" s="118" t="str">
        <f>'BD Team'!F50</f>
        <v>RETRACTABLE</v>
      </c>
      <c r="F45" s="121" t="str">
        <f>'BD Team'!G50</f>
        <v>PEEYUSH JAIN'S OFFICE</v>
      </c>
      <c r="G45" s="118">
        <f>'BD Team'!H50</f>
        <v>2946</v>
      </c>
      <c r="H45" s="118">
        <f>'BD Team'!I50</f>
        <v>1524</v>
      </c>
      <c r="I45" s="118">
        <f>'BD Team'!J50</f>
        <v>1</v>
      </c>
      <c r="J45" s="103">
        <f t="shared" si="0"/>
        <v>48.327173856000002</v>
      </c>
      <c r="K45" s="172">
        <f>'BD Team'!K50</f>
        <v>302.70999999999998</v>
      </c>
      <c r="L45" s="171">
        <f t="shared" si="1"/>
        <v>302.70999999999998</v>
      </c>
      <c r="M45" s="170">
        <f>L45*'Changable Values'!$D$4</f>
        <v>25124.929999999997</v>
      </c>
      <c r="N45" s="170" t="str">
        <f>'BD Team'!E50</f>
        <v>24MM</v>
      </c>
      <c r="O45" s="172">
        <v>2805</v>
      </c>
      <c r="P45" s="241"/>
      <c r="Q45" s="173"/>
      <c r="R45" s="185">
        <f>1000*10.764</f>
        <v>10764</v>
      </c>
      <c r="S45" s="312"/>
      <c r="T45" s="313">
        <f t="shared" si="3"/>
        <v>29.8</v>
      </c>
      <c r="U45" s="313">
        <f t="shared" si="4"/>
        <v>35.76</v>
      </c>
      <c r="V45" s="313">
        <f t="shared" si="5"/>
        <v>1.8625</v>
      </c>
      <c r="W45" s="313">
        <f t="shared" si="6"/>
        <v>29.8</v>
      </c>
      <c r="X45" s="313">
        <f t="shared" si="7"/>
        <v>59.6</v>
      </c>
      <c r="Y45" s="313">
        <f t="shared" si="8"/>
        <v>17.88</v>
      </c>
    </row>
    <row r="46" spans="1:25">
      <c r="A46" s="118">
        <f>'BD Team'!A51</f>
        <v>43</v>
      </c>
      <c r="B46" s="118" t="str">
        <f>'BD Team'!B51</f>
        <v>W9</v>
      </c>
      <c r="C46" s="118" t="str">
        <f>'BD Team'!C51</f>
        <v>M15000</v>
      </c>
      <c r="D46" s="118" t="str">
        <f>'BD Team'!D51</f>
        <v>FIXED GLASS 3 NO'S</v>
      </c>
      <c r="E46" s="118" t="str">
        <f>'BD Team'!F51</f>
        <v>NO</v>
      </c>
      <c r="F46" s="121" t="str">
        <f>'BD Team'!G51</f>
        <v>NORMATHAS OFFICE</v>
      </c>
      <c r="G46" s="118">
        <f>'BD Team'!H51</f>
        <v>1778</v>
      </c>
      <c r="H46" s="118">
        <f>'BD Team'!I51</f>
        <v>2438</v>
      </c>
      <c r="I46" s="118">
        <f>'BD Team'!J51</f>
        <v>1</v>
      </c>
      <c r="J46" s="103">
        <f t="shared" si="0"/>
        <v>46.659399695999994</v>
      </c>
      <c r="K46" s="172">
        <f>'BD Team'!K51</f>
        <v>183.85</v>
      </c>
      <c r="L46" s="171">
        <f t="shared" si="1"/>
        <v>183.85</v>
      </c>
      <c r="M46" s="170">
        <f>L46*'Changable Values'!$D$4</f>
        <v>15259.55</v>
      </c>
      <c r="N46" s="170" t="str">
        <f>'BD Team'!E51</f>
        <v>24MM</v>
      </c>
      <c r="O46" s="172">
        <v>2805</v>
      </c>
      <c r="P46" s="241"/>
      <c r="Q46" s="173"/>
      <c r="R46" s="185"/>
      <c r="S46" s="312"/>
      <c r="T46" s="313">
        <f t="shared" si="3"/>
        <v>28.106666666666666</v>
      </c>
      <c r="U46" s="313">
        <f t="shared" si="4"/>
        <v>33.728000000000002</v>
      </c>
      <c r="V46" s="313">
        <f t="shared" si="5"/>
        <v>1.7566666666666666</v>
      </c>
      <c r="W46" s="313">
        <f t="shared" si="6"/>
        <v>28.106666666666666</v>
      </c>
      <c r="X46" s="313">
        <f t="shared" si="7"/>
        <v>56.213333333333331</v>
      </c>
      <c r="Y46" s="313">
        <f t="shared" si="8"/>
        <v>16.864000000000001</v>
      </c>
    </row>
    <row r="47" spans="1:25">
      <c r="A47" s="118">
        <f>'BD Team'!A52</f>
        <v>44</v>
      </c>
      <c r="B47" s="118" t="str">
        <f>'BD Team'!B52</f>
        <v>SFD1</v>
      </c>
      <c r="C47" s="118" t="str">
        <f>'BD Team'!C52</f>
        <v>M9800</v>
      </c>
      <c r="D47" s="118" t="str">
        <f>'BD Team'!D52</f>
        <v>SLIDE &amp; FOLD WITH 3 LEAFS</v>
      </c>
      <c r="E47" s="118" t="str">
        <f>'BD Team'!F52</f>
        <v>RETRACTABLE</v>
      </c>
      <c r="F47" s="121" t="str">
        <f>'BD Team'!G52</f>
        <v>LIVING ROOM</v>
      </c>
      <c r="G47" s="118">
        <f>'BD Team'!H52</f>
        <v>2997</v>
      </c>
      <c r="H47" s="118">
        <f>'BD Team'!I52</f>
        <v>2438</v>
      </c>
      <c r="I47" s="118">
        <f>'BD Team'!J52</f>
        <v>1</v>
      </c>
      <c r="J47" s="103">
        <f t="shared" si="0"/>
        <v>78.649168103999997</v>
      </c>
      <c r="K47" s="172">
        <f>'BD Team'!K52</f>
        <v>646.98</v>
      </c>
      <c r="L47" s="171">
        <f t="shared" si="1"/>
        <v>646.98</v>
      </c>
      <c r="M47" s="170">
        <f>L47*'Changable Values'!$D$4</f>
        <v>53699.340000000004</v>
      </c>
      <c r="N47" s="170" t="str">
        <f>'BD Team'!E52</f>
        <v>24MM</v>
      </c>
      <c r="O47" s="172">
        <v>2805</v>
      </c>
      <c r="P47" s="241"/>
      <c r="Q47" s="173"/>
      <c r="R47" s="185">
        <f>900*10.764</f>
        <v>9687.5999999999985</v>
      </c>
      <c r="S47" s="312"/>
      <c r="T47" s="313">
        <f t="shared" si="3"/>
        <v>36.233333333333334</v>
      </c>
      <c r="U47" s="313">
        <f t="shared" si="4"/>
        <v>43.48</v>
      </c>
      <c r="V47" s="313">
        <f t="shared" si="5"/>
        <v>2.2645833333333334</v>
      </c>
      <c r="W47" s="313">
        <f t="shared" si="6"/>
        <v>36.233333333333334</v>
      </c>
      <c r="X47" s="313">
        <f t="shared" si="7"/>
        <v>72.466666666666669</v>
      </c>
      <c r="Y47" s="313">
        <f t="shared" si="8"/>
        <v>21.74</v>
      </c>
    </row>
    <row r="48" spans="1:25">
      <c r="A48" s="118">
        <f>'BD Team'!A53</f>
        <v>45</v>
      </c>
      <c r="B48" s="118" t="str">
        <f>'BD Team'!B53</f>
        <v>SFD2</v>
      </c>
      <c r="C48" s="118" t="str">
        <f>'BD Team'!C53</f>
        <v>M9800</v>
      </c>
      <c r="D48" s="118" t="str">
        <f>'BD Team'!D53</f>
        <v>SLIDE &amp; FOLD WITH 5 LEAFS</v>
      </c>
      <c r="E48" s="118" t="str">
        <f>'BD Team'!F53</f>
        <v>RETRACTABLE</v>
      </c>
      <c r="F48" s="121" t="str">
        <f>'BD Team'!G53</f>
        <v>DINING ROOM</v>
      </c>
      <c r="G48" s="118">
        <f>'BD Team'!H53</f>
        <v>4648</v>
      </c>
      <c r="H48" s="118">
        <f>'BD Team'!I53</f>
        <v>2438</v>
      </c>
      <c r="I48" s="118">
        <f>'BD Team'!J53</f>
        <v>1</v>
      </c>
      <c r="J48" s="103">
        <f t="shared" si="0"/>
        <v>121.975753536</v>
      </c>
      <c r="K48" s="172">
        <f>'BD Team'!K53</f>
        <v>1008.82</v>
      </c>
      <c r="L48" s="171">
        <f t="shared" si="1"/>
        <v>1008.82</v>
      </c>
      <c r="M48" s="170">
        <f>L48*'Changable Values'!$D$4</f>
        <v>83732.06</v>
      </c>
      <c r="N48" s="170" t="str">
        <f>'BD Team'!E53</f>
        <v>24MM</v>
      </c>
      <c r="O48" s="172">
        <v>2805</v>
      </c>
      <c r="P48" s="241"/>
      <c r="Q48" s="173"/>
      <c r="R48" s="185">
        <f>900*10.764</f>
        <v>9687.5999999999985</v>
      </c>
      <c r="S48" s="312"/>
      <c r="T48" s="313">
        <f t="shared" si="3"/>
        <v>47.24</v>
      </c>
      <c r="U48" s="313">
        <f t="shared" si="4"/>
        <v>56.688000000000002</v>
      </c>
      <c r="V48" s="313">
        <f t="shared" si="5"/>
        <v>2.9525000000000001</v>
      </c>
      <c r="W48" s="313">
        <f t="shared" si="6"/>
        <v>47.24</v>
      </c>
      <c r="X48" s="313">
        <f t="shared" si="7"/>
        <v>94.48</v>
      </c>
      <c r="Y48" s="313">
        <f t="shared" si="8"/>
        <v>28.344000000000001</v>
      </c>
    </row>
    <row r="49" spans="1:25">
      <c r="A49" s="118">
        <f>'BD Team'!A54</f>
        <v>46</v>
      </c>
      <c r="B49" s="118" t="str">
        <f>'BD Team'!B54</f>
        <v>SFD3</v>
      </c>
      <c r="C49" s="118" t="str">
        <f>'BD Team'!C54</f>
        <v>M9800</v>
      </c>
      <c r="D49" s="118" t="str">
        <f>'BD Team'!D54</f>
        <v>SLIDE &amp; FOLD WITH 5 LEAFS</v>
      </c>
      <c r="E49" s="118" t="str">
        <f>'BD Team'!F54</f>
        <v>RETRACTABLE</v>
      </c>
      <c r="F49" s="121" t="str">
        <f>'BD Team'!G54</f>
        <v>GUEST BEDROOM</v>
      </c>
      <c r="G49" s="118">
        <f>'BD Team'!H54</f>
        <v>3340</v>
      </c>
      <c r="H49" s="118">
        <f>'BD Team'!I54</f>
        <v>2438</v>
      </c>
      <c r="I49" s="118">
        <f>'BD Team'!J54</f>
        <v>1</v>
      </c>
      <c r="J49" s="103">
        <f t="shared" si="0"/>
        <v>87.650390879999989</v>
      </c>
      <c r="K49" s="172">
        <f>'BD Team'!K54</f>
        <v>924.21</v>
      </c>
      <c r="L49" s="171">
        <f t="shared" si="1"/>
        <v>924.21</v>
      </c>
      <c r="M49" s="170">
        <f>L49*'Changable Values'!$D$4</f>
        <v>76709.430000000008</v>
      </c>
      <c r="N49" s="170" t="str">
        <f>'BD Team'!E54</f>
        <v>24MM</v>
      </c>
      <c r="O49" s="172">
        <v>2805</v>
      </c>
      <c r="P49" s="241"/>
      <c r="Q49" s="173"/>
      <c r="R49" s="185">
        <f>900*10.764</f>
        <v>9687.5999999999985</v>
      </c>
      <c r="S49" s="312"/>
      <c r="T49" s="313">
        <f t="shared" si="3"/>
        <v>38.520000000000003</v>
      </c>
      <c r="U49" s="313">
        <f t="shared" si="4"/>
        <v>46.223999999999997</v>
      </c>
      <c r="V49" s="313">
        <f t="shared" si="5"/>
        <v>2.4075000000000002</v>
      </c>
      <c r="W49" s="313">
        <f t="shared" si="6"/>
        <v>38.520000000000003</v>
      </c>
      <c r="X49" s="313">
        <f t="shared" si="7"/>
        <v>77.040000000000006</v>
      </c>
      <c r="Y49" s="313">
        <f t="shared" si="8"/>
        <v>23.111999999999998</v>
      </c>
    </row>
    <row r="50" spans="1:25">
      <c r="A50" s="118">
        <f>'BD Team'!A55</f>
        <v>47</v>
      </c>
      <c r="B50" s="118" t="str">
        <f>'BD Team'!B55</f>
        <v>D1</v>
      </c>
      <c r="C50" s="118" t="str">
        <f>'BD Team'!C55</f>
        <v>M15000</v>
      </c>
      <c r="D50" s="118" t="str">
        <f>'BD Team'!D55</f>
        <v>SIDE HUNG DOOR</v>
      </c>
      <c r="E50" s="118" t="str">
        <f>'BD Team'!F55</f>
        <v>NO</v>
      </c>
      <c r="F50" s="121" t="str">
        <f>'BD Team'!G55</f>
        <v>NA</v>
      </c>
      <c r="G50" s="118">
        <f>'BD Team'!H55</f>
        <v>1067</v>
      </c>
      <c r="H50" s="118">
        <f>'BD Team'!I55</f>
        <v>2438</v>
      </c>
      <c r="I50" s="118">
        <f>'BD Team'!J55</f>
        <v>2</v>
      </c>
      <c r="J50" s="103">
        <f t="shared" si="0"/>
        <v>56.001776687999993</v>
      </c>
      <c r="K50" s="172">
        <f>'BD Team'!K55</f>
        <v>229.12</v>
      </c>
      <c r="L50" s="171">
        <f t="shared" si="1"/>
        <v>458.24</v>
      </c>
      <c r="M50" s="170">
        <f>L50*'Changable Values'!$D$4</f>
        <v>38033.919999999998</v>
      </c>
      <c r="N50" s="170" t="str">
        <f>'BD Team'!E55</f>
        <v>24MM</v>
      </c>
      <c r="O50" s="172">
        <v>2805</v>
      </c>
      <c r="P50" s="241"/>
      <c r="Q50" s="173"/>
      <c r="R50" s="185"/>
      <c r="S50" s="312"/>
      <c r="T50" s="313">
        <f t="shared" si="3"/>
        <v>46.733333333333334</v>
      </c>
      <c r="U50" s="313">
        <f t="shared" si="4"/>
        <v>56.08</v>
      </c>
      <c r="V50" s="313">
        <f t="shared" si="5"/>
        <v>2.9208333333333334</v>
      </c>
      <c r="W50" s="313">
        <f t="shared" si="6"/>
        <v>46.733333333333334</v>
      </c>
      <c r="X50" s="313">
        <f t="shared" si="7"/>
        <v>93.466666666666669</v>
      </c>
      <c r="Y50" s="313">
        <f t="shared" si="8"/>
        <v>28.04</v>
      </c>
    </row>
    <row r="51" spans="1:25">
      <c r="A51" s="118">
        <f>'BD Team'!A56</f>
        <v>48</v>
      </c>
      <c r="B51" s="118" t="str">
        <f>'BD Team'!B56</f>
        <v>D2</v>
      </c>
      <c r="C51" s="118" t="str">
        <f>'BD Team'!C56</f>
        <v>M15000</v>
      </c>
      <c r="D51" s="118" t="str">
        <f>'BD Team'!D56</f>
        <v>SIDE HUNG DOOR</v>
      </c>
      <c r="E51" s="118" t="str">
        <f>'BD Team'!F56</f>
        <v>NO</v>
      </c>
      <c r="F51" s="121" t="str">
        <f>'BD Team'!G56</f>
        <v>NA</v>
      </c>
      <c r="G51" s="118">
        <f>'BD Team'!H56</f>
        <v>914</v>
      </c>
      <c r="H51" s="118">
        <f>'BD Team'!I56</f>
        <v>2438</v>
      </c>
      <c r="I51" s="118">
        <f>'BD Team'!J56</f>
        <v>19</v>
      </c>
      <c r="J51" s="103">
        <f t="shared" si="0"/>
        <v>455.72954731199997</v>
      </c>
      <c r="K51" s="172">
        <f>'BD Team'!K56</f>
        <v>221.34</v>
      </c>
      <c r="L51" s="171">
        <f t="shared" si="1"/>
        <v>4205.46</v>
      </c>
      <c r="M51" s="170">
        <f>L51*'Changable Values'!$D$4</f>
        <v>349053.18</v>
      </c>
      <c r="N51" s="170" t="str">
        <f>'BD Team'!E56</f>
        <v>24MM</v>
      </c>
      <c r="O51" s="172">
        <v>2805</v>
      </c>
      <c r="P51" s="241"/>
      <c r="Q51" s="173"/>
      <c r="R51" s="185"/>
      <c r="S51" s="312"/>
      <c r="T51" s="313">
        <f t="shared" si="3"/>
        <v>424.58666666666664</v>
      </c>
      <c r="U51" s="313">
        <f t="shared" si="4"/>
        <v>509.50400000000002</v>
      </c>
      <c r="V51" s="313">
        <f t="shared" si="5"/>
        <v>26.536666666666665</v>
      </c>
      <c r="W51" s="313">
        <f t="shared" si="6"/>
        <v>424.58666666666664</v>
      </c>
      <c r="X51" s="313">
        <f t="shared" si="7"/>
        <v>849.17333333333329</v>
      </c>
      <c r="Y51" s="313">
        <f t="shared" si="8"/>
        <v>254.75200000000001</v>
      </c>
    </row>
    <row r="52" spans="1:25">
      <c r="A52" s="118">
        <f>'BD Team'!A57</f>
        <v>49</v>
      </c>
      <c r="B52" s="118" t="str">
        <f>'BD Team'!B57</f>
        <v>D3</v>
      </c>
      <c r="C52" s="118" t="str">
        <f>'BD Team'!C57</f>
        <v>M15000</v>
      </c>
      <c r="D52" s="118" t="str">
        <f>'BD Team'!D57</f>
        <v>SIDE HUNG DOOR</v>
      </c>
      <c r="E52" s="118" t="str">
        <f>'BD Team'!F57</f>
        <v>NO</v>
      </c>
      <c r="F52" s="121" t="str">
        <f>'BD Team'!G57</f>
        <v>NA</v>
      </c>
      <c r="G52" s="118">
        <f>'BD Team'!H57</f>
        <v>762</v>
      </c>
      <c r="H52" s="118">
        <f>'BD Team'!I57</f>
        <v>2438</v>
      </c>
      <c r="I52" s="118">
        <f>'BD Team'!J57</f>
        <v>16</v>
      </c>
      <c r="J52" s="103">
        <f t="shared" si="0"/>
        <v>319.95016934399996</v>
      </c>
      <c r="K52" s="172">
        <f>'BD Team'!K57</f>
        <v>213.62</v>
      </c>
      <c r="L52" s="171">
        <f t="shared" si="1"/>
        <v>3417.92</v>
      </c>
      <c r="M52" s="170">
        <f>L52*'Changable Values'!$D$4</f>
        <v>283687.36</v>
      </c>
      <c r="N52" s="170" t="str">
        <f>'BD Team'!E57</f>
        <v>24MM</v>
      </c>
      <c r="O52" s="172">
        <v>2805</v>
      </c>
      <c r="P52" s="241"/>
      <c r="Q52" s="173"/>
      <c r="R52" s="185"/>
      <c r="S52" s="312"/>
      <c r="T52" s="313">
        <f t="shared" si="3"/>
        <v>341.33333333333331</v>
      </c>
      <c r="U52" s="313">
        <f t="shared" si="4"/>
        <v>409.6</v>
      </c>
      <c r="V52" s="313">
        <f t="shared" si="5"/>
        <v>21.333333333333332</v>
      </c>
      <c r="W52" s="313">
        <f t="shared" si="6"/>
        <v>341.33333333333331</v>
      </c>
      <c r="X52" s="313">
        <f t="shared" si="7"/>
        <v>682.66666666666663</v>
      </c>
      <c r="Y52" s="313">
        <f t="shared" si="8"/>
        <v>204.8</v>
      </c>
    </row>
    <row r="53" spans="1:25">
      <c r="A53" s="118">
        <f>'BD Team'!A58</f>
        <v>50</v>
      </c>
      <c r="B53" s="118" t="str">
        <f>'BD Team'!B58</f>
        <v>DW1</v>
      </c>
      <c r="C53" s="118" t="str">
        <f>'BD Team'!C58</f>
        <v>M15000 &amp; M14600</v>
      </c>
      <c r="D53" s="118" t="str">
        <f>'BD Team'!D58</f>
        <v>3 TRACK 2 SHUTTER SLIDING DOOR WITH SINGLE DOOR AND TOP FIXED</v>
      </c>
      <c r="E53" s="118" t="str">
        <f>'BD Team'!F58</f>
        <v>NO</v>
      </c>
      <c r="F53" s="121" t="str">
        <f>'BD Team'!G58</f>
        <v>ELECTRICAL ROOM</v>
      </c>
      <c r="G53" s="118">
        <f>'BD Team'!H58</f>
        <v>2210</v>
      </c>
      <c r="H53" s="118">
        <f>'BD Team'!I58</f>
        <v>4115</v>
      </c>
      <c r="I53" s="118">
        <f>'BD Team'!J58</f>
        <v>1</v>
      </c>
      <c r="J53" s="103">
        <f t="shared" si="0"/>
        <v>97.889430599999997</v>
      </c>
      <c r="K53" s="172">
        <f>'BD Team'!K58</f>
        <v>817.48</v>
      </c>
      <c r="L53" s="171">
        <f t="shared" si="1"/>
        <v>817.48</v>
      </c>
      <c r="M53" s="170">
        <f>L53*'Changable Values'!$D$4</f>
        <v>67850.84</v>
      </c>
      <c r="N53" s="170" t="str">
        <f>'BD Team'!E58</f>
        <v>24MM</v>
      </c>
      <c r="O53" s="172">
        <v>2805</v>
      </c>
      <c r="P53" s="241"/>
      <c r="Q53" s="173"/>
      <c r="R53" s="185"/>
      <c r="S53" s="312">
        <f>'MS insert'!P17</f>
        <v>1236.375</v>
      </c>
      <c r="T53" s="313">
        <f t="shared" si="3"/>
        <v>42.166666666666664</v>
      </c>
      <c r="U53" s="313">
        <f t="shared" si="4"/>
        <v>50.6</v>
      </c>
      <c r="V53" s="313">
        <f t="shared" si="5"/>
        <v>2.6354166666666665</v>
      </c>
      <c r="W53" s="313">
        <f t="shared" si="6"/>
        <v>42.166666666666664</v>
      </c>
      <c r="X53" s="313">
        <f t="shared" si="7"/>
        <v>84.333333333333329</v>
      </c>
      <c r="Y53" s="313">
        <f t="shared" si="8"/>
        <v>25.3</v>
      </c>
    </row>
    <row r="54" spans="1:25">
      <c r="A54" s="118">
        <f>'BD Team'!A59</f>
        <v>51</v>
      </c>
      <c r="B54" s="118" t="str">
        <f>'BD Team'!B59</f>
        <v>MD</v>
      </c>
      <c r="C54" s="118" t="str">
        <f>'BD Team'!C59</f>
        <v>M15000</v>
      </c>
      <c r="D54" s="118" t="str">
        <f>'BD Team'!D59</f>
        <v>SIDE HUNG DOOR WITH 3 FIXED</v>
      </c>
      <c r="E54" s="118" t="str">
        <f>'BD Team'!F59</f>
        <v>NO</v>
      </c>
      <c r="F54" s="121" t="str">
        <f>'BD Team'!G59</f>
        <v>ENTRANCE DOOR</v>
      </c>
      <c r="G54" s="118">
        <f>'BD Team'!H59</f>
        <v>2033</v>
      </c>
      <c r="H54" s="118">
        <f>'BD Team'!I59</f>
        <v>4115</v>
      </c>
      <c r="I54" s="118">
        <f>'BD Team'!J59</f>
        <v>1</v>
      </c>
      <c r="J54" s="103">
        <f t="shared" ref="J54:J103" si="12">G54*H54*I54*10.764/1000000</f>
        <v>90.049417379999994</v>
      </c>
      <c r="K54" s="172">
        <f>'BD Team'!K59</f>
        <v>424.55</v>
      </c>
      <c r="L54" s="171">
        <f>K54*I54</f>
        <v>424.55</v>
      </c>
      <c r="M54" s="170">
        <f>L54*'Changable Values'!$D$4</f>
        <v>35237.65</v>
      </c>
      <c r="N54" s="170" t="str">
        <f>'BD Team'!E59</f>
        <v>24MM</v>
      </c>
      <c r="O54" s="172">
        <v>2805</v>
      </c>
      <c r="P54" s="241"/>
      <c r="Q54" s="173"/>
      <c r="R54" s="185"/>
      <c r="S54" s="312"/>
      <c r="T54" s="313">
        <f t="shared" si="3"/>
        <v>40.986666666666665</v>
      </c>
      <c r="U54" s="313">
        <f t="shared" si="4"/>
        <v>49.183999999999997</v>
      </c>
      <c r="V54" s="313">
        <f t="shared" si="5"/>
        <v>2.5616666666666665</v>
      </c>
      <c r="W54" s="313">
        <f t="shared" si="6"/>
        <v>40.986666666666665</v>
      </c>
      <c r="X54" s="313">
        <f t="shared" si="7"/>
        <v>81.973333333333329</v>
      </c>
      <c r="Y54" s="313">
        <f t="shared" si="8"/>
        <v>24.591999999999999</v>
      </c>
    </row>
    <row r="55" spans="1:25">
      <c r="A55" s="118">
        <f>'BD Team'!A60</f>
        <v>52</v>
      </c>
      <c r="B55" s="118" t="str">
        <f>'BD Team'!B60</f>
        <v>PD1</v>
      </c>
      <c r="C55" s="118" t="str">
        <f>'BD Team'!C60</f>
        <v>M14600</v>
      </c>
      <c r="D55" s="118" t="str">
        <f>'BD Team'!D60</f>
        <v>POCKET DOOR</v>
      </c>
      <c r="E55" s="118" t="str">
        <f>'BD Team'!F60</f>
        <v>NO</v>
      </c>
      <c r="F55" s="121" t="str">
        <f>'BD Team'!G60</f>
        <v>FORMAL LIVING ROOM</v>
      </c>
      <c r="G55" s="118">
        <f>'BD Team'!H60</f>
        <v>6098</v>
      </c>
      <c r="H55" s="118">
        <f>'BD Team'!I60</f>
        <v>2438</v>
      </c>
      <c r="I55" s="118">
        <f>'BD Team'!J60</f>
        <v>1</v>
      </c>
      <c r="J55" s="103">
        <f t="shared" si="12"/>
        <v>160.02756993599999</v>
      </c>
      <c r="K55" s="172">
        <f>'BD Team'!K60</f>
        <v>737.79</v>
      </c>
      <c r="L55" s="171">
        <f t="shared" ref="L55:L103" si="13">K55*I55</f>
        <v>737.79</v>
      </c>
      <c r="M55" s="170">
        <f>L55*'Changable Values'!$D$4</f>
        <v>61236.57</v>
      </c>
      <c r="N55" s="170" t="str">
        <f>'BD Team'!E60</f>
        <v>24MM</v>
      </c>
      <c r="O55" s="172">
        <v>2805</v>
      </c>
      <c r="P55" s="241"/>
      <c r="Q55" s="173"/>
      <c r="R55" s="185"/>
      <c r="S55" s="312"/>
      <c r="T55" s="313">
        <f t="shared" si="3"/>
        <v>56.906666666666666</v>
      </c>
      <c r="U55" s="313">
        <f t="shared" si="4"/>
        <v>68.287999999999997</v>
      </c>
      <c r="V55" s="313">
        <f t="shared" si="5"/>
        <v>3.5566666666666666</v>
      </c>
      <c r="W55" s="313">
        <f t="shared" si="6"/>
        <v>56.906666666666666</v>
      </c>
      <c r="X55" s="313">
        <f t="shared" si="7"/>
        <v>113.81333333333333</v>
      </c>
      <c r="Y55" s="313">
        <f t="shared" si="8"/>
        <v>34.143999999999998</v>
      </c>
    </row>
    <row r="56" spans="1:25">
      <c r="A56" s="118">
        <f>'BD Team'!A61</f>
        <v>53</v>
      </c>
      <c r="B56" s="118" t="str">
        <f>'BD Team'!B61</f>
        <v>PD2</v>
      </c>
      <c r="C56" s="118" t="str">
        <f>'BD Team'!C61</f>
        <v>M14600</v>
      </c>
      <c r="D56" s="118" t="str">
        <f>'BD Team'!D61</f>
        <v>POCKET DOOR</v>
      </c>
      <c r="E56" s="118" t="str">
        <f>'BD Team'!F61</f>
        <v>NO</v>
      </c>
      <c r="F56" s="121" t="str">
        <f>'BD Team'!G61</f>
        <v>NORMATHAS OFFICE</v>
      </c>
      <c r="G56" s="118">
        <f>'BD Team'!H61</f>
        <v>1981</v>
      </c>
      <c r="H56" s="118">
        <f>'BD Team'!I61</f>
        <v>2438</v>
      </c>
      <c r="I56" s="118">
        <f>'BD Team'!J61</f>
        <v>1</v>
      </c>
      <c r="J56" s="103">
        <f t="shared" si="12"/>
        <v>51.986653992000001</v>
      </c>
      <c r="K56" s="172">
        <f>'BD Team'!K61</f>
        <v>371.05</v>
      </c>
      <c r="L56" s="171">
        <f t="shared" si="13"/>
        <v>371.05</v>
      </c>
      <c r="M56" s="170">
        <f>L56*'Changable Values'!$D$4</f>
        <v>30797.15</v>
      </c>
      <c r="N56" s="170" t="str">
        <f>'BD Team'!E61</f>
        <v>24MM</v>
      </c>
      <c r="O56" s="172">
        <v>2805</v>
      </c>
      <c r="P56" s="241"/>
      <c r="Q56" s="173"/>
      <c r="R56" s="185"/>
      <c r="S56" s="312"/>
      <c r="T56" s="313">
        <f t="shared" si="3"/>
        <v>29.46</v>
      </c>
      <c r="U56" s="313">
        <f t="shared" si="4"/>
        <v>35.351999999999997</v>
      </c>
      <c r="V56" s="313">
        <f t="shared" si="5"/>
        <v>1.8412500000000001</v>
      </c>
      <c r="W56" s="313">
        <f t="shared" si="6"/>
        <v>29.46</v>
      </c>
      <c r="X56" s="313">
        <f t="shared" si="7"/>
        <v>58.92</v>
      </c>
      <c r="Y56" s="313">
        <f t="shared" si="8"/>
        <v>17.675999999999998</v>
      </c>
    </row>
    <row r="57" spans="1:25">
      <c r="A57" s="118">
        <f>'BD Team'!A62</f>
        <v>54</v>
      </c>
      <c r="B57" s="118" t="str">
        <f>'BD Team'!B62</f>
        <v>PD3</v>
      </c>
      <c r="C57" s="118" t="str">
        <f>'BD Team'!C62</f>
        <v>M14600</v>
      </c>
      <c r="D57" s="118" t="str">
        <f>'BD Team'!D62</f>
        <v>POCKET DOOR</v>
      </c>
      <c r="E57" s="118" t="str">
        <f>'BD Team'!F62</f>
        <v>NO</v>
      </c>
      <c r="F57" s="121" t="str">
        <f>'BD Team'!G62</f>
        <v>FAMILY ROOM</v>
      </c>
      <c r="G57" s="118">
        <f>'BD Team'!H62</f>
        <v>5182</v>
      </c>
      <c r="H57" s="118">
        <f>'BD Team'!I62</f>
        <v>2438</v>
      </c>
      <c r="I57" s="118">
        <f>'BD Team'!J62</f>
        <v>1</v>
      </c>
      <c r="J57" s="103">
        <f t="shared" si="12"/>
        <v>135.989319024</v>
      </c>
      <c r="K57" s="172">
        <f>'BD Team'!K62</f>
        <v>745.77</v>
      </c>
      <c r="L57" s="171">
        <f t="shared" si="13"/>
        <v>745.77</v>
      </c>
      <c r="M57" s="170">
        <f>L57*'Changable Values'!$D$4</f>
        <v>61898.909999999996</v>
      </c>
      <c r="N57" s="170" t="str">
        <f>'BD Team'!E62</f>
        <v>24MM</v>
      </c>
      <c r="O57" s="172">
        <v>2805</v>
      </c>
      <c r="P57" s="241"/>
      <c r="Q57" s="173"/>
      <c r="R57" s="185"/>
      <c r="S57" s="312"/>
      <c r="T57" s="313">
        <f t="shared" si="3"/>
        <v>50.8</v>
      </c>
      <c r="U57" s="313">
        <f t="shared" si="4"/>
        <v>60.96</v>
      </c>
      <c r="V57" s="313">
        <f t="shared" si="5"/>
        <v>3.1749999999999998</v>
      </c>
      <c r="W57" s="313">
        <f t="shared" si="6"/>
        <v>50.8</v>
      </c>
      <c r="X57" s="313">
        <f t="shared" si="7"/>
        <v>101.6</v>
      </c>
      <c r="Y57" s="313">
        <f t="shared" si="8"/>
        <v>30.48</v>
      </c>
    </row>
    <row r="58" spans="1:25">
      <c r="A58" s="118">
        <f>'BD Team'!A63</f>
        <v>55</v>
      </c>
      <c r="B58" s="118" t="str">
        <f>'BD Team'!B63</f>
        <v>PD4</v>
      </c>
      <c r="C58" s="118" t="str">
        <f>'BD Team'!C63</f>
        <v>M14600</v>
      </c>
      <c r="D58" s="118" t="str">
        <f>'BD Team'!D63</f>
        <v>POCKET DOOR</v>
      </c>
      <c r="E58" s="118" t="str">
        <f>'BD Team'!F63</f>
        <v>NO</v>
      </c>
      <c r="F58" s="121" t="str">
        <f>'BD Team'!G63</f>
        <v>CORRIDOR</v>
      </c>
      <c r="G58" s="118">
        <f>'BD Team'!H63</f>
        <v>2210</v>
      </c>
      <c r="H58" s="118">
        <f>'BD Team'!I63</f>
        <v>2438</v>
      </c>
      <c r="I58" s="118">
        <f>'BD Team'!J63</f>
        <v>2</v>
      </c>
      <c r="J58" s="103">
        <f t="shared" si="12"/>
        <v>115.99243344</v>
      </c>
      <c r="K58" s="172">
        <f>'BD Team'!K63</f>
        <v>385.06</v>
      </c>
      <c r="L58" s="171">
        <f t="shared" si="13"/>
        <v>770.12</v>
      </c>
      <c r="M58" s="170">
        <f>L58*'Changable Values'!$D$4</f>
        <v>63919.96</v>
      </c>
      <c r="N58" s="170" t="str">
        <f>'BD Team'!E63</f>
        <v>24MM</v>
      </c>
      <c r="O58" s="172">
        <v>2805</v>
      </c>
      <c r="P58" s="241"/>
      <c r="Q58" s="173"/>
      <c r="R58" s="185"/>
      <c r="S58" s="312"/>
      <c r="T58" s="313">
        <f t="shared" si="3"/>
        <v>61.973333333333336</v>
      </c>
      <c r="U58" s="313">
        <f t="shared" si="4"/>
        <v>74.367999999999995</v>
      </c>
      <c r="V58" s="313">
        <f t="shared" si="5"/>
        <v>3.8733333333333335</v>
      </c>
      <c r="W58" s="313">
        <f t="shared" si="6"/>
        <v>61.973333333333336</v>
      </c>
      <c r="X58" s="313">
        <f t="shared" si="7"/>
        <v>123.94666666666667</v>
      </c>
      <c r="Y58" s="313">
        <f t="shared" si="8"/>
        <v>37.183999999999997</v>
      </c>
    </row>
    <row r="59" spans="1:25">
      <c r="A59" s="118">
        <f>'BD Team'!A64</f>
        <v>56</v>
      </c>
      <c r="B59" s="118" t="str">
        <f>'BD Team'!B64</f>
        <v>PD5</v>
      </c>
      <c r="C59" s="118" t="str">
        <f>'BD Team'!C64</f>
        <v>M14600</v>
      </c>
      <c r="D59" s="118" t="str">
        <f>'BD Team'!D64</f>
        <v>POCKET DOOR</v>
      </c>
      <c r="E59" s="118" t="str">
        <f>'BD Team'!F64</f>
        <v>NO</v>
      </c>
      <c r="F59" s="121" t="str">
        <f>'BD Team'!G64</f>
        <v>NA</v>
      </c>
      <c r="G59" s="118">
        <f>'BD Team'!H64</f>
        <v>1981</v>
      </c>
      <c r="H59" s="118">
        <f>'BD Team'!I64</f>
        <v>2438</v>
      </c>
      <c r="I59" s="118">
        <f>'BD Team'!J64</f>
        <v>4</v>
      </c>
      <c r="J59" s="103">
        <f t="shared" si="12"/>
        <v>207.946615968</v>
      </c>
      <c r="K59" s="172">
        <f>'BD Team'!K64</f>
        <v>371.05</v>
      </c>
      <c r="L59" s="171">
        <f t="shared" si="13"/>
        <v>1484.2</v>
      </c>
      <c r="M59" s="170">
        <f>L59*'Changable Values'!$D$4</f>
        <v>123188.6</v>
      </c>
      <c r="N59" s="170" t="str">
        <f>'BD Team'!E64</f>
        <v>24MM</v>
      </c>
      <c r="O59" s="172">
        <v>2805</v>
      </c>
      <c r="P59" s="241"/>
      <c r="Q59" s="173"/>
      <c r="R59" s="185"/>
      <c r="S59" s="312"/>
      <c r="T59" s="313">
        <f t="shared" si="3"/>
        <v>117.84</v>
      </c>
      <c r="U59" s="313">
        <f t="shared" si="4"/>
        <v>141.40799999999999</v>
      </c>
      <c r="V59" s="313">
        <f t="shared" si="5"/>
        <v>7.3650000000000002</v>
      </c>
      <c r="W59" s="313">
        <f t="shared" si="6"/>
        <v>117.84</v>
      </c>
      <c r="X59" s="313">
        <f t="shared" si="7"/>
        <v>235.68</v>
      </c>
      <c r="Y59" s="313">
        <f t="shared" si="8"/>
        <v>70.703999999999994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2"/>
        <v>0</v>
      </c>
      <c r="K60" s="172">
        <f>'BD Team'!K65</f>
        <v>0</v>
      </c>
      <c r="L60" s="171">
        <f t="shared" si="1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2"/>
        <v>0</v>
      </c>
      <c r="K61" s="172">
        <f>'BD Team'!K66</f>
        <v>0</v>
      </c>
      <c r="L61" s="171">
        <f t="shared" si="1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2"/>
        <v>0</v>
      </c>
      <c r="K62" s="172">
        <f>'BD Team'!K67</f>
        <v>0</v>
      </c>
      <c r="L62" s="171">
        <f t="shared" si="1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2"/>
        <v>0</v>
      </c>
      <c r="K63" s="172">
        <f>'BD Team'!K68</f>
        <v>0</v>
      </c>
      <c r="L63" s="171">
        <f t="shared" si="1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2"/>
        <v>0</v>
      </c>
      <c r="K64" s="172">
        <f>'BD Team'!K69</f>
        <v>0</v>
      </c>
      <c r="L64" s="171">
        <f t="shared" si="1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2"/>
        <v>0</v>
      </c>
      <c r="K65" s="172">
        <f>'BD Team'!K70</f>
        <v>0</v>
      </c>
      <c r="L65" s="171">
        <f t="shared" si="1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2"/>
        <v>0</v>
      </c>
      <c r="K66" s="172">
        <f>'BD Team'!K71</f>
        <v>0</v>
      </c>
      <c r="L66" s="171">
        <f t="shared" si="1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2"/>
        <v>0</v>
      </c>
      <c r="K67" s="172">
        <f>'BD Team'!K72</f>
        <v>0</v>
      </c>
      <c r="L67" s="171">
        <f t="shared" si="1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2"/>
        <v>0</v>
      </c>
      <c r="K68" s="172">
        <f>'BD Team'!K73</f>
        <v>0</v>
      </c>
      <c r="L68" s="171">
        <f t="shared" si="1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2"/>
        <v>0</v>
      </c>
      <c r="K69" s="172">
        <f>'BD Team'!K74</f>
        <v>0</v>
      </c>
      <c r="L69" s="171">
        <f t="shared" si="1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4">(G69+H69)*I69*2/300</f>
        <v>0</v>
      </c>
      <c r="U69" s="313">
        <f t="shared" ref="U69:U103" si="15">SUM(G69:H69)*I69*2*4/1000</f>
        <v>0</v>
      </c>
      <c r="V69" s="313">
        <f t="shared" ref="V69:V103" si="16">SUM(G69:H69)*I69*5*5*4/(1000*240)</f>
        <v>0</v>
      </c>
      <c r="W69" s="313">
        <f t="shared" ref="W69:W103" si="17">T69</f>
        <v>0</v>
      </c>
      <c r="X69" s="313">
        <f t="shared" ref="X69:X103" si="18">W69*2</f>
        <v>0</v>
      </c>
      <c r="Y69" s="313">
        <f t="shared" ref="Y69:Y103" si="19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2"/>
        <v>0</v>
      </c>
      <c r="K70" s="172">
        <f>'BD Team'!K75</f>
        <v>0</v>
      </c>
      <c r="L70" s="171">
        <f t="shared" si="1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4"/>
        <v>0</v>
      </c>
      <c r="U70" s="313">
        <f t="shared" si="15"/>
        <v>0</v>
      </c>
      <c r="V70" s="313">
        <f t="shared" si="16"/>
        <v>0</v>
      </c>
      <c r="W70" s="313">
        <f t="shared" si="17"/>
        <v>0</v>
      </c>
      <c r="X70" s="313">
        <f t="shared" si="18"/>
        <v>0</v>
      </c>
      <c r="Y70" s="313">
        <f t="shared" si="19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2"/>
        <v>0</v>
      </c>
      <c r="K71" s="172">
        <f>'BD Team'!K76</f>
        <v>0</v>
      </c>
      <c r="L71" s="171">
        <f t="shared" si="1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4"/>
        <v>0</v>
      </c>
      <c r="U71" s="313">
        <f t="shared" si="15"/>
        <v>0</v>
      </c>
      <c r="V71" s="313">
        <f t="shared" si="16"/>
        <v>0</v>
      </c>
      <c r="W71" s="313">
        <f t="shared" si="17"/>
        <v>0</v>
      </c>
      <c r="X71" s="313">
        <f t="shared" si="18"/>
        <v>0</v>
      </c>
      <c r="Y71" s="313">
        <f t="shared" si="19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2"/>
        <v>0</v>
      </c>
      <c r="K72" s="172">
        <f>'BD Team'!K77</f>
        <v>0</v>
      </c>
      <c r="L72" s="171">
        <f t="shared" si="1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4"/>
        <v>0</v>
      </c>
      <c r="U72" s="313">
        <f t="shared" si="15"/>
        <v>0</v>
      </c>
      <c r="V72" s="313">
        <f t="shared" si="16"/>
        <v>0</v>
      </c>
      <c r="W72" s="313">
        <f t="shared" si="17"/>
        <v>0</v>
      </c>
      <c r="X72" s="313">
        <f t="shared" si="18"/>
        <v>0</v>
      </c>
      <c r="Y72" s="313">
        <f t="shared" si="19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2"/>
        <v>0</v>
      </c>
      <c r="K73" s="172">
        <f>'BD Team'!K78</f>
        <v>0</v>
      </c>
      <c r="L73" s="171">
        <f t="shared" si="1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4"/>
        <v>0</v>
      </c>
      <c r="U73" s="313">
        <f t="shared" si="15"/>
        <v>0</v>
      </c>
      <c r="V73" s="313">
        <f t="shared" si="16"/>
        <v>0</v>
      </c>
      <c r="W73" s="313">
        <f t="shared" si="17"/>
        <v>0</v>
      </c>
      <c r="X73" s="313">
        <f t="shared" si="18"/>
        <v>0</v>
      </c>
      <c r="Y73" s="313">
        <f t="shared" si="19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2"/>
        <v>0</v>
      </c>
      <c r="K74" s="172">
        <f>'BD Team'!K79</f>
        <v>0</v>
      </c>
      <c r="L74" s="171">
        <f t="shared" si="1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4"/>
        <v>0</v>
      </c>
      <c r="U74" s="313">
        <f t="shared" si="15"/>
        <v>0</v>
      </c>
      <c r="V74" s="313">
        <f t="shared" si="16"/>
        <v>0</v>
      </c>
      <c r="W74" s="313">
        <f t="shared" si="17"/>
        <v>0</v>
      </c>
      <c r="X74" s="313">
        <f t="shared" si="18"/>
        <v>0</v>
      </c>
      <c r="Y74" s="313">
        <f t="shared" si="19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2"/>
        <v>0</v>
      </c>
      <c r="K75" s="172">
        <f>'BD Team'!K80</f>
        <v>0</v>
      </c>
      <c r="L75" s="171">
        <f t="shared" si="1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4"/>
        <v>0</v>
      </c>
      <c r="U75" s="313">
        <f t="shared" si="15"/>
        <v>0</v>
      </c>
      <c r="V75" s="313">
        <f t="shared" si="16"/>
        <v>0</v>
      </c>
      <c r="W75" s="313">
        <f t="shared" si="17"/>
        <v>0</v>
      </c>
      <c r="X75" s="313">
        <f t="shared" si="18"/>
        <v>0</v>
      </c>
      <c r="Y75" s="313">
        <f t="shared" si="19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2"/>
        <v>0</v>
      </c>
      <c r="K76" s="172">
        <f>'BD Team'!K81</f>
        <v>0</v>
      </c>
      <c r="L76" s="171">
        <f t="shared" si="1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4"/>
        <v>0</v>
      </c>
      <c r="U76" s="313">
        <f t="shared" si="15"/>
        <v>0</v>
      </c>
      <c r="V76" s="313">
        <f t="shared" si="16"/>
        <v>0</v>
      </c>
      <c r="W76" s="313">
        <f t="shared" si="17"/>
        <v>0</v>
      </c>
      <c r="X76" s="313">
        <f t="shared" si="18"/>
        <v>0</v>
      </c>
      <c r="Y76" s="313">
        <f t="shared" si="19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2"/>
        <v>0</v>
      </c>
      <c r="K77" s="172">
        <f>'BD Team'!K82</f>
        <v>0</v>
      </c>
      <c r="L77" s="171">
        <f t="shared" si="1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4"/>
        <v>0</v>
      </c>
      <c r="U77" s="313">
        <f t="shared" si="15"/>
        <v>0</v>
      </c>
      <c r="V77" s="313">
        <f t="shared" si="16"/>
        <v>0</v>
      </c>
      <c r="W77" s="313">
        <f t="shared" si="17"/>
        <v>0</v>
      </c>
      <c r="X77" s="313">
        <f t="shared" si="18"/>
        <v>0</v>
      </c>
      <c r="Y77" s="313">
        <f t="shared" si="19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2"/>
        <v>0</v>
      </c>
      <c r="K78" s="172">
        <f>'BD Team'!K83</f>
        <v>0</v>
      </c>
      <c r="L78" s="171">
        <f t="shared" si="1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4"/>
        <v>0</v>
      </c>
      <c r="U78" s="313">
        <f t="shared" si="15"/>
        <v>0</v>
      </c>
      <c r="V78" s="313">
        <f t="shared" si="16"/>
        <v>0</v>
      </c>
      <c r="W78" s="313">
        <f t="shared" si="17"/>
        <v>0</v>
      </c>
      <c r="X78" s="313">
        <f t="shared" si="18"/>
        <v>0</v>
      </c>
      <c r="Y78" s="313">
        <f t="shared" si="19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2"/>
        <v>0</v>
      </c>
      <c r="K79" s="172">
        <f>'BD Team'!K84</f>
        <v>0</v>
      </c>
      <c r="L79" s="171">
        <f t="shared" si="1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4"/>
        <v>0</v>
      </c>
      <c r="U79" s="313">
        <f t="shared" si="15"/>
        <v>0</v>
      </c>
      <c r="V79" s="313">
        <f t="shared" si="16"/>
        <v>0</v>
      </c>
      <c r="W79" s="313">
        <f t="shared" si="17"/>
        <v>0</v>
      </c>
      <c r="X79" s="313">
        <f t="shared" si="18"/>
        <v>0</v>
      </c>
      <c r="Y79" s="313">
        <f t="shared" si="19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2"/>
        <v>0</v>
      </c>
      <c r="K80" s="172">
        <f>'BD Team'!K85</f>
        <v>0</v>
      </c>
      <c r="L80" s="171">
        <f t="shared" si="1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4"/>
        <v>0</v>
      </c>
      <c r="U80" s="313">
        <f t="shared" si="15"/>
        <v>0</v>
      </c>
      <c r="V80" s="313">
        <f t="shared" si="16"/>
        <v>0</v>
      </c>
      <c r="W80" s="313">
        <f t="shared" si="17"/>
        <v>0</v>
      </c>
      <c r="X80" s="313">
        <f t="shared" si="18"/>
        <v>0</v>
      </c>
      <c r="Y80" s="313">
        <f t="shared" si="19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2"/>
        <v>0</v>
      </c>
      <c r="K81" s="172">
        <f>'BD Team'!K86</f>
        <v>0</v>
      </c>
      <c r="L81" s="171">
        <f t="shared" si="1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4"/>
        <v>0</v>
      </c>
      <c r="U81" s="313">
        <f t="shared" si="15"/>
        <v>0</v>
      </c>
      <c r="V81" s="313">
        <f t="shared" si="16"/>
        <v>0</v>
      </c>
      <c r="W81" s="313">
        <f t="shared" si="17"/>
        <v>0</v>
      </c>
      <c r="X81" s="313">
        <f t="shared" si="18"/>
        <v>0</v>
      </c>
      <c r="Y81" s="313">
        <f t="shared" si="19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2"/>
        <v>0</v>
      </c>
      <c r="K82" s="172">
        <f>'BD Team'!K87</f>
        <v>0</v>
      </c>
      <c r="L82" s="171">
        <f t="shared" si="1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4"/>
        <v>0</v>
      </c>
      <c r="U82" s="313">
        <f t="shared" si="15"/>
        <v>0</v>
      </c>
      <c r="V82" s="313">
        <f t="shared" si="16"/>
        <v>0</v>
      </c>
      <c r="W82" s="313">
        <f t="shared" si="17"/>
        <v>0</v>
      </c>
      <c r="X82" s="313">
        <f t="shared" si="18"/>
        <v>0</v>
      </c>
      <c r="Y82" s="313">
        <f t="shared" si="19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2"/>
        <v>0</v>
      </c>
      <c r="K83" s="172">
        <f>'BD Team'!K88</f>
        <v>0</v>
      </c>
      <c r="L83" s="171">
        <f t="shared" si="1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4"/>
        <v>0</v>
      </c>
      <c r="U83" s="313">
        <f t="shared" si="15"/>
        <v>0</v>
      </c>
      <c r="V83" s="313">
        <f t="shared" si="16"/>
        <v>0</v>
      </c>
      <c r="W83" s="313">
        <f t="shared" si="17"/>
        <v>0</v>
      </c>
      <c r="X83" s="313">
        <f t="shared" si="18"/>
        <v>0</v>
      </c>
      <c r="Y83" s="313">
        <f t="shared" si="19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2"/>
        <v>0</v>
      </c>
      <c r="K84" s="172">
        <f>'BD Team'!K89</f>
        <v>0</v>
      </c>
      <c r="L84" s="171">
        <f t="shared" si="1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4"/>
        <v>0</v>
      </c>
      <c r="U84" s="313">
        <f t="shared" si="15"/>
        <v>0</v>
      </c>
      <c r="V84" s="313">
        <f t="shared" si="16"/>
        <v>0</v>
      </c>
      <c r="W84" s="313">
        <f t="shared" si="17"/>
        <v>0</v>
      </c>
      <c r="X84" s="313">
        <f t="shared" si="18"/>
        <v>0</v>
      </c>
      <c r="Y84" s="313">
        <f t="shared" si="19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2"/>
        <v>0</v>
      </c>
      <c r="K85" s="172">
        <f>'BD Team'!K90</f>
        <v>0</v>
      </c>
      <c r="L85" s="171">
        <f t="shared" si="1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4"/>
        <v>0</v>
      </c>
      <c r="U85" s="313">
        <f t="shared" si="15"/>
        <v>0</v>
      </c>
      <c r="V85" s="313">
        <f t="shared" si="16"/>
        <v>0</v>
      </c>
      <c r="W85" s="313">
        <f t="shared" si="17"/>
        <v>0</v>
      </c>
      <c r="X85" s="313">
        <f t="shared" si="18"/>
        <v>0</v>
      </c>
      <c r="Y85" s="313">
        <f t="shared" si="19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2"/>
        <v>0</v>
      </c>
      <c r="K86" s="172">
        <f>'BD Team'!K91</f>
        <v>0</v>
      </c>
      <c r="L86" s="171">
        <f t="shared" si="1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4"/>
        <v>0</v>
      </c>
      <c r="U86" s="313">
        <f t="shared" si="15"/>
        <v>0</v>
      </c>
      <c r="V86" s="313">
        <f t="shared" si="16"/>
        <v>0</v>
      </c>
      <c r="W86" s="313">
        <f t="shared" si="17"/>
        <v>0</v>
      </c>
      <c r="X86" s="313">
        <f t="shared" si="18"/>
        <v>0</v>
      </c>
      <c r="Y86" s="313">
        <f t="shared" si="19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2"/>
        <v>0</v>
      </c>
      <c r="K87" s="172">
        <f>'BD Team'!K92</f>
        <v>0</v>
      </c>
      <c r="L87" s="171">
        <f t="shared" si="1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4"/>
        <v>0</v>
      </c>
      <c r="U87" s="313">
        <f t="shared" si="15"/>
        <v>0</v>
      </c>
      <c r="V87" s="313">
        <f t="shared" si="16"/>
        <v>0</v>
      </c>
      <c r="W87" s="313">
        <f t="shared" si="17"/>
        <v>0</v>
      </c>
      <c r="X87" s="313">
        <f t="shared" si="18"/>
        <v>0</v>
      </c>
      <c r="Y87" s="313">
        <f t="shared" si="19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2"/>
        <v>0</v>
      </c>
      <c r="K88" s="172">
        <f>'BD Team'!K93</f>
        <v>0</v>
      </c>
      <c r="L88" s="171">
        <f t="shared" si="1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4"/>
        <v>0</v>
      </c>
      <c r="U88" s="313">
        <f t="shared" si="15"/>
        <v>0</v>
      </c>
      <c r="V88" s="313">
        <f t="shared" si="16"/>
        <v>0</v>
      </c>
      <c r="W88" s="313">
        <f t="shared" si="17"/>
        <v>0</v>
      </c>
      <c r="X88" s="313">
        <f t="shared" si="18"/>
        <v>0</v>
      </c>
      <c r="Y88" s="313">
        <f t="shared" si="19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2"/>
        <v>0</v>
      </c>
      <c r="K89" s="172">
        <f>'BD Team'!K94</f>
        <v>0</v>
      </c>
      <c r="L89" s="171">
        <f t="shared" si="1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4"/>
        <v>0</v>
      </c>
      <c r="U89" s="313">
        <f t="shared" si="15"/>
        <v>0</v>
      </c>
      <c r="V89" s="313">
        <f t="shared" si="16"/>
        <v>0</v>
      </c>
      <c r="W89" s="313">
        <f t="shared" si="17"/>
        <v>0</v>
      </c>
      <c r="X89" s="313">
        <f t="shared" si="18"/>
        <v>0</v>
      </c>
      <c r="Y89" s="313">
        <f t="shared" si="19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2"/>
        <v>0</v>
      </c>
      <c r="K90" s="172">
        <f>'BD Team'!K95</f>
        <v>0</v>
      </c>
      <c r="L90" s="171">
        <f t="shared" si="1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4"/>
        <v>0</v>
      </c>
      <c r="U90" s="313">
        <f t="shared" si="15"/>
        <v>0</v>
      </c>
      <c r="V90" s="313">
        <f t="shared" si="16"/>
        <v>0</v>
      </c>
      <c r="W90" s="313">
        <f t="shared" si="17"/>
        <v>0</v>
      </c>
      <c r="X90" s="313">
        <f t="shared" si="18"/>
        <v>0</v>
      </c>
      <c r="Y90" s="313">
        <f t="shared" si="19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2"/>
        <v>0</v>
      </c>
      <c r="K91" s="172">
        <f>'BD Team'!K96</f>
        <v>0</v>
      </c>
      <c r="L91" s="171">
        <f t="shared" si="1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4"/>
        <v>0</v>
      </c>
      <c r="U91" s="313">
        <f t="shared" si="15"/>
        <v>0</v>
      </c>
      <c r="V91" s="313">
        <f t="shared" si="16"/>
        <v>0</v>
      </c>
      <c r="W91" s="313">
        <f t="shared" si="17"/>
        <v>0</v>
      </c>
      <c r="X91" s="313">
        <f t="shared" si="18"/>
        <v>0</v>
      </c>
      <c r="Y91" s="313">
        <f t="shared" si="19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2"/>
        <v>0</v>
      </c>
      <c r="K92" s="172">
        <f>'BD Team'!K97</f>
        <v>0</v>
      </c>
      <c r="L92" s="171">
        <f t="shared" si="1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4"/>
        <v>0</v>
      </c>
      <c r="U92" s="313">
        <f t="shared" si="15"/>
        <v>0</v>
      </c>
      <c r="V92" s="313">
        <f t="shared" si="16"/>
        <v>0</v>
      </c>
      <c r="W92" s="313">
        <f t="shared" si="17"/>
        <v>0</v>
      </c>
      <c r="X92" s="313">
        <f t="shared" si="18"/>
        <v>0</v>
      </c>
      <c r="Y92" s="313">
        <f t="shared" si="19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2"/>
        <v>0</v>
      </c>
      <c r="K93" s="172">
        <f>'BD Team'!K98</f>
        <v>0</v>
      </c>
      <c r="L93" s="171">
        <f t="shared" si="1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4"/>
        <v>0</v>
      </c>
      <c r="U93" s="313">
        <f t="shared" si="15"/>
        <v>0</v>
      </c>
      <c r="V93" s="313">
        <f t="shared" si="16"/>
        <v>0</v>
      </c>
      <c r="W93" s="313">
        <f t="shared" si="17"/>
        <v>0</v>
      </c>
      <c r="X93" s="313">
        <f t="shared" si="18"/>
        <v>0</v>
      </c>
      <c r="Y93" s="313">
        <f t="shared" si="19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2"/>
        <v>0</v>
      </c>
      <c r="K94" s="172">
        <f>'BD Team'!K99</f>
        <v>0</v>
      </c>
      <c r="L94" s="171">
        <f t="shared" si="1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4"/>
        <v>0</v>
      </c>
      <c r="U94" s="313">
        <f t="shared" si="15"/>
        <v>0</v>
      </c>
      <c r="V94" s="313">
        <f t="shared" si="16"/>
        <v>0</v>
      </c>
      <c r="W94" s="313">
        <f t="shared" si="17"/>
        <v>0</v>
      </c>
      <c r="X94" s="313">
        <f t="shared" si="18"/>
        <v>0</v>
      </c>
      <c r="Y94" s="313">
        <f t="shared" si="19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2"/>
        <v>0</v>
      </c>
      <c r="K95" s="172">
        <f>'BD Team'!K100</f>
        <v>0</v>
      </c>
      <c r="L95" s="171">
        <f t="shared" si="1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4"/>
        <v>0</v>
      </c>
      <c r="U95" s="313">
        <f t="shared" si="15"/>
        <v>0</v>
      </c>
      <c r="V95" s="313">
        <f t="shared" si="16"/>
        <v>0</v>
      </c>
      <c r="W95" s="313">
        <f t="shared" si="17"/>
        <v>0</v>
      </c>
      <c r="X95" s="313">
        <f t="shared" si="18"/>
        <v>0</v>
      </c>
      <c r="Y95" s="313">
        <f t="shared" si="19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2"/>
        <v>0</v>
      </c>
      <c r="K96" s="172">
        <f>'BD Team'!K101</f>
        <v>0</v>
      </c>
      <c r="L96" s="171">
        <f t="shared" si="1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4"/>
        <v>0</v>
      </c>
      <c r="U96" s="313">
        <f t="shared" si="15"/>
        <v>0</v>
      </c>
      <c r="V96" s="313">
        <f t="shared" si="16"/>
        <v>0</v>
      </c>
      <c r="W96" s="313">
        <f t="shared" si="17"/>
        <v>0</v>
      </c>
      <c r="X96" s="313">
        <f t="shared" si="18"/>
        <v>0</v>
      </c>
      <c r="Y96" s="313">
        <f t="shared" si="19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2"/>
        <v>0</v>
      </c>
      <c r="K97" s="172">
        <f>'BD Team'!K102</f>
        <v>0</v>
      </c>
      <c r="L97" s="171">
        <f t="shared" si="1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4"/>
        <v>0</v>
      </c>
      <c r="U97" s="313">
        <f t="shared" si="15"/>
        <v>0</v>
      </c>
      <c r="V97" s="313">
        <f t="shared" si="16"/>
        <v>0</v>
      </c>
      <c r="W97" s="313">
        <f t="shared" si="17"/>
        <v>0</v>
      </c>
      <c r="X97" s="313">
        <f t="shared" si="18"/>
        <v>0</v>
      </c>
      <c r="Y97" s="313">
        <f t="shared" si="19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2"/>
        <v>0</v>
      </c>
      <c r="K98" s="172">
        <f>'BD Team'!K103</f>
        <v>0</v>
      </c>
      <c r="L98" s="171">
        <f t="shared" si="1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4"/>
        <v>0</v>
      </c>
      <c r="U98" s="313">
        <f t="shared" si="15"/>
        <v>0</v>
      </c>
      <c r="V98" s="313">
        <f t="shared" si="16"/>
        <v>0</v>
      </c>
      <c r="W98" s="313">
        <f t="shared" si="17"/>
        <v>0</v>
      </c>
      <c r="X98" s="313">
        <f t="shared" si="18"/>
        <v>0</v>
      </c>
      <c r="Y98" s="313">
        <f t="shared" si="19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2"/>
        <v>0</v>
      </c>
      <c r="K99" s="172">
        <f>'BD Team'!K104</f>
        <v>0</v>
      </c>
      <c r="L99" s="171">
        <f t="shared" si="1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4"/>
        <v>0</v>
      </c>
      <c r="U99" s="313">
        <f t="shared" si="15"/>
        <v>0</v>
      </c>
      <c r="V99" s="313">
        <f t="shared" si="16"/>
        <v>0</v>
      </c>
      <c r="W99" s="313">
        <f t="shared" si="17"/>
        <v>0</v>
      </c>
      <c r="X99" s="313">
        <f t="shared" si="18"/>
        <v>0</v>
      </c>
      <c r="Y99" s="313">
        <f t="shared" si="19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2"/>
        <v>0</v>
      </c>
      <c r="K100" s="172">
        <f>'BD Team'!K105</f>
        <v>0</v>
      </c>
      <c r="L100" s="171">
        <f t="shared" si="1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4"/>
        <v>0</v>
      </c>
      <c r="U100" s="313">
        <f t="shared" si="15"/>
        <v>0</v>
      </c>
      <c r="V100" s="313">
        <f t="shared" si="16"/>
        <v>0</v>
      </c>
      <c r="W100" s="313">
        <f t="shared" si="17"/>
        <v>0</v>
      </c>
      <c r="X100" s="313">
        <f t="shared" si="18"/>
        <v>0</v>
      </c>
      <c r="Y100" s="313">
        <f t="shared" si="19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2"/>
        <v>0</v>
      </c>
      <c r="K101" s="172">
        <f>'BD Team'!K106</f>
        <v>0</v>
      </c>
      <c r="L101" s="171">
        <f t="shared" si="1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4"/>
        <v>0</v>
      </c>
      <c r="U101" s="313">
        <f t="shared" si="15"/>
        <v>0</v>
      </c>
      <c r="V101" s="313">
        <f t="shared" si="16"/>
        <v>0</v>
      </c>
      <c r="W101" s="313">
        <f t="shared" si="17"/>
        <v>0</v>
      </c>
      <c r="X101" s="313">
        <f t="shared" si="18"/>
        <v>0</v>
      </c>
      <c r="Y101" s="313">
        <f t="shared" si="19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2"/>
        <v>0</v>
      </c>
      <c r="K102" s="172">
        <f>'BD Team'!K107</f>
        <v>0</v>
      </c>
      <c r="L102" s="171">
        <f t="shared" si="1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4"/>
        <v>0</v>
      </c>
      <c r="U102" s="313">
        <f t="shared" si="15"/>
        <v>0</v>
      </c>
      <c r="V102" s="313">
        <f t="shared" si="16"/>
        <v>0</v>
      </c>
      <c r="W102" s="313">
        <f t="shared" si="17"/>
        <v>0</v>
      </c>
      <c r="X102" s="313">
        <f t="shared" si="18"/>
        <v>0</v>
      </c>
      <c r="Y102" s="313">
        <f t="shared" si="19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2"/>
        <v>0</v>
      </c>
      <c r="K103" s="172">
        <f>'BD Team'!K108</f>
        <v>0</v>
      </c>
      <c r="L103" s="171">
        <f t="shared" si="1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4"/>
        <v>0</v>
      </c>
      <c r="U103" s="313">
        <f t="shared" si="15"/>
        <v>0</v>
      </c>
      <c r="V103" s="313">
        <f t="shared" si="16"/>
        <v>0</v>
      </c>
      <c r="W103" s="313">
        <f t="shared" si="17"/>
        <v>0</v>
      </c>
      <c r="X103" s="313">
        <f t="shared" si="18"/>
        <v>0</v>
      </c>
      <c r="Y103" s="313">
        <f t="shared" si="19"/>
        <v>0</v>
      </c>
    </row>
    <row r="104" spans="1:25">
      <c r="K104" s="168">
        <f>SUM(K4:K103)</f>
        <v>27241.649999999994</v>
      </c>
      <c r="L104" s="168">
        <f>SUM(L4:L103)</f>
        <v>39598.78</v>
      </c>
      <c r="M104" s="168">
        <f>SUM(M4:M103)</f>
        <v>3286698.74</v>
      </c>
      <c r="T104" s="314">
        <f t="shared" ref="T104:Y104" si="20">SUM(T4:T103)</f>
        <v>3090.9933333333338</v>
      </c>
      <c r="U104" s="314">
        <f t="shared" si="20"/>
        <v>3709.192</v>
      </c>
      <c r="V104" s="314">
        <f t="shared" si="20"/>
        <v>193.18708333333336</v>
      </c>
      <c r="W104" s="314">
        <f t="shared" si="20"/>
        <v>3090.9933333333338</v>
      </c>
      <c r="X104" s="314">
        <f t="shared" si="20"/>
        <v>6181.9866666666676</v>
      </c>
      <c r="Y104" s="314">
        <f t="shared" si="20"/>
        <v>1854.596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2804.76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294</v>
      </c>
      <c r="D10" s="272"/>
      <c r="E10" s="275" t="s">
        <v>195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29"/>
  <sheetViews>
    <sheetView workbookViewId="0">
      <selection activeCell="A18" sqref="A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320" t="s">
        <v>422</v>
      </c>
      <c r="B5" s="320" t="s">
        <v>553</v>
      </c>
      <c r="C5" s="238"/>
      <c r="D5" s="141">
        <v>50</v>
      </c>
      <c r="F5" s="141">
        <v>5</v>
      </c>
      <c r="H5" s="141">
        <v>1</v>
      </c>
      <c r="I5" s="141">
        <v>1</v>
      </c>
      <c r="J5" s="141">
        <v>7.8499999999999993E-3</v>
      </c>
      <c r="K5" s="141">
        <f>J5*F5*D5</f>
        <v>1.9624999999999997</v>
      </c>
      <c r="L5" s="141">
        <v>2.5</v>
      </c>
      <c r="M5" s="141">
        <f>H5*I5*L5</f>
        <v>2.5</v>
      </c>
      <c r="N5" s="141">
        <f>K5*M5</f>
        <v>4.9062499999999991</v>
      </c>
      <c r="O5" s="141">
        <f>N5*$O$3</f>
        <v>735.93749999999989</v>
      </c>
      <c r="P5" s="143">
        <f>O5/I5</f>
        <v>735.93749999999989</v>
      </c>
    </row>
    <row r="6" spans="1:16">
      <c r="A6" s="320" t="s">
        <v>430</v>
      </c>
      <c r="B6" s="320" t="s">
        <v>553</v>
      </c>
      <c r="C6" s="238"/>
      <c r="D6" s="141">
        <v>50</v>
      </c>
      <c r="F6" s="141">
        <v>5</v>
      </c>
      <c r="H6" s="141">
        <v>1</v>
      </c>
      <c r="I6" s="141">
        <v>1</v>
      </c>
      <c r="J6" s="141">
        <v>7.8499999999999993E-3</v>
      </c>
      <c r="K6" s="141">
        <f>J6*F6*D6</f>
        <v>1.9624999999999997</v>
      </c>
      <c r="L6" s="141">
        <v>1.7</v>
      </c>
      <c r="M6" s="141">
        <f t="shared" ref="M6:M10" si="0">H6*I6*L6</f>
        <v>1.7</v>
      </c>
      <c r="N6" s="141">
        <f t="shared" ref="N6:N9" si="1">K6*M6</f>
        <v>3.3362499999999993</v>
      </c>
      <c r="O6" s="141">
        <f t="shared" ref="O6:O10" si="2">N6*$O$3</f>
        <v>500.43749999999989</v>
      </c>
      <c r="P6" s="143">
        <f t="shared" ref="P6:P10" si="3">O6/I6</f>
        <v>500.43749999999989</v>
      </c>
    </row>
    <row r="7" spans="1:16">
      <c r="A7" s="320" t="s">
        <v>436</v>
      </c>
      <c r="B7" s="320" t="s">
        <v>553</v>
      </c>
      <c r="C7" s="238"/>
      <c r="D7" s="141">
        <v>50</v>
      </c>
      <c r="F7" s="141">
        <v>5</v>
      </c>
      <c r="H7" s="141">
        <v>1</v>
      </c>
      <c r="I7" s="141">
        <v>1</v>
      </c>
      <c r="J7" s="141">
        <v>7.8499999999999993E-3</v>
      </c>
      <c r="K7" s="141">
        <f>J7*F7*D7</f>
        <v>1.9624999999999997</v>
      </c>
      <c r="L7" s="141">
        <v>2.5</v>
      </c>
      <c r="M7" s="141">
        <f t="shared" si="0"/>
        <v>2.5</v>
      </c>
      <c r="N7" s="141">
        <f t="shared" si="1"/>
        <v>4.9062499999999991</v>
      </c>
      <c r="O7" s="141">
        <f t="shared" si="2"/>
        <v>735.93749999999989</v>
      </c>
      <c r="P7" s="143">
        <f t="shared" si="3"/>
        <v>735.93749999999989</v>
      </c>
    </row>
    <row r="8" spans="1:16">
      <c r="A8" s="320" t="s">
        <v>438</v>
      </c>
      <c r="B8" s="320" t="s">
        <v>553</v>
      </c>
      <c r="C8" s="238"/>
      <c r="D8" s="141">
        <v>50</v>
      </c>
      <c r="F8" s="141">
        <v>5</v>
      </c>
      <c r="H8" s="141">
        <v>1</v>
      </c>
      <c r="I8" s="141">
        <v>1</v>
      </c>
      <c r="J8" s="141">
        <v>7.8499999999999993E-3</v>
      </c>
      <c r="K8" s="141">
        <f>J8*F8*D8</f>
        <v>1.9624999999999997</v>
      </c>
      <c r="L8" s="141">
        <v>2.5</v>
      </c>
      <c r="M8" s="141">
        <f t="shared" si="0"/>
        <v>2.5</v>
      </c>
      <c r="N8" s="141">
        <f t="shared" si="1"/>
        <v>4.9062499999999991</v>
      </c>
      <c r="O8" s="141">
        <f t="shared" si="2"/>
        <v>735.93749999999989</v>
      </c>
      <c r="P8" s="143">
        <f t="shared" si="3"/>
        <v>735.93749999999989</v>
      </c>
    </row>
    <row r="9" spans="1:16">
      <c r="A9" s="320" t="s">
        <v>445</v>
      </c>
      <c r="B9" s="320" t="s">
        <v>554</v>
      </c>
      <c r="D9" s="141">
        <v>80</v>
      </c>
      <c r="E9" s="141">
        <v>40</v>
      </c>
      <c r="F9" s="141">
        <v>3</v>
      </c>
      <c r="H9" s="141">
        <v>1</v>
      </c>
      <c r="I9" s="141">
        <v>1</v>
      </c>
      <c r="J9" s="141">
        <v>7.8499999999999993E-3</v>
      </c>
      <c r="K9" s="141">
        <f t="shared" ref="K9" si="4">(2*(D9+E9)-4*F9)*F9*J9</f>
        <v>5.3693999999999997</v>
      </c>
      <c r="L9" s="141">
        <f>5.7*4+7</f>
        <v>29.8</v>
      </c>
      <c r="M9" s="141">
        <f t="shared" si="0"/>
        <v>29.8</v>
      </c>
      <c r="N9" s="141">
        <f t="shared" si="1"/>
        <v>160.00811999999999</v>
      </c>
      <c r="O9" s="141">
        <f t="shared" si="2"/>
        <v>24001.217999999997</v>
      </c>
      <c r="P9" s="143">
        <f t="shared" si="3"/>
        <v>24001.217999999997</v>
      </c>
    </row>
    <row r="10" spans="1:16">
      <c r="A10" s="320" t="s">
        <v>445</v>
      </c>
      <c r="B10" s="320" t="s">
        <v>555</v>
      </c>
      <c r="I10" s="141">
        <v>1</v>
      </c>
      <c r="J10" s="141">
        <v>7.8499999999999993E-3</v>
      </c>
      <c r="K10" s="141">
        <v>5</v>
      </c>
      <c r="L10" s="141">
        <v>9</v>
      </c>
      <c r="M10" s="141">
        <f t="shared" si="0"/>
        <v>0</v>
      </c>
      <c r="N10" s="141">
        <f>L10*K10</f>
        <v>45</v>
      </c>
      <c r="O10" s="141">
        <f t="shared" si="2"/>
        <v>6750</v>
      </c>
      <c r="P10" s="143">
        <f t="shared" si="3"/>
        <v>6750</v>
      </c>
    </row>
    <row r="11" spans="1:16">
      <c r="A11" s="320" t="s">
        <v>444</v>
      </c>
      <c r="B11" s="238" t="s">
        <v>553</v>
      </c>
      <c r="C11" s="238"/>
      <c r="D11" s="141">
        <v>50</v>
      </c>
      <c r="F11" s="141">
        <v>5</v>
      </c>
      <c r="H11" s="141">
        <v>1</v>
      </c>
      <c r="I11" s="141">
        <v>1</v>
      </c>
      <c r="J11" s="141">
        <v>7.8499999999999993E-3</v>
      </c>
      <c r="K11" s="141">
        <f>J11*F11*D11</f>
        <v>1.9624999999999997</v>
      </c>
      <c r="L11" s="141">
        <v>2.5</v>
      </c>
      <c r="M11" s="141">
        <f>H11*I11*L11</f>
        <v>2.5</v>
      </c>
      <c r="N11" s="141">
        <f>K11*M11</f>
        <v>4.9062499999999991</v>
      </c>
      <c r="O11" s="141">
        <f>N11*$O$3</f>
        <v>735.93749999999989</v>
      </c>
      <c r="P11" s="143">
        <f>O11/I11</f>
        <v>735.93749999999989</v>
      </c>
    </row>
    <row r="12" spans="1:16">
      <c r="A12" s="320" t="s">
        <v>446</v>
      </c>
      <c r="B12" s="238" t="s">
        <v>553</v>
      </c>
      <c r="C12" s="238"/>
      <c r="D12" s="141">
        <v>50</v>
      </c>
      <c r="F12" s="141">
        <v>5</v>
      </c>
      <c r="H12" s="141">
        <v>1</v>
      </c>
      <c r="I12" s="141">
        <v>1</v>
      </c>
      <c r="J12" s="141">
        <v>7.8499999999999993E-3</v>
      </c>
      <c r="K12" s="141">
        <f>J12*F12*D12</f>
        <v>1.9624999999999997</v>
      </c>
      <c r="L12" s="141">
        <v>2.5</v>
      </c>
      <c r="M12" s="141">
        <f t="shared" ref="M12:M16" si="5">H12*I12*L12</f>
        <v>2.5</v>
      </c>
      <c r="N12" s="141">
        <f t="shared" ref="N12:N15" si="6">K12*M12</f>
        <v>4.9062499999999991</v>
      </c>
      <c r="O12" s="141">
        <f t="shared" ref="O12:O15" si="7">N12*$O$3</f>
        <v>735.93749999999989</v>
      </c>
      <c r="P12" s="143">
        <f t="shared" ref="P12:P15" si="8">O12/I12</f>
        <v>735.93749999999989</v>
      </c>
    </row>
    <row r="13" spans="1:16">
      <c r="A13" s="320" t="s">
        <v>448</v>
      </c>
      <c r="B13" s="238" t="s">
        <v>553</v>
      </c>
      <c r="C13" s="238"/>
      <c r="D13" s="141">
        <v>50</v>
      </c>
      <c r="F13" s="141">
        <v>5</v>
      </c>
      <c r="H13" s="141">
        <v>1</v>
      </c>
      <c r="I13" s="141">
        <v>1</v>
      </c>
      <c r="J13" s="141">
        <v>7.8499999999999993E-3</v>
      </c>
      <c r="K13" s="141">
        <f>J13*F13*D13</f>
        <v>1.9624999999999997</v>
      </c>
      <c r="L13" s="141">
        <v>2.5</v>
      </c>
      <c r="M13" s="141">
        <f t="shared" si="5"/>
        <v>2.5</v>
      </c>
      <c r="N13" s="141">
        <f t="shared" si="6"/>
        <v>4.9062499999999991</v>
      </c>
      <c r="O13" s="141">
        <f t="shared" si="7"/>
        <v>735.93749999999989</v>
      </c>
      <c r="P13" s="143">
        <f t="shared" si="8"/>
        <v>735.93749999999989</v>
      </c>
    </row>
    <row r="14" spans="1:16">
      <c r="A14" s="320" t="s">
        <v>507</v>
      </c>
      <c r="B14" s="320" t="s">
        <v>556</v>
      </c>
      <c r="C14" s="238"/>
      <c r="D14" s="141">
        <v>40</v>
      </c>
      <c r="E14" s="141">
        <v>40</v>
      </c>
      <c r="F14" s="141">
        <v>4</v>
      </c>
      <c r="H14" s="141">
        <v>9</v>
      </c>
      <c r="I14" s="141">
        <v>1</v>
      </c>
      <c r="J14" s="141">
        <v>7.8499999999999993E-3</v>
      </c>
      <c r="K14" s="141">
        <f t="shared" ref="K14:K15" si="9">(2*(D14+E14)-4*F14)*F14*J14</f>
        <v>4.5215999999999994</v>
      </c>
      <c r="L14" s="141">
        <v>3.2</v>
      </c>
      <c r="M14" s="141">
        <f t="shared" si="5"/>
        <v>28.8</v>
      </c>
      <c r="N14" s="141">
        <f t="shared" si="6"/>
        <v>130.22207999999998</v>
      </c>
      <c r="O14" s="141">
        <f t="shared" si="7"/>
        <v>19533.311999999998</v>
      </c>
      <c r="P14" s="143">
        <f t="shared" si="8"/>
        <v>19533.311999999998</v>
      </c>
    </row>
    <row r="15" spans="1:16">
      <c r="A15" s="320" t="s">
        <v>507</v>
      </c>
      <c r="B15" s="320" t="s">
        <v>557</v>
      </c>
      <c r="D15" s="141">
        <v>20</v>
      </c>
      <c r="E15" s="141">
        <v>40</v>
      </c>
      <c r="F15" s="141">
        <v>4</v>
      </c>
      <c r="H15" s="141">
        <v>4</v>
      </c>
      <c r="I15" s="141">
        <v>1</v>
      </c>
      <c r="J15" s="141">
        <v>7.8499999999999993E-3</v>
      </c>
      <c r="K15" s="141">
        <f t="shared" si="9"/>
        <v>3.2655999999999996</v>
      </c>
      <c r="L15" s="141">
        <v>3.2</v>
      </c>
      <c r="M15" s="141">
        <f t="shared" si="5"/>
        <v>12.8</v>
      </c>
      <c r="N15" s="141">
        <f t="shared" si="6"/>
        <v>41.799679999999995</v>
      </c>
      <c r="O15" s="141">
        <f t="shared" si="7"/>
        <v>6269.9519999999993</v>
      </c>
      <c r="P15" s="143">
        <f t="shared" si="8"/>
        <v>6269.9519999999993</v>
      </c>
    </row>
    <row r="16" spans="1:16">
      <c r="A16" s="320" t="s">
        <v>513</v>
      </c>
      <c r="B16" s="320" t="s">
        <v>555</v>
      </c>
      <c r="C16" s="238"/>
      <c r="I16" s="141">
        <v>1</v>
      </c>
      <c r="J16" s="141">
        <v>7.8499999999999993E-3</v>
      </c>
      <c r="K16" s="141">
        <v>5</v>
      </c>
      <c r="L16" s="141">
        <v>16</v>
      </c>
      <c r="M16" s="141">
        <f t="shared" si="5"/>
        <v>0</v>
      </c>
      <c r="N16" s="141">
        <f>L16*K16</f>
        <v>80</v>
      </c>
      <c r="O16" s="141">
        <f t="shared" ref="O16:O19" si="10">N16*$O$3</f>
        <v>12000</v>
      </c>
      <c r="P16" s="143">
        <f t="shared" ref="P16:P19" si="11">O16/I16</f>
        <v>12000</v>
      </c>
    </row>
    <row r="17" spans="1:16">
      <c r="A17" s="320" t="s">
        <v>538</v>
      </c>
      <c r="B17" s="238" t="s">
        <v>553</v>
      </c>
      <c r="D17" s="141">
        <v>50</v>
      </c>
      <c r="F17" s="141">
        <v>5</v>
      </c>
      <c r="H17" s="141">
        <v>1</v>
      </c>
      <c r="I17" s="141">
        <v>1</v>
      </c>
      <c r="J17" s="141">
        <v>7.8499999999999993E-3</v>
      </c>
      <c r="K17" s="141">
        <f>J17*F17*D17</f>
        <v>1.9624999999999997</v>
      </c>
      <c r="L17" s="141">
        <v>4.2</v>
      </c>
      <c r="M17" s="141">
        <f t="shared" ref="M17:M19" si="12">H17*I17*L17</f>
        <v>4.2</v>
      </c>
      <c r="N17" s="141">
        <f t="shared" ref="N17:N19" si="13">K17*M17</f>
        <v>8.2424999999999997</v>
      </c>
      <c r="O17" s="141">
        <f t="shared" si="10"/>
        <v>1236.375</v>
      </c>
      <c r="P17" s="143">
        <f t="shared" si="11"/>
        <v>1236.375</v>
      </c>
    </row>
    <row r="18" spans="1:16">
      <c r="A18" s="238"/>
      <c r="B18" s="238"/>
      <c r="C18" s="238"/>
      <c r="J18" s="141">
        <v>7.8499999999999993E-3</v>
      </c>
      <c r="K18" s="141">
        <f t="shared" ref="K18:K19" si="14">(2*(D18+E18)-4*F18)*F18*J18</f>
        <v>0</v>
      </c>
      <c r="M18" s="141">
        <f t="shared" si="12"/>
        <v>0</v>
      </c>
      <c r="N18" s="141">
        <f t="shared" si="13"/>
        <v>0</v>
      </c>
      <c r="O18" s="141">
        <f t="shared" si="10"/>
        <v>0</v>
      </c>
      <c r="P18" s="143" t="e">
        <f t="shared" si="11"/>
        <v>#DIV/0!</v>
      </c>
    </row>
    <row r="19" spans="1:16">
      <c r="J19" s="141">
        <v>7.8499999999999993E-3</v>
      </c>
      <c r="K19" s="141">
        <f t="shared" si="14"/>
        <v>0</v>
      </c>
      <c r="M19" s="141">
        <f t="shared" si="12"/>
        <v>0</v>
      </c>
      <c r="N19" s="141">
        <f t="shared" si="13"/>
        <v>0</v>
      </c>
      <c r="O19" s="141">
        <f t="shared" si="10"/>
        <v>0</v>
      </c>
      <c r="P19" s="143" t="e">
        <f t="shared" si="11"/>
        <v>#DIV/0!</v>
      </c>
    </row>
    <row r="20" spans="1:16">
      <c r="A20" s="238"/>
      <c r="B20" s="238"/>
      <c r="C20" s="238"/>
      <c r="J20" s="141">
        <v>7.8499999999999993E-3</v>
      </c>
      <c r="K20" s="141">
        <f t="shared" ref="K20:K24" si="15">(2*(D20+E20)-4*F20)*F20*J20</f>
        <v>0</v>
      </c>
      <c r="M20" s="141">
        <f t="shared" ref="M20:M24" si="16">H20*I20*L20</f>
        <v>0</v>
      </c>
      <c r="N20" s="141">
        <f t="shared" ref="N20:N24" si="17">K20*M20</f>
        <v>0</v>
      </c>
      <c r="O20" s="141">
        <f t="shared" ref="O20:O24" si="18">N20*$O$3</f>
        <v>0</v>
      </c>
      <c r="P20" s="143" t="e">
        <f t="shared" ref="P20:P24" si="19">O20/I20</f>
        <v>#DIV/0!</v>
      </c>
    </row>
    <row r="21" spans="1:16">
      <c r="A21" s="238"/>
      <c r="B21" s="238"/>
      <c r="J21" s="141">
        <v>7.8499999999999993E-3</v>
      </c>
      <c r="K21" s="141">
        <f t="shared" si="15"/>
        <v>0</v>
      </c>
      <c r="M21" s="141">
        <f t="shared" si="16"/>
        <v>0</v>
      </c>
      <c r="N21" s="141">
        <f t="shared" si="17"/>
        <v>0</v>
      </c>
      <c r="O21" s="141">
        <f t="shared" si="18"/>
        <v>0</v>
      </c>
      <c r="P21" s="143" t="e">
        <f t="shared" si="19"/>
        <v>#DIV/0!</v>
      </c>
    </row>
    <row r="22" spans="1:16">
      <c r="A22" s="238"/>
      <c r="B22" s="238"/>
      <c r="C22" s="238"/>
      <c r="J22" s="141">
        <v>7.8499999999999993E-3</v>
      </c>
      <c r="K22" s="141">
        <f t="shared" si="15"/>
        <v>0</v>
      </c>
      <c r="M22" s="141">
        <f t="shared" si="16"/>
        <v>0</v>
      </c>
      <c r="N22" s="141">
        <f t="shared" si="17"/>
        <v>0</v>
      </c>
      <c r="O22" s="141">
        <f t="shared" si="18"/>
        <v>0</v>
      </c>
      <c r="P22" s="143" t="e">
        <f t="shared" si="19"/>
        <v>#DIV/0!</v>
      </c>
    </row>
    <row r="23" spans="1:16">
      <c r="J23" s="141">
        <v>7.8499999999999993E-3</v>
      </c>
      <c r="K23" s="141">
        <f t="shared" si="15"/>
        <v>0</v>
      </c>
      <c r="M23" s="141">
        <f t="shared" si="16"/>
        <v>0</v>
      </c>
      <c r="N23" s="141">
        <f t="shared" si="17"/>
        <v>0</v>
      </c>
      <c r="O23" s="141">
        <f t="shared" si="18"/>
        <v>0</v>
      </c>
      <c r="P23" s="143" t="e">
        <f t="shared" si="19"/>
        <v>#DIV/0!</v>
      </c>
    </row>
    <row r="24" spans="1:16">
      <c r="J24" s="141">
        <v>7.8499999999999993E-3</v>
      </c>
      <c r="K24" s="141">
        <f t="shared" si="15"/>
        <v>0</v>
      </c>
      <c r="M24" s="141">
        <f t="shared" si="16"/>
        <v>0</v>
      </c>
      <c r="N24" s="141">
        <f t="shared" si="17"/>
        <v>0</v>
      </c>
      <c r="O24" s="141">
        <f t="shared" si="18"/>
        <v>0</v>
      </c>
      <c r="P24" s="143" t="e">
        <f t="shared" si="19"/>
        <v>#DIV/0!</v>
      </c>
    </row>
    <row r="29" spans="1:16">
      <c r="I29" s="141">
        <v>5383.38</v>
      </c>
      <c r="J29" s="141">
        <f>I29*0.00785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8" sqref="A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968.76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150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SW1</v>
      </c>
      <c r="E8" s="132" t="str">
        <f>Pricing!N4</f>
        <v>24MM</v>
      </c>
      <c r="F8" s="68">
        <f>Pricing!G4</f>
        <v>3658</v>
      </c>
      <c r="G8" s="68">
        <f>Pricing!H4</f>
        <v>2438</v>
      </c>
      <c r="H8" s="100">
        <f t="shared" ref="H8:H57" si="0">(F8*G8)/1000000</f>
        <v>8.9182039999999994</v>
      </c>
      <c r="I8" s="70">
        <f>Pricing!I4</f>
        <v>1</v>
      </c>
      <c r="J8" s="69">
        <f t="shared" ref="J8" si="1">H8*I8</f>
        <v>8.9182039999999994</v>
      </c>
      <c r="K8" s="71">
        <f t="shared" ref="K8" si="2">J8*10.764</f>
        <v>95.995547855999988</v>
      </c>
      <c r="L8" s="69"/>
      <c r="M8" s="72"/>
      <c r="N8" s="72"/>
      <c r="O8" s="72">
        <f t="shared" ref="O8:O35" si="3">N8*M8*L8/1000000</f>
        <v>0</v>
      </c>
      <c r="P8" s="73">
        <f>Pricing!M4</f>
        <v>53755.78</v>
      </c>
      <c r="Q8" s="74">
        <f t="shared" ref="Q8:Q56" si="4">P8*$Q$6</f>
        <v>5375.5780000000004</v>
      </c>
      <c r="R8" s="74">
        <f t="shared" ref="R8:R56" si="5">(P8+Q8)*$R$6</f>
        <v>6504.44938</v>
      </c>
      <c r="S8" s="74">
        <f t="shared" ref="S8:S56" si="6">(P8+Q8+R8)*$S$6</f>
        <v>328.17903689999997</v>
      </c>
      <c r="T8" s="74">
        <f t="shared" ref="T8:T56" si="7">(P8+Q8+R8+S8)*$T$6</f>
        <v>659.63986416899991</v>
      </c>
      <c r="U8" s="72">
        <f t="shared" ref="U8:U56" si="8">SUM(P8:T8)</f>
        <v>66623.626281068995</v>
      </c>
      <c r="V8" s="74">
        <f t="shared" ref="V8:V56" si="9">U8*$V$6</f>
        <v>999.35439421603485</v>
      </c>
      <c r="W8" s="73">
        <f>Pricing!S4*I8</f>
        <v>735.93749999999989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735.93749999999989</v>
      </c>
      <c r="AC8" s="75">
        <v>0</v>
      </c>
      <c r="AD8" s="101">
        <f>(J8*Pricing!O4)+(O8*Pricing!P4)</f>
        <v>25015.56222</v>
      </c>
      <c r="AE8" s="76">
        <f>((((F8+G8)*2)/305)*I8*$AE$7)</f>
        <v>999.34426229508199</v>
      </c>
      <c r="AF8" s="346">
        <f>(((((F8*4)+(G8*4))/1000)*$AF$6*$AG$6)/300)*I8*$AF$7</f>
        <v>438.91200000000003</v>
      </c>
      <c r="AG8" s="347"/>
      <c r="AH8" s="76">
        <f>(((F8+G8))*I8/1000)*8*$AH$7</f>
        <v>36.576000000000001</v>
      </c>
      <c r="AI8" s="76">
        <f t="shared" ref="AI8:AI57" si="15">(((F8+G8)*2*I8)/1000)*2*$AI$7</f>
        <v>121.92</v>
      </c>
      <c r="AJ8" s="76">
        <f>J8*Pricing!Q4</f>
        <v>4799.7773927999988</v>
      </c>
      <c r="AK8" s="76">
        <f>J8*Pricing!R4</f>
        <v>0</v>
      </c>
      <c r="AL8" s="76">
        <f t="shared" ref="AL8:AL39" si="16">J8*$AL$6</f>
        <v>9599.5547855999976</v>
      </c>
      <c r="AM8" s="77">
        <f t="shared" ref="AM8:AM39" si="17">$AM$6*J8</f>
        <v>0</v>
      </c>
      <c r="AN8" s="76">
        <f t="shared" ref="AN8:AN39" si="18">$AN$6*J8</f>
        <v>8639.59930704</v>
      </c>
      <c r="AO8" s="72">
        <f t="shared" ref="AO8:AO39" si="19">SUM(U8:V8)+SUM(AC8:AI8)-AD8</f>
        <v>69219.73293758012</v>
      </c>
      <c r="AP8" s="74">
        <f t="shared" ref="AP8:AP39" si="20">AO8*$AP$6</f>
        <v>86524.666171975143</v>
      </c>
      <c r="AQ8" s="74">
        <f t="shared" ref="AQ8:AQ56" si="21">(AO8+AP8)*$AQ$6</f>
        <v>0</v>
      </c>
      <c r="AR8" s="74">
        <f t="shared" ref="AR8:AR39" si="22">SUM(AO8:AQ8)/J8</f>
        <v>17463.6506531534</v>
      </c>
      <c r="AS8" s="72">
        <f t="shared" ref="AS8:AS39" si="23">SUM(AJ8:AQ8)+AD8+AB8</f>
        <v>204534.83031499526</v>
      </c>
      <c r="AT8" s="72">
        <f t="shared" ref="AT8:AT39" si="24">AS8/J8</f>
        <v>22934.531472367675</v>
      </c>
      <c r="AU8" s="78">
        <f t="shared" ref="AU8:AU56" si="25">AT8/10.764</f>
        <v>2130.6699621300331</v>
      </c>
      <c r="AV8" s="79">
        <f t="shared" ref="AV8:AV39" si="26">K8/$K$109</f>
        <v>1.7395811207887794E-2</v>
      </c>
      <c r="AW8" s="80">
        <f t="shared" ref="AW8:AW39" si="27">(U8+V8)/(J8*10.764)</f>
        <v>704.43871810309588</v>
      </c>
      <c r="AX8" s="81">
        <f t="shared" ref="AX8:AX39" si="28">SUM(W8:AN8,AP8)/(J8*10.764)</f>
        <v>1433.8976151913992</v>
      </c>
      <c r="AY8" s="82"/>
      <c r="AZ8" s="83">
        <f t="shared" ref="AZ8:AZ56" si="29">AU8-(AW8+AX8)</f>
        <v>-7.666371164461907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SW2</v>
      </c>
      <c r="E9" s="132" t="str">
        <f>Pricing!N5</f>
        <v>24MM</v>
      </c>
      <c r="F9" s="68">
        <f>Pricing!G5</f>
        <v>1524</v>
      </c>
      <c r="G9" s="68">
        <f>Pricing!H5</f>
        <v>1372</v>
      </c>
      <c r="H9" s="100">
        <f t="shared" si="0"/>
        <v>2.0909279999999999</v>
      </c>
      <c r="I9" s="70">
        <f>Pricing!I5</f>
        <v>1</v>
      </c>
      <c r="J9" s="69">
        <f t="shared" ref="J9:J58" si="30">H9*I9</f>
        <v>2.0909279999999999</v>
      </c>
      <c r="K9" s="71">
        <f t="shared" ref="K9:K58" si="31">J9*10.764</f>
        <v>22.506748991999999</v>
      </c>
      <c r="L9" s="69"/>
      <c r="M9" s="72"/>
      <c r="N9" s="72"/>
      <c r="O9" s="72">
        <f t="shared" si="3"/>
        <v>0</v>
      </c>
      <c r="P9" s="73">
        <f>Pricing!M5</f>
        <v>28481.449999999997</v>
      </c>
      <c r="Q9" s="74">
        <f t="shared" ref="Q9:Q14" si="32">P9*$Q$6</f>
        <v>2848.145</v>
      </c>
      <c r="R9" s="74">
        <f t="shared" ref="R9:R14" si="33">(P9+Q9)*$R$6</f>
        <v>3446.2554499999997</v>
      </c>
      <c r="S9" s="74">
        <f t="shared" ref="S9:S14" si="34">(P9+Q9+R9)*$S$6</f>
        <v>173.87925225000001</v>
      </c>
      <c r="T9" s="74">
        <f t="shared" ref="T9:T14" si="35">(P9+Q9+R9+S9)*$T$6</f>
        <v>349.49729702249999</v>
      </c>
      <c r="U9" s="72">
        <f t="shared" ref="U9:U14" si="36">SUM(P9:T9)</f>
        <v>35299.226999272498</v>
      </c>
      <c r="V9" s="74">
        <f t="shared" ref="V9:V14" si="37">U9*$V$6</f>
        <v>529.48840498908748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5865.0530399999998</v>
      </c>
      <c r="AE9" s="76">
        <f t="shared" ref="AE9:AE57" si="43">((((F9+G9)*2)/305)*I9*$AE$7)</f>
        <v>474.75409836065569</v>
      </c>
      <c r="AF9" s="346">
        <f t="shared" ref="AF9:AF57" si="44">(((((F9*4)+(G9*4))/1000)*$AF$6*$AG$6)/300)*I9*$AF$7</f>
        <v>208.51199999999997</v>
      </c>
      <c r="AG9" s="347"/>
      <c r="AH9" s="76">
        <f t="shared" ref="AH9:AH72" si="45">(((F9+G9))*I9/1000)*8*$AH$7</f>
        <v>17.375999999999998</v>
      </c>
      <c r="AI9" s="76">
        <f t="shared" si="15"/>
        <v>57.92</v>
      </c>
      <c r="AJ9" s="76">
        <f>J9*Pricing!Q5</f>
        <v>1125.3374495999999</v>
      </c>
      <c r="AK9" s="76">
        <f>J9*Pricing!R5</f>
        <v>0</v>
      </c>
      <c r="AL9" s="76">
        <f t="shared" si="16"/>
        <v>2250.6748991999998</v>
      </c>
      <c r="AM9" s="77">
        <f t="shared" si="17"/>
        <v>0</v>
      </c>
      <c r="AN9" s="76">
        <f t="shared" si="18"/>
        <v>2025.60740928</v>
      </c>
      <c r="AO9" s="72">
        <f t="shared" si="19"/>
        <v>36587.277502622244</v>
      </c>
      <c r="AP9" s="74">
        <f t="shared" si="20"/>
        <v>45734.096878277807</v>
      </c>
      <c r="AQ9" s="74">
        <f t="shared" ref="AQ9:AQ14" si="46">(AO9+AP9)*$AQ$6</f>
        <v>0</v>
      </c>
      <c r="AR9" s="74">
        <f t="shared" si="22"/>
        <v>39370.736046817517</v>
      </c>
      <c r="AS9" s="72">
        <f t="shared" si="23"/>
        <v>93588.04717898005</v>
      </c>
      <c r="AT9" s="72">
        <f t="shared" si="24"/>
        <v>44759.096046817518</v>
      </c>
      <c r="AU9" s="78">
        <f t="shared" ref="AU9:AU14" si="47">AT9/10.764</f>
        <v>4158.2214833535418</v>
      </c>
      <c r="AV9" s="79">
        <f t="shared" si="26"/>
        <v>4.0785553612909522E-3</v>
      </c>
      <c r="AW9" s="80">
        <f t="shared" si="27"/>
        <v>1591.9098496631775</v>
      </c>
      <c r="AX9" s="81">
        <f t="shared" si="28"/>
        <v>2566.3116336903636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 WITH BOTH ENDS FIXED</v>
      </c>
      <c r="D10" s="131" t="str">
        <f>Pricing!B6</f>
        <v>SW3</v>
      </c>
      <c r="E10" s="132" t="str">
        <f>Pricing!N6</f>
        <v>24MM</v>
      </c>
      <c r="F10" s="68">
        <f>Pricing!G6</f>
        <v>4521</v>
      </c>
      <c r="G10" s="68">
        <f>Pricing!H6</f>
        <v>1676</v>
      </c>
      <c r="H10" s="100">
        <f t="shared" si="0"/>
        <v>7.5771959999999998</v>
      </c>
      <c r="I10" s="70">
        <f>Pricing!I6</f>
        <v>1</v>
      </c>
      <c r="J10" s="69">
        <f t="shared" si="30"/>
        <v>7.5771959999999998</v>
      </c>
      <c r="K10" s="71">
        <f t="shared" si="31"/>
        <v>81.560937743999986</v>
      </c>
      <c r="L10" s="69"/>
      <c r="M10" s="72"/>
      <c r="N10" s="72"/>
      <c r="O10" s="72">
        <f t="shared" si="3"/>
        <v>0</v>
      </c>
      <c r="P10" s="73">
        <f>Pricing!M6</f>
        <v>55888.880000000005</v>
      </c>
      <c r="Q10" s="74">
        <f t="shared" si="32"/>
        <v>5588.8880000000008</v>
      </c>
      <c r="R10" s="74">
        <f t="shared" si="33"/>
        <v>6762.5544800000007</v>
      </c>
      <c r="S10" s="74">
        <f t="shared" si="34"/>
        <v>341.20161240000004</v>
      </c>
      <c r="T10" s="74">
        <f t="shared" si="35"/>
        <v>685.81524092400002</v>
      </c>
      <c r="U10" s="72">
        <f t="shared" si="36"/>
        <v>69267.339333323995</v>
      </c>
      <c r="V10" s="74">
        <f t="shared" si="37"/>
        <v>1039.0100899998599</v>
      </c>
      <c r="W10" s="73">
        <f>Pricing!S6*I10</f>
        <v>500.43749999999989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500.43749999999989</v>
      </c>
      <c r="AC10" s="75">
        <v>0</v>
      </c>
      <c r="AD10" s="101">
        <f>(J10*Pricing!O6)+(O10*Pricing!P6)</f>
        <v>21254.034779999998</v>
      </c>
      <c r="AE10" s="76">
        <f t="shared" si="43"/>
        <v>1015.9016393442623</v>
      </c>
      <c r="AF10" s="346">
        <f t="shared" si="44"/>
        <v>446.18400000000003</v>
      </c>
      <c r="AG10" s="347"/>
      <c r="AH10" s="76">
        <f t="shared" si="45"/>
        <v>37.182000000000002</v>
      </c>
      <c r="AI10" s="76">
        <f t="shared" si="15"/>
        <v>123.94</v>
      </c>
      <c r="AJ10" s="76">
        <f>J10*Pricing!Q6</f>
        <v>4078.0468871999992</v>
      </c>
      <c r="AK10" s="76">
        <f>J10*Pricing!R6</f>
        <v>0</v>
      </c>
      <c r="AL10" s="76">
        <f t="shared" si="16"/>
        <v>8156.0937743999984</v>
      </c>
      <c r="AM10" s="77">
        <f t="shared" si="17"/>
        <v>0</v>
      </c>
      <c r="AN10" s="76">
        <f t="shared" si="18"/>
        <v>7340.4843969599997</v>
      </c>
      <c r="AO10" s="72">
        <f t="shared" si="19"/>
        <v>71929.557062668115</v>
      </c>
      <c r="AP10" s="74">
        <f t="shared" si="20"/>
        <v>89911.946328335151</v>
      </c>
      <c r="AQ10" s="74">
        <f t="shared" si="46"/>
        <v>0</v>
      </c>
      <c r="AR10" s="74">
        <f t="shared" si="22"/>
        <v>21359.022967203604</v>
      </c>
      <c r="AS10" s="72">
        <f t="shared" si="23"/>
        <v>203170.60072956324</v>
      </c>
      <c r="AT10" s="72">
        <f t="shared" si="24"/>
        <v>26813.428177067512</v>
      </c>
      <c r="AU10" s="78">
        <f t="shared" si="47"/>
        <v>2491.0282587390852</v>
      </c>
      <c r="AV10" s="79">
        <f t="shared" si="26"/>
        <v>1.4780046644051041E-2</v>
      </c>
      <c r="AW10" s="80">
        <f t="shared" si="27"/>
        <v>862.01006717208736</v>
      </c>
      <c r="AX10" s="81">
        <f t="shared" si="28"/>
        <v>1635.1539412756488</v>
      </c>
      <c r="AY10" s="82"/>
      <c r="AZ10" s="83">
        <f t="shared" si="48"/>
        <v>-6.1357497086510193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SW4</v>
      </c>
      <c r="E11" s="132" t="str">
        <f>Pricing!N7</f>
        <v>24MM</v>
      </c>
      <c r="F11" s="68">
        <f>Pricing!G7</f>
        <v>1524</v>
      </c>
      <c r="G11" s="68">
        <f>Pricing!H7</f>
        <v>1372</v>
      </c>
      <c r="H11" s="100">
        <f t="shared" si="0"/>
        <v>2.0909279999999999</v>
      </c>
      <c r="I11" s="70">
        <f>Pricing!I7</f>
        <v>1</v>
      </c>
      <c r="J11" s="69">
        <f t="shared" si="30"/>
        <v>2.0909279999999999</v>
      </c>
      <c r="K11" s="71">
        <f t="shared" si="31"/>
        <v>22.506748991999999</v>
      </c>
      <c r="L11" s="69"/>
      <c r="M11" s="72"/>
      <c r="N11" s="72"/>
      <c r="O11" s="72">
        <f t="shared" si="3"/>
        <v>0</v>
      </c>
      <c r="P11" s="73">
        <f>Pricing!M7</f>
        <v>28481.449999999997</v>
      </c>
      <c r="Q11" s="74">
        <f t="shared" si="32"/>
        <v>2848.145</v>
      </c>
      <c r="R11" s="74">
        <f t="shared" si="33"/>
        <v>3446.2554499999997</v>
      </c>
      <c r="S11" s="74">
        <f t="shared" si="34"/>
        <v>173.87925225000001</v>
      </c>
      <c r="T11" s="74">
        <f t="shared" si="35"/>
        <v>349.49729702249999</v>
      </c>
      <c r="U11" s="72">
        <f t="shared" si="36"/>
        <v>35299.226999272498</v>
      </c>
      <c r="V11" s="74">
        <f t="shared" si="37"/>
        <v>529.48840498908748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5865.0530399999998</v>
      </c>
      <c r="AE11" s="76">
        <f t="shared" si="43"/>
        <v>474.75409836065569</v>
      </c>
      <c r="AF11" s="346">
        <f t="shared" si="44"/>
        <v>208.51199999999997</v>
      </c>
      <c r="AG11" s="347"/>
      <c r="AH11" s="76">
        <f t="shared" si="45"/>
        <v>17.375999999999998</v>
      </c>
      <c r="AI11" s="76">
        <f t="shared" si="15"/>
        <v>57.92</v>
      </c>
      <c r="AJ11" s="76">
        <f>J11*Pricing!Q7</f>
        <v>1125.3374495999999</v>
      </c>
      <c r="AK11" s="76">
        <f>J11*Pricing!R7</f>
        <v>0</v>
      </c>
      <c r="AL11" s="76">
        <f t="shared" si="16"/>
        <v>2250.6748991999998</v>
      </c>
      <c r="AM11" s="77">
        <f t="shared" si="17"/>
        <v>0</v>
      </c>
      <c r="AN11" s="76">
        <f t="shared" si="18"/>
        <v>2025.60740928</v>
      </c>
      <c r="AO11" s="72">
        <f t="shared" si="19"/>
        <v>36587.277502622244</v>
      </c>
      <c r="AP11" s="74">
        <f t="shared" si="20"/>
        <v>45734.096878277807</v>
      </c>
      <c r="AQ11" s="74">
        <f t="shared" si="46"/>
        <v>0</v>
      </c>
      <c r="AR11" s="74">
        <f t="shared" si="22"/>
        <v>39370.736046817517</v>
      </c>
      <c r="AS11" s="72">
        <f t="shared" si="23"/>
        <v>93588.04717898005</v>
      </c>
      <c r="AT11" s="72">
        <f t="shared" si="24"/>
        <v>44759.096046817518</v>
      </c>
      <c r="AU11" s="78">
        <f t="shared" si="47"/>
        <v>4158.2214833535418</v>
      </c>
      <c r="AV11" s="79">
        <f t="shared" si="26"/>
        <v>4.0785553612909522E-3</v>
      </c>
      <c r="AW11" s="80">
        <f t="shared" si="27"/>
        <v>1591.9098496631775</v>
      </c>
      <c r="AX11" s="81">
        <f t="shared" si="28"/>
        <v>2566.3116336903636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DOOR WITH BOTH ENDS FIXED</v>
      </c>
      <c r="D12" s="131" t="str">
        <f>Pricing!B8</f>
        <v>SD1</v>
      </c>
      <c r="E12" s="132" t="str">
        <f>Pricing!N8</f>
        <v>24MM</v>
      </c>
      <c r="F12" s="68">
        <f>Pricing!G8</f>
        <v>5486</v>
      </c>
      <c r="G12" s="68">
        <f>Pricing!H8</f>
        <v>2438</v>
      </c>
      <c r="H12" s="100">
        <f t="shared" si="0"/>
        <v>13.374867999999999</v>
      </c>
      <c r="I12" s="70">
        <f>Pricing!I8</f>
        <v>1</v>
      </c>
      <c r="J12" s="69">
        <f t="shared" si="30"/>
        <v>13.374867999999999</v>
      </c>
      <c r="K12" s="71">
        <f t="shared" si="31"/>
        <v>143.967079152</v>
      </c>
      <c r="L12" s="69"/>
      <c r="M12" s="72"/>
      <c r="N12" s="72"/>
      <c r="O12" s="72">
        <f t="shared" si="3"/>
        <v>0</v>
      </c>
      <c r="P12" s="73">
        <f>Pricing!M8</f>
        <v>72453.19</v>
      </c>
      <c r="Q12" s="74">
        <f t="shared" si="32"/>
        <v>7245.3190000000004</v>
      </c>
      <c r="R12" s="74">
        <f t="shared" si="33"/>
        <v>8766.8359900000014</v>
      </c>
      <c r="S12" s="74">
        <f t="shared" si="34"/>
        <v>442.32672495000008</v>
      </c>
      <c r="T12" s="74">
        <f t="shared" si="35"/>
        <v>889.07671714950015</v>
      </c>
      <c r="U12" s="72">
        <f t="shared" si="36"/>
        <v>89796.748432099514</v>
      </c>
      <c r="V12" s="74">
        <f t="shared" si="37"/>
        <v>1346.9512264814928</v>
      </c>
      <c r="W12" s="73">
        <f>Pricing!S8*I12</f>
        <v>735.93749999999989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735.93749999999989</v>
      </c>
      <c r="AC12" s="75">
        <v>0</v>
      </c>
      <c r="AD12" s="101">
        <f>(J12*Pricing!O8)+(O12*Pricing!P8)</f>
        <v>37516.504739999997</v>
      </c>
      <c r="AE12" s="76">
        <f t="shared" si="43"/>
        <v>1299.016393442623</v>
      </c>
      <c r="AF12" s="346">
        <f t="shared" si="44"/>
        <v>570.52800000000002</v>
      </c>
      <c r="AG12" s="347"/>
      <c r="AH12" s="76">
        <f t="shared" si="45"/>
        <v>47.544000000000004</v>
      </c>
      <c r="AI12" s="76">
        <f t="shared" si="15"/>
        <v>158.48000000000002</v>
      </c>
      <c r="AJ12" s="76">
        <f>J12*Pricing!Q8</f>
        <v>7198.3539575999985</v>
      </c>
      <c r="AK12" s="76">
        <f>J12*Pricing!R8</f>
        <v>0</v>
      </c>
      <c r="AL12" s="76">
        <f t="shared" si="16"/>
        <v>14396.707915199997</v>
      </c>
      <c r="AM12" s="77">
        <f t="shared" si="17"/>
        <v>0</v>
      </c>
      <c r="AN12" s="76">
        <f t="shared" si="18"/>
        <v>12957.037123679998</v>
      </c>
      <c r="AO12" s="72">
        <f t="shared" si="19"/>
        <v>93219.268052023632</v>
      </c>
      <c r="AP12" s="74">
        <f t="shared" si="20"/>
        <v>116524.08506502953</v>
      </c>
      <c r="AQ12" s="74">
        <f t="shared" si="46"/>
        <v>0</v>
      </c>
      <c r="AR12" s="74">
        <f t="shared" si="22"/>
        <v>15681.900794613686</v>
      </c>
      <c r="AS12" s="72">
        <f t="shared" si="23"/>
        <v>282547.89435353316</v>
      </c>
      <c r="AT12" s="72">
        <f t="shared" si="24"/>
        <v>21125.284702139354</v>
      </c>
      <c r="AU12" s="78">
        <f t="shared" si="47"/>
        <v>1962.5868359475432</v>
      </c>
      <c r="AV12" s="79">
        <f t="shared" si="26"/>
        <v>2.6088961259287169E-2</v>
      </c>
      <c r="AW12" s="80">
        <f t="shared" si="27"/>
        <v>633.08709321213485</v>
      </c>
      <c r="AX12" s="81">
        <f t="shared" si="28"/>
        <v>1334.6115884735789</v>
      </c>
      <c r="AY12" s="82"/>
      <c r="AZ12" s="83">
        <f t="shared" si="48"/>
        <v>-5.1118457381705866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DOOR</v>
      </c>
      <c r="D13" s="131" t="str">
        <f>Pricing!B9</f>
        <v>SD2</v>
      </c>
      <c r="E13" s="132" t="str">
        <f>Pricing!N9</f>
        <v>24MM</v>
      </c>
      <c r="F13" s="68">
        <f>Pricing!G9</f>
        <v>3658</v>
      </c>
      <c r="G13" s="68">
        <f>Pricing!H9</f>
        <v>2438</v>
      </c>
      <c r="H13" s="100">
        <f t="shared" si="0"/>
        <v>8.9182039999999994</v>
      </c>
      <c r="I13" s="70">
        <f>Pricing!I9</f>
        <v>1</v>
      </c>
      <c r="J13" s="69">
        <f t="shared" si="30"/>
        <v>8.9182039999999994</v>
      </c>
      <c r="K13" s="71">
        <f t="shared" si="31"/>
        <v>95.995547855999988</v>
      </c>
      <c r="L13" s="69"/>
      <c r="M13" s="72"/>
      <c r="N13" s="72"/>
      <c r="O13" s="72">
        <f t="shared" si="3"/>
        <v>0</v>
      </c>
      <c r="P13" s="73">
        <f>Pricing!M9</f>
        <v>53755.78</v>
      </c>
      <c r="Q13" s="74">
        <f t="shared" si="32"/>
        <v>5375.5780000000004</v>
      </c>
      <c r="R13" s="74">
        <f t="shared" si="33"/>
        <v>6504.44938</v>
      </c>
      <c r="S13" s="74">
        <f t="shared" si="34"/>
        <v>328.17903689999997</v>
      </c>
      <c r="T13" s="74">
        <f t="shared" si="35"/>
        <v>659.63986416899991</v>
      </c>
      <c r="U13" s="72">
        <f t="shared" si="36"/>
        <v>66623.626281068995</v>
      </c>
      <c r="V13" s="74">
        <f t="shared" si="37"/>
        <v>999.35439421603485</v>
      </c>
      <c r="W13" s="73">
        <f>Pricing!S9*I13</f>
        <v>735.93749999999989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735.93749999999989</v>
      </c>
      <c r="AC13" s="75">
        <v>0</v>
      </c>
      <c r="AD13" s="101">
        <f>(J13*Pricing!O9)+(O13*Pricing!P9)</f>
        <v>25015.56222</v>
      </c>
      <c r="AE13" s="76">
        <f t="shared" si="43"/>
        <v>999.34426229508199</v>
      </c>
      <c r="AF13" s="346">
        <f t="shared" si="44"/>
        <v>438.91200000000003</v>
      </c>
      <c r="AG13" s="347"/>
      <c r="AH13" s="76">
        <f t="shared" si="45"/>
        <v>36.576000000000001</v>
      </c>
      <c r="AI13" s="76">
        <f t="shared" si="15"/>
        <v>121.92</v>
      </c>
      <c r="AJ13" s="76">
        <f>J13*Pricing!Q9</f>
        <v>4799.7773927999988</v>
      </c>
      <c r="AK13" s="76">
        <f>J13*Pricing!R9</f>
        <v>0</v>
      </c>
      <c r="AL13" s="76">
        <f t="shared" si="16"/>
        <v>9599.5547855999976</v>
      </c>
      <c r="AM13" s="77">
        <f t="shared" si="17"/>
        <v>0</v>
      </c>
      <c r="AN13" s="76">
        <f t="shared" si="18"/>
        <v>8639.59930704</v>
      </c>
      <c r="AO13" s="72">
        <f t="shared" si="19"/>
        <v>69219.73293758012</v>
      </c>
      <c r="AP13" s="74">
        <f t="shared" si="20"/>
        <v>86524.666171975143</v>
      </c>
      <c r="AQ13" s="74">
        <f t="shared" si="46"/>
        <v>0</v>
      </c>
      <c r="AR13" s="74">
        <f t="shared" si="22"/>
        <v>17463.6506531534</v>
      </c>
      <c r="AS13" s="72">
        <f t="shared" si="23"/>
        <v>204534.83031499526</v>
      </c>
      <c r="AT13" s="72">
        <f t="shared" si="24"/>
        <v>22934.531472367675</v>
      </c>
      <c r="AU13" s="78">
        <f t="shared" si="47"/>
        <v>2130.6699621300331</v>
      </c>
      <c r="AV13" s="79">
        <f t="shared" si="26"/>
        <v>1.7395811207887794E-2</v>
      </c>
      <c r="AW13" s="80">
        <f t="shared" si="27"/>
        <v>704.43871810309588</v>
      </c>
      <c r="AX13" s="81">
        <f t="shared" si="28"/>
        <v>1433.8976151913992</v>
      </c>
      <c r="AY13" s="82"/>
      <c r="AZ13" s="83">
        <f t="shared" si="48"/>
        <v>-7.666371164461907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CURTAIN WALL WITH SHAPE</v>
      </c>
      <c r="D14" s="131" t="str">
        <f>Pricing!B10</f>
        <v>SD3 PART 1</v>
      </c>
      <c r="E14" s="132" t="str">
        <f>Pricing!N10</f>
        <v>24MM</v>
      </c>
      <c r="F14" s="68">
        <f>Pricing!G10</f>
        <v>7061</v>
      </c>
      <c r="G14" s="68">
        <f>Pricing!H10</f>
        <v>5690</v>
      </c>
      <c r="H14" s="100">
        <f t="shared" si="0"/>
        <v>40.17709</v>
      </c>
      <c r="I14" s="70">
        <f>Pricing!I10</f>
        <v>1</v>
      </c>
      <c r="J14" s="69">
        <f t="shared" si="30"/>
        <v>40.17709</v>
      </c>
      <c r="K14" s="71">
        <f t="shared" si="31"/>
        <v>432.46619675999995</v>
      </c>
      <c r="L14" s="69"/>
      <c r="M14" s="72"/>
      <c r="N14" s="72"/>
      <c r="O14" s="72">
        <f t="shared" si="3"/>
        <v>0</v>
      </c>
      <c r="P14" s="73">
        <f>Pricing!M10</f>
        <v>99888.010000000009</v>
      </c>
      <c r="Q14" s="74">
        <f t="shared" si="32"/>
        <v>9988.8010000000013</v>
      </c>
      <c r="R14" s="74">
        <f t="shared" si="33"/>
        <v>12086.449210000002</v>
      </c>
      <c r="S14" s="74">
        <f t="shared" si="34"/>
        <v>609.81630105000011</v>
      </c>
      <c r="T14" s="74">
        <f t="shared" si="35"/>
        <v>1225.7307651105002</v>
      </c>
      <c r="U14" s="72">
        <f t="shared" si="36"/>
        <v>123798.80727616051</v>
      </c>
      <c r="V14" s="74">
        <f t="shared" si="37"/>
        <v>1856.9821091424076</v>
      </c>
      <c r="W14" s="73">
        <f>Pricing!S10*I14</f>
        <v>30751.217999999997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30751.217999999997</v>
      </c>
      <c r="AC14" s="75">
        <v>0</v>
      </c>
      <c r="AD14" s="101">
        <f>(J14*Pricing!O10)+(O14*Pricing!P10)</f>
        <v>112696.73745</v>
      </c>
      <c r="AE14" s="76">
        <f t="shared" si="43"/>
        <v>2090.3278688524592</v>
      </c>
      <c r="AF14" s="346">
        <f t="shared" si="44"/>
        <v>918.072</v>
      </c>
      <c r="AG14" s="347"/>
      <c r="AH14" s="76">
        <f t="shared" si="45"/>
        <v>76.506</v>
      </c>
      <c r="AI14" s="76">
        <f t="shared" si="15"/>
        <v>255.01999999999998</v>
      </c>
      <c r="AJ14" s="76">
        <f>J14*Pricing!Q10</f>
        <v>0</v>
      </c>
      <c r="AK14" s="76">
        <f>J14*Pricing!R10</f>
        <v>0</v>
      </c>
      <c r="AL14" s="76">
        <f t="shared" si="16"/>
        <v>43246.619675999995</v>
      </c>
      <c r="AM14" s="77">
        <f t="shared" si="17"/>
        <v>0</v>
      </c>
      <c r="AN14" s="76">
        <f t="shared" si="18"/>
        <v>38921.957708399998</v>
      </c>
      <c r="AO14" s="72">
        <f t="shared" si="19"/>
        <v>128995.71525415538</v>
      </c>
      <c r="AP14" s="74">
        <f t="shared" si="20"/>
        <v>161244.64406769423</v>
      </c>
      <c r="AQ14" s="74">
        <f t="shared" si="46"/>
        <v>0</v>
      </c>
      <c r="AR14" s="74">
        <f t="shared" si="22"/>
        <v>7224.0264121132113</v>
      </c>
      <c r="AS14" s="72">
        <f t="shared" si="23"/>
        <v>515856.89215624961</v>
      </c>
      <c r="AT14" s="72">
        <f t="shared" si="24"/>
        <v>12839.578280961852</v>
      </c>
      <c r="AU14" s="78">
        <f t="shared" si="47"/>
        <v>1192.825927253981</v>
      </c>
      <c r="AV14" s="79">
        <f t="shared" si="26"/>
        <v>7.8369262748678628E-2</v>
      </c>
      <c r="AW14" s="80">
        <f t="shared" si="27"/>
        <v>290.55632631337534</v>
      </c>
      <c r="AX14" s="81">
        <f t="shared" si="28"/>
        <v>973.37624055865115</v>
      </c>
      <c r="AY14" s="82"/>
      <c r="AZ14" s="83">
        <f t="shared" si="48"/>
        <v>-71.106639618045392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DOOR</v>
      </c>
      <c r="D15" s="131" t="str">
        <f>Pricing!B11</f>
        <v>SD3 PART 2</v>
      </c>
      <c r="E15" s="132" t="str">
        <f>Pricing!N11</f>
        <v>24MM</v>
      </c>
      <c r="F15" s="68">
        <f>Pricing!G11</f>
        <v>3607</v>
      </c>
      <c r="G15" s="68">
        <f>Pricing!H11</f>
        <v>2412</v>
      </c>
      <c r="H15" s="100">
        <f t="shared" si="0"/>
        <v>8.7000840000000004</v>
      </c>
      <c r="I15" s="70">
        <f>Pricing!I11</f>
        <v>1</v>
      </c>
      <c r="J15" s="69">
        <f t="shared" si="30"/>
        <v>8.7000840000000004</v>
      </c>
      <c r="K15" s="71">
        <f t="shared" si="31"/>
        <v>93.647704176000005</v>
      </c>
      <c r="L15" s="69"/>
      <c r="M15" s="72"/>
      <c r="N15" s="72"/>
      <c r="O15" s="72">
        <f t="shared" si="3"/>
        <v>0</v>
      </c>
      <c r="P15" s="73">
        <f>Pricing!M11</f>
        <v>53564.880000000005</v>
      </c>
      <c r="Q15" s="74">
        <f t="shared" si="4"/>
        <v>5356.4880000000012</v>
      </c>
      <c r="R15" s="74">
        <f t="shared" si="5"/>
        <v>6481.3504800000001</v>
      </c>
      <c r="S15" s="74">
        <f t="shared" si="6"/>
        <v>327.01359240000005</v>
      </c>
      <c r="T15" s="74">
        <f t="shared" si="7"/>
        <v>657.29732072400009</v>
      </c>
      <c r="U15" s="72">
        <f t="shared" si="8"/>
        <v>66387.029393124001</v>
      </c>
      <c r="V15" s="74">
        <f t="shared" si="9"/>
        <v>995.80544089685998</v>
      </c>
      <c r="W15" s="73">
        <f>Pricing!S11*I15</f>
        <v>735.93749999999989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735.93749999999989</v>
      </c>
      <c r="AC15" s="75">
        <v>0</v>
      </c>
      <c r="AD15" s="101">
        <f>(J15*Pricing!O11)+(O15*Pricing!P11)</f>
        <v>24403.735619999999</v>
      </c>
      <c r="AE15" s="76">
        <f t="shared" si="43"/>
        <v>986.72131147540995</v>
      </c>
      <c r="AF15" s="346">
        <f t="shared" si="44"/>
        <v>433.36799999999999</v>
      </c>
      <c r="AG15" s="347"/>
      <c r="AH15" s="76">
        <f t="shared" si="45"/>
        <v>36.114000000000004</v>
      </c>
      <c r="AI15" s="76">
        <f t="shared" ref="AI15:AI20" si="49">(((F15+G15)*2*I15)/1000)*2*$AI$7</f>
        <v>120.38</v>
      </c>
      <c r="AJ15" s="76">
        <f>J15*Pricing!Q11</f>
        <v>4682.3852087999994</v>
      </c>
      <c r="AK15" s="76">
        <f>J15*Pricing!R11</f>
        <v>0</v>
      </c>
      <c r="AL15" s="76">
        <f t="shared" si="16"/>
        <v>9364.7704175999988</v>
      </c>
      <c r="AM15" s="77">
        <f t="shared" si="17"/>
        <v>0</v>
      </c>
      <c r="AN15" s="76">
        <f t="shared" si="18"/>
        <v>8428.2933758399995</v>
      </c>
      <c r="AO15" s="72">
        <f t="shared" si="19"/>
        <v>68959.418145496282</v>
      </c>
      <c r="AP15" s="74">
        <f t="shared" si="20"/>
        <v>86199.272681870352</v>
      </c>
      <c r="AQ15" s="74">
        <f t="shared" si="21"/>
        <v>0</v>
      </c>
      <c r="AR15" s="74">
        <f t="shared" si="22"/>
        <v>17834.160087117161</v>
      </c>
      <c r="AS15" s="72">
        <f t="shared" si="23"/>
        <v>202773.81294960662</v>
      </c>
      <c r="AT15" s="72">
        <f t="shared" si="24"/>
        <v>23307.109787630397</v>
      </c>
      <c r="AU15" s="78">
        <f t="shared" si="25"/>
        <v>2165.2833321841695</v>
      </c>
      <c r="AV15" s="79">
        <f t="shared" si="26"/>
        <v>1.6970347253411708E-2</v>
      </c>
      <c r="AW15" s="80">
        <f t="shared" si="27"/>
        <v>719.53536316686029</v>
      </c>
      <c r="AX15" s="81">
        <f t="shared" si="28"/>
        <v>1453.6065439442166</v>
      </c>
      <c r="AY15" s="82"/>
      <c r="AZ15" s="83">
        <f t="shared" si="29"/>
        <v>-7.8585749269072949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DOOR</v>
      </c>
      <c r="D16" s="131" t="str">
        <f>Pricing!B12</f>
        <v>SD4</v>
      </c>
      <c r="E16" s="132" t="str">
        <f>Pricing!N12</f>
        <v>24MM</v>
      </c>
      <c r="F16" s="68">
        <f>Pricing!G12</f>
        <v>4064</v>
      </c>
      <c r="G16" s="68">
        <f>Pricing!H12</f>
        <v>2438</v>
      </c>
      <c r="H16" s="100">
        <f t="shared" si="0"/>
        <v>9.9080320000000004</v>
      </c>
      <c r="I16" s="70">
        <f>Pricing!I12</f>
        <v>1</v>
      </c>
      <c r="J16" s="69">
        <f t="shared" si="30"/>
        <v>9.9080320000000004</v>
      </c>
      <c r="K16" s="71">
        <f t="shared" si="31"/>
        <v>106.650056448</v>
      </c>
      <c r="L16" s="69"/>
      <c r="M16" s="72"/>
      <c r="N16" s="72"/>
      <c r="O16" s="72">
        <f t="shared" si="3"/>
        <v>0</v>
      </c>
      <c r="P16" s="73">
        <f>Pricing!M12</f>
        <v>56218.390000000007</v>
      </c>
      <c r="Q16" s="74">
        <f t="shared" si="4"/>
        <v>5621.8390000000009</v>
      </c>
      <c r="R16" s="74">
        <f t="shared" si="5"/>
        <v>6802.4251900000008</v>
      </c>
      <c r="S16" s="74">
        <f t="shared" si="6"/>
        <v>343.21327095000004</v>
      </c>
      <c r="T16" s="74">
        <f t="shared" si="7"/>
        <v>689.85867460949999</v>
      </c>
      <c r="U16" s="72">
        <f t="shared" si="8"/>
        <v>69675.726135559496</v>
      </c>
      <c r="V16" s="74">
        <f t="shared" si="9"/>
        <v>1045.1358920333923</v>
      </c>
      <c r="W16" s="73">
        <f>Pricing!S12*I16</f>
        <v>735.93749999999989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735.93749999999989</v>
      </c>
      <c r="AC16" s="75">
        <v>0</v>
      </c>
      <c r="AD16" s="101">
        <f>(J16*Pricing!O12)+(O16*Pricing!P12)</f>
        <v>27792.029760000001</v>
      </c>
      <c r="AE16" s="76">
        <f t="shared" si="43"/>
        <v>1065.9016393442623</v>
      </c>
      <c r="AF16" s="346">
        <f t="shared" si="44"/>
        <v>468.14400000000001</v>
      </c>
      <c r="AG16" s="347"/>
      <c r="AH16" s="76">
        <f t="shared" si="45"/>
        <v>39.012</v>
      </c>
      <c r="AI16" s="76">
        <f t="shared" si="49"/>
        <v>130.04</v>
      </c>
      <c r="AJ16" s="76">
        <f>J16*Pricing!Q12</f>
        <v>5332.5028223999998</v>
      </c>
      <c r="AK16" s="76">
        <f>J16*Pricing!R12</f>
        <v>0</v>
      </c>
      <c r="AL16" s="76">
        <f t="shared" si="16"/>
        <v>10665.0056448</v>
      </c>
      <c r="AM16" s="77">
        <f t="shared" si="17"/>
        <v>0</v>
      </c>
      <c r="AN16" s="76">
        <f t="shared" si="18"/>
        <v>9598.5050803200011</v>
      </c>
      <c r="AO16" s="72">
        <f t="shared" si="19"/>
        <v>72423.959666937139</v>
      </c>
      <c r="AP16" s="74">
        <f t="shared" si="20"/>
        <v>90529.94958367142</v>
      </c>
      <c r="AQ16" s="74">
        <f t="shared" si="21"/>
        <v>0</v>
      </c>
      <c r="AR16" s="74">
        <f t="shared" si="22"/>
        <v>16446.647452350633</v>
      </c>
      <c r="AS16" s="72">
        <f t="shared" si="23"/>
        <v>217077.89005812857</v>
      </c>
      <c r="AT16" s="72">
        <f t="shared" si="24"/>
        <v>21909.284311771356</v>
      </c>
      <c r="AU16" s="78">
        <f t="shared" si="25"/>
        <v>2035.4221768646746</v>
      </c>
      <c r="AV16" s="79">
        <f t="shared" si="26"/>
        <v>1.932656554096665E-2</v>
      </c>
      <c r="AW16" s="80">
        <f t="shared" si="27"/>
        <v>663.11134173730773</v>
      </c>
      <c r="AX16" s="81">
        <f t="shared" si="28"/>
        <v>1379.2113237394738</v>
      </c>
      <c r="AY16" s="82"/>
      <c r="AZ16" s="83">
        <f t="shared" si="29"/>
        <v>-6.9004886121067557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DOOR</v>
      </c>
      <c r="D17" s="131" t="str">
        <f>Pricing!B13</f>
        <v>SD5</v>
      </c>
      <c r="E17" s="132" t="str">
        <f>Pricing!N13</f>
        <v>24MM</v>
      </c>
      <c r="F17" s="68">
        <f>Pricing!G13</f>
        <v>2438</v>
      </c>
      <c r="G17" s="68">
        <f>Pricing!H13</f>
        <v>2438</v>
      </c>
      <c r="H17" s="100">
        <f t="shared" si="0"/>
        <v>5.9438440000000003</v>
      </c>
      <c r="I17" s="70">
        <f>Pricing!I13</f>
        <v>1</v>
      </c>
      <c r="J17" s="69">
        <f t="shared" si="30"/>
        <v>5.9438440000000003</v>
      </c>
      <c r="K17" s="71">
        <f t="shared" si="31"/>
        <v>63.979536816</v>
      </c>
      <c r="L17" s="69"/>
      <c r="M17" s="72"/>
      <c r="N17" s="72"/>
      <c r="O17" s="72">
        <f t="shared" si="3"/>
        <v>0</v>
      </c>
      <c r="P17" s="73">
        <f>Pricing!M13</f>
        <v>46354.67</v>
      </c>
      <c r="Q17" s="74">
        <f t="shared" si="4"/>
        <v>4635.4669999999996</v>
      </c>
      <c r="R17" s="74">
        <f t="shared" si="5"/>
        <v>5608.9150699999991</v>
      </c>
      <c r="S17" s="74">
        <f t="shared" si="6"/>
        <v>282.99526034999997</v>
      </c>
      <c r="T17" s="74">
        <f t="shared" si="7"/>
        <v>568.82047330349985</v>
      </c>
      <c r="U17" s="72">
        <f t="shared" si="8"/>
        <v>57450.867803653491</v>
      </c>
      <c r="V17" s="74">
        <f t="shared" si="9"/>
        <v>861.76301705480239</v>
      </c>
      <c r="W17" s="73">
        <f>Pricing!S13*I17</f>
        <v>735.93749999999989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735.93749999999989</v>
      </c>
      <c r="AC17" s="75">
        <v>0</v>
      </c>
      <c r="AD17" s="101">
        <f>(J17*Pricing!O13)+(O17*Pricing!P13)</f>
        <v>16672.48242</v>
      </c>
      <c r="AE17" s="76">
        <f t="shared" si="43"/>
        <v>799.34426229508199</v>
      </c>
      <c r="AF17" s="346">
        <f t="shared" si="44"/>
        <v>351.072</v>
      </c>
      <c r="AG17" s="347"/>
      <c r="AH17" s="76">
        <f t="shared" si="45"/>
        <v>29.256</v>
      </c>
      <c r="AI17" s="76">
        <f t="shared" si="49"/>
        <v>97.52000000000001</v>
      </c>
      <c r="AJ17" s="76">
        <f>J17*Pricing!Q13</f>
        <v>3198.9768408</v>
      </c>
      <c r="AK17" s="76">
        <f>J17*Pricing!R13</f>
        <v>0</v>
      </c>
      <c r="AL17" s="76">
        <f t="shared" si="16"/>
        <v>6397.9536816</v>
      </c>
      <c r="AM17" s="77">
        <f t="shared" si="17"/>
        <v>0</v>
      </c>
      <c r="AN17" s="76">
        <f t="shared" si="18"/>
        <v>5758.1583134400007</v>
      </c>
      <c r="AO17" s="72">
        <f t="shared" si="19"/>
        <v>59589.823083003372</v>
      </c>
      <c r="AP17" s="74">
        <f t="shared" si="20"/>
        <v>74487.278853754222</v>
      </c>
      <c r="AQ17" s="74">
        <f t="shared" si="21"/>
        <v>0</v>
      </c>
      <c r="AR17" s="74">
        <f t="shared" si="22"/>
        <v>22557.304992654179</v>
      </c>
      <c r="AS17" s="72">
        <f t="shared" si="23"/>
        <v>166840.61069259758</v>
      </c>
      <c r="AT17" s="72">
        <f t="shared" si="24"/>
        <v>28069.480069227517</v>
      </c>
      <c r="AU17" s="78">
        <f t="shared" si="25"/>
        <v>2607.7183267584091</v>
      </c>
      <c r="AV17" s="79">
        <f t="shared" si="26"/>
        <v>1.1594037103562179E-2</v>
      </c>
      <c r="AW17" s="80">
        <f t="shared" si="27"/>
        <v>911.42627350383486</v>
      </c>
      <c r="AX17" s="81">
        <f t="shared" si="28"/>
        <v>1707.7947545341497</v>
      </c>
      <c r="AY17" s="82"/>
      <c r="AZ17" s="83">
        <f t="shared" si="29"/>
        <v>-11.502701279575376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W1</v>
      </c>
      <c r="E18" s="132" t="str">
        <f>Pricing!N14</f>
        <v>24MM</v>
      </c>
      <c r="F18" s="68">
        <f>Pricing!G14</f>
        <v>1524</v>
      </c>
      <c r="G18" s="68">
        <f>Pricing!H14</f>
        <v>2134</v>
      </c>
      <c r="H18" s="100">
        <f t="shared" si="0"/>
        <v>3.2522160000000002</v>
      </c>
      <c r="I18" s="70">
        <f>Pricing!I14</f>
        <v>3</v>
      </c>
      <c r="J18" s="69">
        <f t="shared" si="30"/>
        <v>9.7566480000000002</v>
      </c>
      <c r="K18" s="71">
        <f t="shared" si="31"/>
        <v>105.020559072</v>
      </c>
      <c r="L18" s="69"/>
      <c r="M18" s="72"/>
      <c r="N18" s="72"/>
      <c r="O18" s="72">
        <f t="shared" si="3"/>
        <v>0</v>
      </c>
      <c r="P18" s="73">
        <f>Pricing!M14</f>
        <v>19359.75</v>
      </c>
      <c r="Q18" s="74">
        <f t="shared" si="4"/>
        <v>1935.9750000000001</v>
      </c>
      <c r="R18" s="74">
        <f t="shared" si="5"/>
        <v>2342.5297499999997</v>
      </c>
      <c r="S18" s="74">
        <f t="shared" si="6"/>
        <v>118.19127375000001</v>
      </c>
      <c r="T18" s="74">
        <f t="shared" si="7"/>
        <v>237.56446023749999</v>
      </c>
      <c r="U18" s="72">
        <f t="shared" si="8"/>
        <v>23994.010483987498</v>
      </c>
      <c r="V18" s="74">
        <f t="shared" si="9"/>
        <v>359.91015725981248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27367.397639999999</v>
      </c>
      <c r="AE18" s="76">
        <f t="shared" si="43"/>
        <v>1799.0163934426228</v>
      </c>
      <c r="AF18" s="346">
        <f t="shared" si="44"/>
        <v>790.12799999999993</v>
      </c>
      <c r="AG18" s="347"/>
      <c r="AH18" s="76">
        <f t="shared" si="45"/>
        <v>65.843999999999994</v>
      </c>
      <c r="AI18" s="76">
        <f t="shared" si="49"/>
        <v>219.48000000000002</v>
      </c>
      <c r="AJ18" s="76">
        <f>J18*Pricing!Q14</f>
        <v>0</v>
      </c>
      <c r="AK18" s="76">
        <f>J18*Pricing!R14</f>
        <v>0</v>
      </c>
      <c r="AL18" s="76">
        <f t="shared" si="16"/>
        <v>10502.0559072</v>
      </c>
      <c r="AM18" s="77">
        <f t="shared" si="17"/>
        <v>0</v>
      </c>
      <c r="AN18" s="76">
        <f t="shared" si="18"/>
        <v>9451.8503164800004</v>
      </c>
      <c r="AO18" s="72">
        <f t="shared" si="19"/>
        <v>27228.389034689939</v>
      </c>
      <c r="AP18" s="74">
        <f t="shared" si="20"/>
        <v>34035.486293362424</v>
      </c>
      <c r="AQ18" s="74">
        <f t="shared" si="21"/>
        <v>0</v>
      </c>
      <c r="AR18" s="74">
        <f t="shared" si="22"/>
        <v>6279.192949059182</v>
      </c>
      <c r="AS18" s="72">
        <f t="shared" si="23"/>
        <v>108585.17919173236</v>
      </c>
      <c r="AT18" s="72">
        <f t="shared" si="24"/>
        <v>11129.352949059181</v>
      </c>
      <c r="AU18" s="78">
        <f t="shared" si="25"/>
        <v>1033.9421171552565</v>
      </c>
      <c r="AV18" s="79">
        <f t="shared" si="26"/>
        <v>1.9031276547364924E-2</v>
      </c>
      <c r="AW18" s="80">
        <f t="shared" si="27"/>
        <v>231.89669581315738</v>
      </c>
      <c r="AX18" s="81">
        <f t="shared" si="28"/>
        <v>802.04542134209908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SIDE HUNG WINDOW</v>
      </c>
      <c r="D19" s="131" t="str">
        <f>Pricing!B15</f>
        <v>W2</v>
      </c>
      <c r="E19" s="132" t="str">
        <f>Pricing!N15</f>
        <v>24MM</v>
      </c>
      <c r="F19" s="68">
        <f>Pricing!G15</f>
        <v>711</v>
      </c>
      <c r="G19" s="68">
        <f>Pricing!H15</f>
        <v>1676</v>
      </c>
      <c r="H19" s="100">
        <f t="shared" si="0"/>
        <v>1.1916359999999999</v>
      </c>
      <c r="I19" s="70">
        <f>Pricing!I15</f>
        <v>2</v>
      </c>
      <c r="J19" s="69">
        <f t="shared" si="30"/>
        <v>2.3832719999999998</v>
      </c>
      <c r="K19" s="71">
        <f t="shared" si="31"/>
        <v>25.653539807999998</v>
      </c>
      <c r="L19" s="69"/>
      <c r="M19" s="72"/>
      <c r="N19" s="72"/>
      <c r="O19" s="72">
        <f t="shared" si="3"/>
        <v>0</v>
      </c>
      <c r="P19" s="73">
        <f>Pricing!M15</f>
        <v>27107.800000000003</v>
      </c>
      <c r="Q19" s="74">
        <f t="shared" si="4"/>
        <v>2710.7800000000007</v>
      </c>
      <c r="R19" s="74">
        <f t="shared" si="5"/>
        <v>3280.0438000000004</v>
      </c>
      <c r="S19" s="74">
        <f t="shared" si="6"/>
        <v>165.49311900000001</v>
      </c>
      <c r="T19" s="74">
        <f t="shared" si="7"/>
        <v>332.64116919000003</v>
      </c>
      <c r="U19" s="72">
        <f t="shared" si="8"/>
        <v>33596.758088189999</v>
      </c>
      <c r="V19" s="74">
        <f t="shared" si="9"/>
        <v>503.95137132284998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6685.0779599999996</v>
      </c>
      <c r="AE19" s="76">
        <f t="shared" si="43"/>
        <v>782.62295081967216</v>
      </c>
      <c r="AF19" s="346">
        <f t="shared" si="44"/>
        <v>343.72799999999995</v>
      </c>
      <c r="AG19" s="347"/>
      <c r="AH19" s="76">
        <f t="shared" si="45"/>
        <v>28.643999999999998</v>
      </c>
      <c r="AI19" s="76">
        <f t="shared" si="49"/>
        <v>95.48</v>
      </c>
      <c r="AJ19" s="76">
        <f>J19*Pricing!Q15</f>
        <v>0</v>
      </c>
      <c r="AK19" s="76">
        <f>J19*Pricing!R15</f>
        <v>38480.309711999995</v>
      </c>
      <c r="AL19" s="76">
        <f t="shared" si="16"/>
        <v>2565.3539807999996</v>
      </c>
      <c r="AM19" s="77">
        <f t="shared" si="17"/>
        <v>0</v>
      </c>
      <c r="AN19" s="76">
        <f t="shared" si="18"/>
        <v>2308.81858272</v>
      </c>
      <c r="AO19" s="72">
        <f t="shared" si="19"/>
        <v>35351.18441033252</v>
      </c>
      <c r="AP19" s="74">
        <f t="shared" si="20"/>
        <v>44188.980512915652</v>
      </c>
      <c r="AQ19" s="74">
        <f t="shared" si="21"/>
        <v>0</v>
      </c>
      <c r="AR19" s="74">
        <f t="shared" si="22"/>
        <v>33374.354636503165</v>
      </c>
      <c r="AS19" s="72">
        <f t="shared" si="23"/>
        <v>129579.72515876815</v>
      </c>
      <c r="AT19" s="72">
        <f t="shared" si="24"/>
        <v>54370.514636503161</v>
      </c>
      <c r="AU19" s="78">
        <f t="shared" si="25"/>
        <v>5051.1440576461509</v>
      </c>
      <c r="AV19" s="79">
        <f t="shared" si="26"/>
        <v>4.6488003379430614E-3</v>
      </c>
      <c r="AW19" s="80">
        <f t="shared" si="27"/>
        <v>1329.2789110093345</v>
      </c>
      <c r="AX19" s="81">
        <f t="shared" si="28"/>
        <v>3721.865146636816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FRENCH CASEMENT WINDOW</v>
      </c>
      <c r="D20" s="131" t="str">
        <f>Pricing!B16</f>
        <v>W3</v>
      </c>
      <c r="E20" s="132" t="str">
        <f>Pricing!N16</f>
        <v>24MM</v>
      </c>
      <c r="F20" s="68">
        <f>Pricing!G16</f>
        <v>1321</v>
      </c>
      <c r="G20" s="68">
        <f>Pricing!H16</f>
        <v>1676</v>
      </c>
      <c r="H20" s="100">
        <f t="shared" si="0"/>
        <v>2.2139959999999999</v>
      </c>
      <c r="I20" s="70">
        <f>Pricing!I16</f>
        <v>1</v>
      </c>
      <c r="J20" s="69">
        <f t="shared" si="30"/>
        <v>2.2139959999999999</v>
      </c>
      <c r="K20" s="71">
        <f t="shared" si="31"/>
        <v>23.831452943999999</v>
      </c>
      <c r="L20" s="69"/>
      <c r="M20" s="72"/>
      <c r="N20" s="72"/>
      <c r="O20" s="72">
        <f t="shared" si="3"/>
        <v>0</v>
      </c>
      <c r="P20" s="73">
        <f>Pricing!M16</f>
        <v>22473.079999999998</v>
      </c>
      <c r="Q20" s="74">
        <f t="shared" si="4"/>
        <v>2247.308</v>
      </c>
      <c r="R20" s="74">
        <f t="shared" si="5"/>
        <v>2719.2426799999998</v>
      </c>
      <c r="S20" s="74">
        <f t="shared" si="6"/>
        <v>137.1981534</v>
      </c>
      <c r="T20" s="74">
        <f t="shared" si="7"/>
        <v>275.76828833399998</v>
      </c>
      <c r="U20" s="72">
        <f t="shared" si="8"/>
        <v>27852.597121733997</v>
      </c>
      <c r="V20" s="74">
        <f t="shared" si="9"/>
        <v>417.78895682600995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6210.2587799999992</v>
      </c>
      <c r="AE20" s="76">
        <f t="shared" si="43"/>
        <v>491.31147540983608</v>
      </c>
      <c r="AF20" s="346">
        <f t="shared" si="44"/>
        <v>215.78399999999996</v>
      </c>
      <c r="AG20" s="347"/>
      <c r="AH20" s="76">
        <f t="shared" si="45"/>
        <v>17.981999999999999</v>
      </c>
      <c r="AI20" s="76">
        <f t="shared" si="49"/>
        <v>59.94</v>
      </c>
      <c r="AJ20" s="76">
        <f>J20*Pricing!Q16</f>
        <v>0</v>
      </c>
      <c r="AK20" s="76">
        <f>J20*Pricing!R16</f>
        <v>35747.179415999992</v>
      </c>
      <c r="AL20" s="76">
        <f t="shared" si="16"/>
        <v>2383.1452943999993</v>
      </c>
      <c r="AM20" s="77">
        <f t="shared" si="17"/>
        <v>0</v>
      </c>
      <c r="AN20" s="76">
        <f t="shared" si="18"/>
        <v>2144.8307649599997</v>
      </c>
      <c r="AO20" s="72">
        <f t="shared" si="19"/>
        <v>29055.403553969842</v>
      </c>
      <c r="AP20" s="74">
        <f t="shared" si="20"/>
        <v>36319.254442462305</v>
      </c>
      <c r="AQ20" s="74">
        <f t="shared" si="21"/>
        <v>0</v>
      </c>
      <c r="AR20" s="74">
        <f t="shared" si="22"/>
        <v>29527.902487823892</v>
      </c>
      <c r="AS20" s="72">
        <f t="shared" si="23"/>
        <v>111860.07225179214</v>
      </c>
      <c r="AT20" s="72">
        <f t="shared" si="24"/>
        <v>50524.062487823889</v>
      </c>
      <c r="AU20" s="78">
        <f t="shared" si="25"/>
        <v>4693.7999338372256</v>
      </c>
      <c r="AV20" s="79">
        <f t="shared" si="26"/>
        <v>4.3186112844042085E-3</v>
      </c>
      <c r="AW20" s="80">
        <f t="shared" si="27"/>
        <v>1186.2636384357586</v>
      </c>
      <c r="AX20" s="81">
        <f t="shared" si="28"/>
        <v>3507.5362954014663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FRENCH CASEMENT WINDOW</v>
      </c>
      <c r="D21" s="131" t="str">
        <f>Pricing!B17</f>
        <v>W4</v>
      </c>
      <c r="E21" s="132" t="str">
        <f>Pricing!N17</f>
        <v>24MM</v>
      </c>
      <c r="F21" s="68">
        <f>Pricing!G17</f>
        <v>1930</v>
      </c>
      <c r="G21" s="68">
        <f>Pricing!H17</f>
        <v>1981</v>
      </c>
      <c r="H21" s="100">
        <f t="shared" si="0"/>
        <v>3.8233299999999999</v>
      </c>
      <c r="I21" s="70">
        <f>Pricing!I17</f>
        <v>1</v>
      </c>
      <c r="J21" s="69">
        <f t="shared" si="30"/>
        <v>3.8233299999999999</v>
      </c>
      <c r="K21" s="71">
        <f t="shared" si="31"/>
        <v>41.154324119999998</v>
      </c>
      <c r="L21" s="69"/>
      <c r="M21" s="72"/>
      <c r="N21" s="72"/>
      <c r="O21" s="72">
        <f t="shared" si="3"/>
        <v>0</v>
      </c>
      <c r="P21" s="73">
        <f>Pricing!M17</f>
        <v>26900.300000000003</v>
      </c>
      <c r="Q21" s="74">
        <f t="shared" ref="Q21:Q26" si="50">P21*$Q$6</f>
        <v>2690.0300000000007</v>
      </c>
      <c r="R21" s="74">
        <f t="shared" ref="R21:R26" si="51">(P21+Q21)*$R$6</f>
        <v>3254.9363000000003</v>
      </c>
      <c r="S21" s="74">
        <f t="shared" ref="S21:S26" si="52">(P21+Q21+R21)*$S$6</f>
        <v>164.22633150000001</v>
      </c>
      <c r="T21" s="74">
        <f t="shared" ref="T21:T26" si="53">(P21+Q21+R21+S21)*$T$6</f>
        <v>330.09492631500007</v>
      </c>
      <c r="U21" s="72">
        <f t="shared" ref="U21:U26" si="54">SUM(P21:T21)</f>
        <v>33339.587557815008</v>
      </c>
      <c r="V21" s="74">
        <f t="shared" ref="V21:V26" si="55">U21*$V$6</f>
        <v>500.0938133672251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10724.44065</v>
      </c>
      <c r="AE21" s="76">
        <f t="shared" si="43"/>
        <v>641.14754098360663</v>
      </c>
      <c r="AF21" s="346">
        <f t="shared" si="44"/>
        <v>281.59199999999998</v>
      </c>
      <c r="AG21" s="347"/>
      <c r="AH21" s="76">
        <f t="shared" si="45"/>
        <v>23.466000000000001</v>
      </c>
      <c r="AI21" s="76">
        <f t="shared" si="15"/>
        <v>78.22</v>
      </c>
      <c r="AJ21" s="76">
        <f>J21*Pricing!Q17</f>
        <v>0</v>
      </c>
      <c r="AK21" s="76">
        <f>J21*Pricing!R17</f>
        <v>53500.621355999996</v>
      </c>
      <c r="AL21" s="76">
        <f t="shared" si="16"/>
        <v>4115.4324119999992</v>
      </c>
      <c r="AM21" s="77">
        <f t="shared" si="17"/>
        <v>0</v>
      </c>
      <c r="AN21" s="76">
        <f t="shared" si="18"/>
        <v>3703.8891707999996</v>
      </c>
      <c r="AO21" s="72">
        <f t="shared" si="19"/>
        <v>34864.106912165837</v>
      </c>
      <c r="AP21" s="74">
        <f t="shared" si="20"/>
        <v>43580.133640207292</v>
      </c>
      <c r="AQ21" s="74">
        <f t="shared" ref="AQ21:AQ26" si="61">(AO21+AP21)*$AQ$6</f>
        <v>0</v>
      </c>
      <c r="AR21" s="74">
        <f t="shared" si="22"/>
        <v>20517.256044435904</v>
      </c>
      <c r="AS21" s="72">
        <f t="shared" si="23"/>
        <v>150488.62414117315</v>
      </c>
      <c r="AT21" s="72">
        <f t="shared" si="24"/>
        <v>39360.616044435912</v>
      </c>
      <c r="AU21" s="78">
        <f t="shared" ref="AU21:AU26" si="62">AT21/10.764</f>
        <v>3656.6904537751684</v>
      </c>
      <c r="AV21" s="79">
        <f t="shared" si="26"/>
        <v>7.457771415125024E-3</v>
      </c>
      <c r="AW21" s="80">
        <f t="shared" si="27"/>
        <v>822.2630815782727</v>
      </c>
      <c r="AX21" s="81">
        <f t="shared" si="28"/>
        <v>2834.4273721968952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FRENCH CASEMENT WINDOW WITH FIXED GLASS</v>
      </c>
      <c r="D22" s="131" t="str">
        <f>Pricing!B18</f>
        <v>W5</v>
      </c>
      <c r="E22" s="132" t="str">
        <f>Pricing!N18</f>
        <v>24MM</v>
      </c>
      <c r="F22" s="68">
        <f>Pricing!G18</f>
        <v>3150</v>
      </c>
      <c r="G22" s="68">
        <f>Pricing!H18</f>
        <v>1372</v>
      </c>
      <c r="H22" s="100">
        <f t="shared" si="0"/>
        <v>4.3217999999999996</v>
      </c>
      <c r="I22" s="70">
        <f>Pricing!I18</f>
        <v>1</v>
      </c>
      <c r="J22" s="69">
        <f t="shared" si="30"/>
        <v>4.3217999999999996</v>
      </c>
      <c r="K22" s="71">
        <f t="shared" si="31"/>
        <v>46.519855199999995</v>
      </c>
      <c r="L22" s="69"/>
      <c r="M22" s="72"/>
      <c r="N22" s="72"/>
      <c r="O22" s="72">
        <f t="shared" si="3"/>
        <v>0</v>
      </c>
      <c r="P22" s="73">
        <f>Pricing!M18</f>
        <v>28544.530000000002</v>
      </c>
      <c r="Q22" s="74">
        <f t="shared" si="50"/>
        <v>2854.4530000000004</v>
      </c>
      <c r="R22" s="74">
        <f t="shared" si="51"/>
        <v>3453.8881300000003</v>
      </c>
      <c r="S22" s="74">
        <f t="shared" si="52"/>
        <v>174.26435565000003</v>
      </c>
      <c r="T22" s="74">
        <f t="shared" si="53"/>
        <v>350.27135485650007</v>
      </c>
      <c r="U22" s="72">
        <f t="shared" si="54"/>
        <v>35377.406840506505</v>
      </c>
      <c r="V22" s="74">
        <f t="shared" si="55"/>
        <v>530.66110260759751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12122.648999999999</v>
      </c>
      <c r="AE22" s="76">
        <f t="shared" si="43"/>
        <v>741.31147540983613</v>
      </c>
      <c r="AF22" s="346">
        <f t="shared" si="44"/>
        <v>325.584</v>
      </c>
      <c r="AG22" s="347"/>
      <c r="AH22" s="76">
        <f t="shared" si="45"/>
        <v>27.132000000000001</v>
      </c>
      <c r="AI22" s="76">
        <f t="shared" si="15"/>
        <v>90.44</v>
      </c>
      <c r="AJ22" s="76">
        <f>J22*Pricing!Q18</f>
        <v>0</v>
      </c>
      <c r="AK22" s="76">
        <f>J22*Pricing!R18</f>
        <v>46519.855199999998</v>
      </c>
      <c r="AL22" s="76">
        <f t="shared" si="16"/>
        <v>4651.9855199999993</v>
      </c>
      <c r="AM22" s="77">
        <f t="shared" si="17"/>
        <v>0</v>
      </c>
      <c r="AN22" s="76">
        <f t="shared" si="18"/>
        <v>4186.7869679999994</v>
      </c>
      <c r="AO22" s="72">
        <f t="shared" si="19"/>
        <v>37092.535418523941</v>
      </c>
      <c r="AP22" s="74">
        <f t="shared" si="20"/>
        <v>46365.669273154926</v>
      </c>
      <c r="AQ22" s="74">
        <f t="shared" si="61"/>
        <v>0</v>
      </c>
      <c r="AR22" s="74">
        <f t="shared" si="22"/>
        <v>19310.98262105578</v>
      </c>
      <c r="AS22" s="72">
        <f t="shared" si="23"/>
        <v>150939.48137967888</v>
      </c>
      <c r="AT22" s="72">
        <f t="shared" si="24"/>
        <v>34925.142621055784</v>
      </c>
      <c r="AU22" s="78">
        <f t="shared" si="62"/>
        <v>3244.62491834409</v>
      </c>
      <c r="AV22" s="79">
        <f t="shared" si="26"/>
        <v>8.4300849003061014E-3</v>
      </c>
      <c r="AW22" s="80">
        <f t="shared" si="27"/>
        <v>771.88692416897527</v>
      </c>
      <c r="AX22" s="81">
        <f t="shared" si="28"/>
        <v>2472.7379941751146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FRENCH CASEMENT WINDOW WITH FIXED GLASS</v>
      </c>
      <c r="D23" s="131" t="str">
        <f>Pricing!B19</f>
        <v>W6</v>
      </c>
      <c r="E23" s="132" t="str">
        <f>Pricing!N19</f>
        <v>24MM</v>
      </c>
      <c r="F23" s="68">
        <f>Pricing!G19</f>
        <v>3162</v>
      </c>
      <c r="G23" s="68">
        <f>Pricing!H19</f>
        <v>1676</v>
      </c>
      <c r="H23" s="100">
        <f t="shared" si="0"/>
        <v>5.299512</v>
      </c>
      <c r="I23" s="70">
        <f>Pricing!I19</f>
        <v>1</v>
      </c>
      <c r="J23" s="69">
        <f t="shared" si="30"/>
        <v>5.299512</v>
      </c>
      <c r="K23" s="71">
        <f t="shared" si="31"/>
        <v>57.043947167999995</v>
      </c>
      <c r="L23" s="69"/>
      <c r="M23" s="72"/>
      <c r="N23" s="72"/>
      <c r="O23" s="72">
        <f t="shared" si="3"/>
        <v>0</v>
      </c>
      <c r="P23" s="73">
        <f>Pricing!M19</f>
        <v>31318.39</v>
      </c>
      <c r="Q23" s="74">
        <f t="shared" si="50"/>
        <v>3131.8389999999999</v>
      </c>
      <c r="R23" s="74">
        <f t="shared" si="51"/>
        <v>3789.5251899999998</v>
      </c>
      <c r="S23" s="74">
        <f t="shared" si="52"/>
        <v>191.19877095000001</v>
      </c>
      <c r="T23" s="74">
        <f t="shared" si="53"/>
        <v>384.30952960950003</v>
      </c>
      <c r="U23" s="72">
        <f t="shared" si="54"/>
        <v>38815.2624905595</v>
      </c>
      <c r="V23" s="74">
        <f t="shared" si="55"/>
        <v>582.2289373583925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14865.131160000001</v>
      </c>
      <c r="AE23" s="76">
        <f t="shared" si="43"/>
        <v>793.11475409836066</v>
      </c>
      <c r="AF23" s="346">
        <f t="shared" si="44"/>
        <v>348.33600000000007</v>
      </c>
      <c r="AG23" s="347"/>
      <c r="AH23" s="76">
        <f t="shared" si="45"/>
        <v>29.027999999999999</v>
      </c>
      <c r="AI23" s="76">
        <f t="shared" si="15"/>
        <v>96.76</v>
      </c>
      <c r="AJ23" s="76">
        <f>J23*Pricing!Q19</f>
        <v>0</v>
      </c>
      <c r="AK23" s="76">
        <f>J23*Pricing!R19</f>
        <v>57043.947167999999</v>
      </c>
      <c r="AL23" s="76">
        <f t="shared" si="16"/>
        <v>5704.3947167999995</v>
      </c>
      <c r="AM23" s="77">
        <f t="shared" si="17"/>
        <v>0</v>
      </c>
      <c r="AN23" s="76">
        <f t="shared" si="18"/>
        <v>5133.9552451199997</v>
      </c>
      <c r="AO23" s="72">
        <f t="shared" si="19"/>
        <v>40664.730182016254</v>
      </c>
      <c r="AP23" s="74">
        <f t="shared" si="20"/>
        <v>50830.912727520321</v>
      </c>
      <c r="AQ23" s="74">
        <f t="shared" si="61"/>
        <v>0</v>
      </c>
      <c r="AR23" s="74">
        <f t="shared" si="22"/>
        <v>17264.918526373101</v>
      </c>
      <c r="AS23" s="72">
        <f t="shared" si="23"/>
        <v>174243.07119945658</v>
      </c>
      <c r="AT23" s="72">
        <f t="shared" si="24"/>
        <v>32879.078526373101</v>
      </c>
      <c r="AU23" s="78">
        <f t="shared" si="62"/>
        <v>3054.5409258986533</v>
      </c>
      <c r="AV23" s="79">
        <f t="shared" si="26"/>
        <v>1.0337205814751027E-2</v>
      </c>
      <c r="AW23" s="80">
        <f t="shared" si="27"/>
        <v>690.65156574611558</v>
      </c>
      <c r="AX23" s="81">
        <f t="shared" si="28"/>
        <v>2363.8893601525378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2 SIDE HUNG WINDOWS WITH CENTER FIXED</v>
      </c>
      <c r="D24" s="131" t="str">
        <f>Pricing!B20</f>
        <v>W7</v>
      </c>
      <c r="E24" s="132" t="str">
        <f>Pricing!N20</f>
        <v>24MM</v>
      </c>
      <c r="F24" s="68">
        <f>Pricing!G20</f>
        <v>3073</v>
      </c>
      <c r="G24" s="68">
        <f>Pricing!H20</f>
        <v>1676</v>
      </c>
      <c r="H24" s="100">
        <f t="shared" si="0"/>
        <v>5.1503480000000001</v>
      </c>
      <c r="I24" s="70">
        <f>Pricing!I20</f>
        <v>2</v>
      </c>
      <c r="J24" s="69">
        <f t="shared" si="30"/>
        <v>10.300696</v>
      </c>
      <c r="K24" s="71">
        <f t="shared" si="31"/>
        <v>110.876691744</v>
      </c>
      <c r="L24" s="69"/>
      <c r="M24" s="72"/>
      <c r="N24" s="72"/>
      <c r="O24" s="72">
        <f t="shared" si="3"/>
        <v>0</v>
      </c>
      <c r="P24" s="73">
        <f>Pricing!M20</f>
        <v>74615.34</v>
      </c>
      <c r="Q24" s="74">
        <f t="shared" si="50"/>
        <v>7461.5339999999997</v>
      </c>
      <c r="R24" s="74">
        <f t="shared" si="51"/>
        <v>9028.4561400000002</v>
      </c>
      <c r="S24" s="74">
        <f t="shared" si="52"/>
        <v>455.52665069999995</v>
      </c>
      <c r="T24" s="74">
        <f t="shared" si="53"/>
        <v>915.60856790699995</v>
      </c>
      <c r="U24" s="72">
        <f t="shared" si="54"/>
        <v>92476.465358606991</v>
      </c>
      <c r="V24" s="74">
        <f t="shared" si="55"/>
        <v>1387.1469803791049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28893.452280000001</v>
      </c>
      <c r="AE24" s="76">
        <f t="shared" si="43"/>
        <v>1557.049180327869</v>
      </c>
      <c r="AF24" s="346">
        <f t="shared" si="44"/>
        <v>683.85599999999988</v>
      </c>
      <c r="AG24" s="347"/>
      <c r="AH24" s="76">
        <f t="shared" si="45"/>
        <v>56.988</v>
      </c>
      <c r="AI24" s="76">
        <f t="shared" si="15"/>
        <v>189.95999999999998</v>
      </c>
      <c r="AJ24" s="76">
        <f>J24*Pricing!Q20</f>
        <v>0</v>
      </c>
      <c r="AK24" s="76">
        <f>J24*Pricing!R20</f>
        <v>110876.691744</v>
      </c>
      <c r="AL24" s="76">
        <f t="shared" si="16"/>
        <v>11087.669174399998</v>
      </c>
      <c r="AM24" s="77">
        <f t="shared" si="17"/>
        <v>0</v>
      </c>
      <c r="AN24" s="76">
        <f t="shared" si="18"/>
        <v>9978.9022569600002</v>
      </c>
      <c r="AO24" s="72">
        <f t="shared" si="19"/>
        <v>96351.465519313977</v>
      </c>
      <c r="AP24" s="74">
        <f t="shared" si="20"/>
        <v>120439.33189914247</v>
      </c>
      <c r="AQ24" s="74">
        <f t="shared" si="61"/>
        <v>0</v>
      </c>
      <c r="AR24" s="74">
        <f t="shared" si="22"/>
        <v>21046.228081913734</v>
      </c>
      <c r="AS24" s="72">
        <f t="shared" si="23"/>
        <v>377627.51287381648</v>
      </c>
      <c r="AT24" s="72">
        <f t="shared" si="24"/>
        <v>36660.388081913734</v>
      </c>
      <c r="AU24" s="78">
        <f t="shared" si="62"/>
        <v>3405.8331551387714</v>
      </c>
      <c r="AV24" s="79">
        <f t="shared" si="26"/>
        <v>2.0092494287621703E-2</v>
      </c>
      <c r="AW24" s="80">
        <f t="shared" si="27"/>
        <v>846.55855854452341</v>
      </c>
      <c r="AX24" s="81">
        <f t="shared" si="28"/>
        <v>2559.2745965942477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FIXED GLASS 4 NO'S</v>
      </c>
      <c r="D25" s="131" t="str">
        <f>Pricing!B21</f>
        <v>W8</v>
      </c>
      <c r="E25" s="132" t="str">
        <f>Pricing!N21</f>
        <v>24MM</v>
      </c>
      <c r="F25" s="68">
        <f>Pricing!G21</f>
        <v>2833</v>
      </c>
      <c r="G25" s="68">
        <f>Pricing!H21</f>
        <v>2438</v>
      </c>
      <c r="H25" s="100">
        <f t="shared" si="0"/>
        <v>6.906854</v>
      </c>
      <c r="I25" s="70">
        <f>Pricing!I21</f>
        <v>1</v>
      </c>
      <c r="J25" s="69">
        <f t="shared" si="30"/>
        <v>6.906854</v>
      </c>
      <c r="K25" s="71">
        <f t="shared" si="31"/>
        <v>74.345376455999997</v>
      </c>
      <c r="L25" s="69"/>
      <c r="M25" s="72"/>
      <c r="N25" s="72"/>
      <c r="O25" s="72">
        <f t="shared" si="3"/>
        <v>0</v>
      </c>
      <c r="P25" s="73">
        <f>Pricing!M21</f>
        <v>20926.79</v>
      </c>
      <c r="Q25" s="74">
        <f t="shared" si="50"/>
        <v>2092.6790000000001</v>
      </c>
      <c r="R25" s="74">
        <f t="shared" si="51"/>
        <v>2532.1415900000002</v>
      </c>
      <c r="S25" s="74">
        <f t="shared" si="52"/>
        <v>127.75805295000001</v>
      </c>
      <c r="T25" s="74">
        <f t="shared" si="53"/>
        <v>256.79368642950004</v>
      </c>
      <c r="U25" s="72">
        <f t="shared" si="54"/>
        <v>25936.162329379502</v>
      </c>
      <c r="V25" s="74">
        <f t="shared" si="55"/>
        <v>389.04243494069249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19373.725470000001</v>
      </c>
      <c r="AE25" s="76">
        <f t="shared" si="43"/>
        <v>864.09836065573768</v>
      </c>
      <c r="AF25" s="346">
        <f t="shared" si="44"/>
        <v>379.51199999999994</v>
      </c>
      <c r="AG25" s="347"/>
      <c r="AH25" s="76">
        <f t="shared" si="45"/>
        <v>31.625999999999998</v>
      </c>
      <c r="AI25" s="76">
        <f t="shared" si="15"/>
        <v>105.42</v>
      </c>
      <c r="AJ25" s="76">
        <f>J25*Pricing!Q21</f>
        <v>0</v>
      </c>
      <c r="AK25" s="76">
        <f>J25*Pricing!R21</f>
        <v>0</v>
      </c>
      <c r="AL25" s="76">
        <f t="shared" si="16"/>
        <v>7434.5376455999995</v>
      </c>
      <c r="AM25" s="77">
        <f t="shared" si="17"/>
        <v>0</v>
      </c>
      <c r="AN25" s="76">
        <f t="shared" si="18"/>
        <v>6691.0838810400001</v>
      </c>
      <c r="AO25" s="72">
        <f t="shared" si="19"/>
        <v>27705.861124975931</v>
      </c>
      <c r="AP25" s="74">
        <f t="shared" si="20"/>
        <v>34632.326406219916</v>
      </c>
      <c r="AQ25" s="74">
        <f t="shared" si="61"/>
        <v>0</v>
      </c>
      <c r="AR25" s="74">
        <f t="shared" si="22"/>
        <v>9025.5545478731474</v>
      </c>
      <c r="AS25" s="72">
        <f t="shared" si="23"/>
        <v>95837.534527835844</v>
      </c>
      <c r="AT25" s="72">
        <f t="shared" si="24"/>
        <v>13875.714547873147</v>
      </c>
      <c r="AU25" s="78">
        <f t="shared" si="62"/>
        <v>1289.0853351795938</v>
      </c>
      <c r="AV25" s="79">
        <f t="shared" si="26"/>
        <v>1.3472480358651211E-2</v>
      </c>
      <c r="AW25" s="80">
        <f t="shared" si="27"/>
        <v>354.09336826615311</v>
      </c>
      <c r="AX25" s="81">
        <f t="shared" si="28"/>
        <v>934.99196691344082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3 NO'S WITH DOOR</v>
      </c>
      <c r="D26" s="131" t="str">
        <f>Pricing!B22</f>
        <v>W9</v>
      </c>
      <c r="E26" s="132" t="str">
        <f>Pricing!N22</f>
        <v>24MM</v>
      </c>
      <c r="F26" s="68">
        <f>Pricing!G22</f>
        <v>2438</v>
      </c>
      <c r="G26" s="68">
        <f>Pricing!H22</f>
        <v>2438</v>
      </c>
      <c r="H26" s="100">
        <f t="shared" si="0"/>
        <v>5.9438440000000003</v>
      </c>
      <c r="I26" s="70">
        <f>Pricing!I22</f>
        <v>1</v>
      </c>
      <c r="J26" s="69">
        <f t="shared" si="30"/>
        <v>5.9438440000000003</v>
      </c>
      <c r="K26" s="71">
        <f t="shared" si="31"/>
        <v>63.979536816</v>
      </c>
      <c r="L26" s="69"/>
      <c r="M26" s="72"/>
      <c r="N26" s="72"/>
      <c r="O26" s="72">
        <f t="shared" si="3"/>
        <v>0</v>
      </c>
      <c r="P26" s="73">
        <f>Pricing!M22</f>
        <v>35466.730000000003</v>
      </c>
      <c r="Q26" s="74">
        <f t="shared" si="50"/>
        <v>3546.6730000000007</v>
      </c>
      <c r="R26" s="74">
        <f t="shared" si="51"/>
        <v>4291.4743300000009</v>
      </c>
      <c r="S26" s="74">
        <f t="shared" si="52"/>
        <v>216.52438665000003</v>
      </c>
      <c r="T26" s="74">
        <f t="shared" si="53"/>
        <v>435.21401716650007</v>
      </c>
      <c r="U26" s="72">
        <f t="shared" si="54"/>
        <v>43956.615733816507</v>
      </c>
      <c r="V26" s="74">
        <f t="shared" si="55"/>
        <v>659.34923600724755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16672.48242</v>
      </c>
      <c r="AE26" s="76">
        <f t="shared" si="43"/>
        <v>799.34426229508199</v>
      </c>
      <c r="AF26" s="346">
        <f t="shared" si="44"/>
        <v>351.072</v>
      </c>
      <c r="AG26" s="347"/>
      <c r="AH26" s="76">
        <f t="shared" si="45"/>
        <v>29.256</v>
      </c>
      <c r="AI26" s="76">
        <f t="shared" si="15"/>
        <v>97.52000000000001</v>
      </c>
      <c r="AJ26" s="76">
        <f>J26*Pricing!Q22</f>
        <v>0</v>
      </c>
      <c r="AK26" s="76">
        <f>J26*Pricing!R22</f>
        <v>57581.583134399996</v>
      </c>
      <c r="AL26" s="76">
        <f t="shared" si="16"/>
        <v>6397.9536816</v>
      </c>
      <c r="AM26" s="77">
        <f t="shared" si="17"/>
        <v>0</v>
      </c>
      <c r="AN26" s="76">
        <f t="shared" si="18"/>
        <v>5758.1583134400007</v>
      </c>
      <c r="AO26" s="72">
        <f t="shared" si="19"/>
        <v>45893.157232118843</v>
      </c>
      <c r="AP26" s="74">
        <f t="shared" si="20"/>
        <v>57366.44654014855</v>
      </c>
      <c r="AQ26" s="74">
        <f t="shared" si="61"/>
        <v>0</v>
      </c>
      <c r="AR26" s="74">
        <f t="shared" si="22"/>
        <v>17372.529254177498</v>
      </c>
      <c r="AS26" s="72">
        <f t="shared" si="23"/>
        <v>189669.78132170741</v>
      </c>
      <c r="AT26" s="72">
        <f t="shared" si="24"/>
        <v>31910.2892541775</v>
      </c>
      <c r="AU26" s="78">
        <f t="shared" si="62"/>
        <v>2964.538206445327</v>
      </c>
      <c r="AV26" s="79">
        <f t="shared" si="26"/>
        <v>1.1594037103562179E-2</v>
      </c>
      <c r="AW26" s="80">
        <f t="shared" si="27"/>
        <v>697.3474206000534</v>
      </c>
      <c r="AX26" s="81">
        <f t="shared" si="28"/>
        <v>2267.1907858452732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2 FRENCH CASEMENT WINDOW</v>
      </c>
      <c r="D27" s="131" t="str">
        <f>Pricing!B23</f>
        <v>W10</v>
      </c>
      <c r="E27" s="132" t="str">
        <f>Pricing!N23</f>
        <v>24MM</v>
      </c>
      <c r="F27" s="68">
        <f>Pricing!G23</f>
        <v>2235</v>
      </c>
      <c r="G27" s="68">
        <f>Pricing!H23</f>
        <v>1372</v>
      </c>
      <c r="H27" s="100">
        <f t="shared" si="0"/>
        <v>3.0664199999999999</v>
      </c>
      <c r="I27" s="70">
        <f>Pricing!I23</f>
        <v>1</v>
      </c>
      <c r="J27" s="69">
        <f t="shared" si="30"/>
        <v>3.0664199999999999</v>
      </c>
      <c r="K27" s="71">
        <f t="shared" si="31"/>
        <v>33.006944879999999</v>
      </c>
      <c r="L27" s="69"/>
      <c r="M27" s="72"/>
      <c r="N27" s="72"/>
      <c r="O27" s="72">
        <f t="shared" si="3"/>
        <v>0</v>
      </c>
      <c r="P27" s="73">
        <f>Pricing!M23</f>
        <v>44269.71</v>
      </c>
      <c r="Q27" s="74">
        <f t="shared" si="4"/>
        <v>4426.9710000000005</v>
      </c>
      <c r="R27" s="74">
        <f t="shared" si="5"/>
        <v>5356.6349099999998</v>
      </c>
      <c r="S27" s="74">
        <f t="shared" si="6"/>
        <v>270.26657955000002</v>
      </c>
      <c r="T27" s="74">
        <f t="shared" si="7"/>
        <v>543.23582489549995</v>
      </c>
      <c r="U27" s="72">
        <f t="shared" si="8"/>
        <v>54866.818314445496</v>
      </c>
      <c r="V27" s="74">
        <f t="shared" si="9"/>
        <v>823.00227471668245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8601.3081000000002</v>
      </c>
      <c r="AE27" s="76">
        <f t="shared" si="43"/>
        <v>591.31147540983613</v>
      </c>
      <c r="AF27" s="346">
        <f t="shared" si="44"/>
        <v>259.70400000000006</v>
      </c>
      <c r="AG27" s="347"/>
      <c r="AH27" s="76">
        <f t="shared" si="45"/>
        <v>21.642000000000003</v>
      </c>
      <c r="AI27" s="76">
        <f t="shared" ref="AI27:AI32" si="64">(((F27+G27)*2*I27)/1000)*2*$AI$7</f>
        <v>72.14</v>
      </c>
      <c r="AJ27" s="76">
        <f>J27*Pricing!Q23</f>
        <v>0</v>
      </c>
      <c r="AK27" s="76">
        <f>J27*Pricing!R23</f>
        <v>49510.417319999993</v>
      </c>
      <c r="AL27" s="76">
        <f t="shared" si="16"/>
        <v>3300.6944879999996</v>
      </c>
      <c r="AM27" s="77">
        <f t="shared" si="17"/>
        <v>0</v>
      </c>
      <c r="AN27" s="76">
        <f t="shared" si="18"/>
        <v>2970.6250391999997</v>
      </c>
      <c r="AO27" s="72">
        <f t="shared" si="19"/>
        <v>56634.618064572009</v>
      </c>
      <c r="AP27" s="74">
        <f t="shared" si="20"/>
        <v>70793.272580715013</v>
      </c>
      <c r="AQ27" s="74">
        <f t="shared" si="21"/>
        <v>0</v>
      </c>
      <c r="AR27" s="74">
        <f t="shared" si="22"/>
        <v>41555.915577542226</v>
      </c>
      <c r="AS27" s="72">
        <f t="shared" si="23"/>
        <v>191810.93559248702</v>
      </c>
      <c r="AT27" s="72">
        <f t="shared" si="24"/>
        <v>62552.075577542222</v>
      </c>
      <c r="AU27" s="78">
        <f t="shared" si="25"/>
        <v>5811.2296151562823</v>
      </c>
      <c r="AV27" s="79">
        <f t="shared" si="26"/>
        <v>5.9813459530743294E-3</v>
      </c>
      <c r="AW27" s="80">
        <f t="shared" si="27"/>
        <v>1687.2152449015807</v>
      </c>
      <c r="AX27" s="81">
        <f t="shared" si="28"/>
        <v>4124.0143702547011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FRNCH CASEMENT WINDOW WITH FIXED GALSS</v>
      </c>
      <c r="D28" s="131" t="str">
        <f>Pricing!B24</f>
        <v>W11</v>
      </c>
      <c r="E28" s="132" t="str">
        <f>Pricing!N24</f>
        <v>24MM</v>
      </c>
      <c r="F28" s="68">
        <f>Pricing!G24</f>
        <v>2845</v>
      </c>
      <c r="G28" s="68">
        <f>Pricing!H24</f>
        <v>1372</v>
      </c>
      <c r="H28" s="100">
        <f t="shared" si="0"/>
        <v>3.90334</v>
      </c>
      <c r="I28" s="70">
        <f>Pricing!I24</f>
        <v>2</v>
      </c>
      <c r="J28" s="69">
        <f t="shared" si="30"/>
        <v>7.8066800000000001</v>
      </c>
      <c r="K28" s="71">
        <f t="shared" si="31"/>
        <v>84.031103520000002</v>
      </c>
      <c r="L28" s="69"/>
      <c r="M28" s="72"/>
      <c r="N28" s="72"/>
      <c r="O28" s="72">
        <f t="shared" si="3"/>
        <v>0</v>
      </c>
      <c r="P28" s="73">
        <f>Pricing!M24</f>
        <v>47983.96</v>
      </c>
      <c r="Q28" s="74">
        <f t="shared" si="4"/>
        <v>4798.3959999999997</v>
      </c>
      <c r="R28" s="74">
        <f t="shared" si="5"/>
        <v>5806.0591599999998</v>
      </c>
      <c r="S28" s="74">
        <f t="shared" si="6"/>
        <v>292.9420758</v>
      </c>
      <c r="T28" s="74">
        <f t="shared" si="7"/>
        <v>588.81357235799999</v>
      </c>
      <c r="U28" s="72">
        <f t="shared" si="8"/>
        <v>59470.170808157993</v>
      </c>
      <c r="V28" s="74">
        <f t="shared" si="9"/>
        <v>892.05256212236986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21897.737400000002</v>
      </c>
      <c r="AE28" s="76">
        <f t="shared" si="43"/>
        <v>1382.6229508196723</v>
      </c>
      <c r="AF28" s="346">
        <f t="shared" si="44"/>
        <v>607.24800000000005</v>
      </c>
      <c r="AG28" s="347"/>
      <c r="AH28" s="76">
        <f t="shared" si="45"/>
        <v>50.603999999999999</v>
      </c>
      <c r="AI28" s="76">
        <f t="shared" si="64"/>
        <v>168.67999999999998</v>
      </c>
      <c r="AJ28" s="76">
        <f>J28*Pricing!Q24</f>
        <v>0</v>
      </c>
      <c r="AK28" s="76">
        <f>J28*Pricing!R24</f>
        <v>67224.882815999998</v>
      </c>
      <c r="AL28" s="76">
        <f t="shared" si="16"/>
        <v>8403.1103519999997</v>
      </c>
      <c r="AM28" s="77">
        <f t="shared" si="17"/>
        <v>0</v>
      </c>
      <c r="AN28" s="76">
        <f t="shared" si="18"/>
        <v>7562.7993168000003</v>
      </c>
      <c r="AO28" s="72">
        <f t="shared" si="19"/>
        <v>62571.378321100041</v>
      </c>
      <c r="AP28" s="74">
        <f t="shared" si="20"/>
        <v>78214.222901375048</v>
      </c>
      <c r="AQ28" s="74">
        <f t="shared" si="21"/>
        <v>0</v>
      </c>
      <c r="AR28" s="74">
        <f t="shared" si="22"/>
        <v>18033.991558828475</v>
      </c>
      <c r="AS28" s="72">
        <f t="shared" si="23"/>
        <v>245874.13110727511</v>
      </c>
      <c r="AT28" s="72">
        <f t="shared" si="24"/>
        <v>31495.351558828479</v>
      </c>
      <c r="AU28" s="78">
        <f t="shared" si="25"/>
        <v>2925.9895539602826</v>
      </c>
      <c r="AV28" s="79">
        <f t="shared" si="26"/>
        <v>1.5227677169124357E-2</v>
      </c>
      <c r="AW28" s="80">
        <f t="shared" si="27"/>
        <v>718.33191332437661</v>
      </c>
      <c r="AX28" s="81">
        <f t="shared" si="28"/>
        <v>2207.6576406359054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SIDE HUNG WINDOW</v>
      </c>
      <c r="D29" s="131" t="str">
        <f>Pricing!B25</f>
        <v>W12</v>
      </c>
      <c r="E29" s="132" t="str">
        <f>Pricing!N25</f>
        <v>24MM</v>
      </c>
      <c r="F29" s="68">
        <f>Pricing!G25</f>
        <v>711</v>
      </c>
      <c r="G29" s="68">
        <f>Pricing!H25</f>
        <v>1372</v>
      </c>
      <c r="H29" s="100">
        <f t="shared" si="0"/>
        <v>0.97549200000000003</v>
      </c>
      <c r="I29" s="70">
        <f>Pricing!I25</f>
        <v>4</v>
      </c>
      <c r="J29" s="69">
        <f t="shared" si="30"/>
        <v>3.9019680000000001</v>
      </c>
      <c r="K29" s="71">
        <f t="shared" si="31"/>
        <v>42.000783552000001</v>
      </c>
      <c r="L29" s="69"/>
      <c r="M29" s="72"/>
      <c r="N29" s="72"/>
      <c r="O29" s="72">
        <f t="shared" si="3"/>
        <v>0</v>
      </c>
      <c r="P29" s="73">
        <f>Pricing!M25</f>
        <v>49580.880000000005</v>
      </c>
      <c r="Q29" s="74">
        <f t="shared" si="4"/>
        <v>4958.0880000000006</v>
      </c>
      <c r="R29" s="74">
        <f t="shared" si="5"/>
        <v>5999.2864800000007</v>
      </c>
      <c r="S29" s="74">
        <f t="shared" si="6"/>
        <v>302.69127240000006</v>
      </c>
      <c r="T29" s="74">
        <f t="shared" si="7"/>
        <v>608.40945752400012</v>
      </c>
      <c r="U29" s="72">
        <f t="shared" si="8"/>
        <v>61449.355209924011</v>
      </c>
      <c r="V29" s="74">
        <f t="shared" si="9"/>
        <v>921.74032814886016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10945.02024</v>
      </c>
      <c r="AE29" s="76">
        <f t="shared" si="43"/>
        <v>1365.9016393442623</v>
      </c>
      <c r="AF29" s="346">
        <f t="shared" si="44"/>
        <v>599.904</v>
      </c>
      <c r="AG29" s="347"/>
      <c r="AH29" s="76">
        <f t="shared" si="45"/>
        <v>49.992000000000004</v>
      </c>
      <c r="AI29" s="76">
        <f t="shared" si="64"/>
        <v>166.64000000000001</v>
      </c>
      <c r="AJ29" s="76">
        <f>J29*Pricing!Q25</f>
        <v>0</v>
      </c>
      <c r="AK29" s="76">
        <f>J29*Pricing!R25</f>
        <v>63001.175327999998</v>
      </c>
      <c r="AL29" s="76">
        <f t="shared" si="16"/>
        <v>4200.0783551999994</v>
      </c>
      <c r="AM29" s="77">
        <f t="shared" si="17"/>
        <v>0</v>
      </c>
      <c r="AN29" s="76">
        <f t="shared" si="18"/>
        <v>3780.07051968</v>
      </c>
      <c r="AO29" s="72">
        <f t="shared" si="19"/>
        <v>64553.533177417135</v>
      </c>
      <c r="AP29" s="74">
        <f t="shared" si="20"/>
        <v>80691.916471771416</v>
      </c>
      <c r="AQ29" s="74">
        <f t="shared" si="21"/>
        <v>0</v>
      </c>
      <c r="AR29" s="74">
        <f t="shared" si="22"/>
        <v>37223.639365876028</v>
      </c>
      <c r="AS29" s="72">
        <f t="shared" si="23"/>
        <v>227171.79409206854</v>
      </c>
      <c r="AT29" s="72">
        <f t="shared" si="24"/>
        <v>58219.799365876024</v>
      </c>
      <c r="AU29" s="78">
        <f t="shared" si="25"/>
        <v>5408.7513346224478</v>
      </c>
      <c r="AV29" s="79">
        <f t="shared" si="26"/>
        <v>7.6111623671335097E-3</v>
      </c>
      <c r="AW29" s="80">
        <f t="shared" si="27"/>
        <v>1484.9983801100509</v>
      </c>
      <c r="AX29" s="81">
        <f t="shared" si="28"/>
        <v>3923.7529545123962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2 SIDE HUNG WINDOWS WITH CENTER FIXED</v>
      </c>
      <c r="D30" s="131" t="str">
        <f>Pricing!B26</f>
        <v>W13</v>
      </c>
      <c r="E30" s="132" t="str">
        <f>Pricing!N26</f>
        <v>24MM</v>
      </c>
      <c r="F30" s="68">
        <f>Pricing!G26</f>
        <v>3251</v>
      </c>
      <c r="G30" s="68">
        <f>Pricing!H26</f>
        <v>1676</v>
      </c>
      <c r="H30" s="100">
        <f t="shared" si="0"/>
        <v>5.4486759999999999</v>
      </c>
      <c r="I30" s="70">
        <f>Pricing!I26</f>
        <v>2</v>
      </c>
      <c r="J30" s="69">
        <f t="shared" si="30"/>
        <v>10.897352</v>
      </c>
      <c r="K30" s="71">
        <f t="shared" si="31"/>
        <v>117.29909692799998</v>
      </c>
      <c r="L30" s="69"/>
      <c r="M30" s="72"/>
      <c r="N30" s="72"/>
      <c r="O30" s="72">
        <f t="shared" si="3"/>
        <v>0</v>
      </c>
      <c r="P30" s="73">
        <f>Pricing!M26</f>
        <v>75196.34</v>
      </c>
      <c r="Q30" s="74">
        <f t="shared" si="4"/>
        <v>7519.634</v>
      </c>
      <c r="R30" s="74">
        <f t="shared" si="5"/>
        <v>9098.7571399999997</v>
      </c>
      <c r="S30" s="74">
        <f t="shared" si="6"/>
        <v>459.07365570000002</v>
      </c>
      <c r="T30" s="74">
        <f t="shared" si="7"/>
        <v>922.73804795700016</v>
      </c>
      <c r="U30" s="72">
        <f t="shared" si="8"/>
        <v>93196.542843657007</v>
      </c>
      <c r="V30" s="74">
        <f t="shared" si="9"/>
        <v>1397.948142654855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30567.072359999998</v>
      </c>
      <c r="AE30" s="76">
        <f t="shared" si="43"/>
        <v>1615.4098360655737</v>
      </c>
      <c r="AF30" s="346">
        <f t="shared" si="44"/>
        <v>709.48799999999994</v>
      </c>
      <c r="AG30" s="347"/>
      <c r="AH30" s="76">
        <f t="shared" si="45"/>
        <v>59.123999999999995</v>
      </c>
      <c r="AI30" s="76">
        <f t="shared" si="64"/>
        <v>197.07999999999998</v>
      </c>
      <c r="AJ30" s="76">
        <f>J30*Pricing!Q26</f>
        <v>0</v>
      </c>
      <c r="AK30" s="76">
        <f>J30*Pricing!R26</f>
        <v>117299.096928</v>
      </c>
      <c r="AL30" s="76">
        <f t="shared" si="16"/>
        <v>11729.909692799998</v>
      </c>
      <c r="AM30" s="77">
        <f t="shared" si="17"/>
        <v>0</v>
      </c>
      <c r="AN30" s="76">
        <f t="shared" si="18"/>
        <v>10556.918723519999</v>
      </c>
      <c r="AO30" s="72">
        <f t="shared" si="19"/>
        <v>97175.592822377454</v>
      </c>
      <c r="AP30" s="74">
        <f t="shared" si="20"/>
        <v>121469.49102797182</v>
      </c>
      <c r="AQ30" s="74">
        <f t="shared" si="21"/>
        <v>0</v>
      </c>
      <c r="AR30" s="74">
        <f t="shared" si="22"/>
        <v>20064.056281778296</v>
      </c>
      <c r="AS30" s="72">
        <f t="shared" si="23"/>
        <v>388798.08155466925</v>
      </c>
      <c r="AT30" s="72">
        <f t="shared" si="24"/>
        <v>35678.216281778296</v>
      </c>
      <c r="AU30" s="78">
        <f t="shared" si="25"/>
        <v>3314.5871685041152</v>
      </c>
      <c r="AV30" s="79">
        <f t="shared" si="26"/>
        <v>2.125632897138241E-2</v>
      </c>
      <c r="AW30" s="80">
        <f t="shared" si="27"/>
        <v>806.43835684749934</v>
      </c>
      <c r="AX30" s="81">
        <f t="shared" si="28"/>
        <v>2508.1488116566161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FRENCH CASEMENT WINDWO</v>
      </c>
      <c r="D31" s="131" t="str">
        <f>Pricing!B27</f>
        <v>W14</v>
      </c>
      <c r="E31" s="132" t="str">
        <f>Pricing!N27</f>
        <v>24MM</v>
      </c>
      <c r="F31" s="68">
        <f>Pricing!G27</f>
        <v>1321</v>
      </c>
      <c r="G31" s="68">
        <f>Pricing!H27</f>
        <v>1676</v>
      </c>
      <c r="H31" s="100">
        <f t="shared" si="0"/>
        <v>2.2139959999999999</v>
      </c>
      <c r="I31" s="70">
        <f>Pricing!I27</f>
        <v>2</v>
      </c>
      <c r="J31" s="69">
        <f t="shared" si="30"/>
        <v>4.4279919999999997</v>
      </c>
      <c r="K31" s="71">
        <f t="shared" si="31"/>
        <v>47.662905887999997</v>
      </c>
      <c r="L31" s="69"/>
      <c r="M31" s="72"/>
      <c r="N31" s="72"/>
      <c r="O31" s="72">
        <f t="shared" si="3"/>
        <v>0</v>
      </c>
      <c r="P31" s="73">
        <f>Pricing!M27</f>
        <v>44946.159999999996</v>
      </c>
      <c r="Q31" s="74">
        <f t="shared" si="4"/>
        <v>4494.616</v>
      </c>
      <c r="R31" s="74">
        <f t="shared" si="5"/>
        <v>5438.4853599999997</v>
      </c>
      <c r="S31" s="74">
        <f t="shared" si="6"/>
        <v>274.39630679999999</v>
      </c>
      <c r="T31" s="74">
        <f t="shared" si="7"/>
        <v>551.53657666799995</v>
      </c>
      <c r="U31" s="72">
        <f t="shared" si="8"/>
        <v>55705.194243467995</v>
      </c>
      <c r="V31" s="74">
        <f t="shared" si="9"/>
        <v>835.5779136520199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12420.517559999998</v>
      </c>
      <c r="AE31" s="76">
        <f t="shared" si="43"/>
        <v>982.62295081967216</v>
      </c>
      <c r="AF31" s="346">
        <f t="shared" si="44"/>
        <v>431.56799999999993</v>
      </c>
      <c r="AG31" s="347"/>
      <c r="AH31" s="76">
        <f t="shared" si="45"/>
        <v>35.963999999999999</v>
      </c>
      <c r="AI31" s="76">
        <f t="shared" si="64"/>
        <v>119.88</v>
      </c>
      <c r="AJ31" s="76">
        <f>J31*Pricing!Q27</f>
        <v>0</v>
      </c>
      <c r="AK31" s="76">
        <f>J31*Pricing!R27</f>
        <v>71494.358831999984</v>
      </c>
      <c r="AL31" s="76">
        <f t="shared" si="16"/>
        <v>4766.2905887999987</v>
      </c>
      <c r="AM31" s="77">
        <f t="shared" si="17"/>
        <v>0</v>
      </c>
      <c r="AN31" s="76">
        <f t="shared" si="18"/>
        <v>4289.6615299199993</v>
      </c>
      <c r="AO31" s="72">
        <f t="shared" si="19"/>
        <v>58110.807107939683</v>
      </c>
      <c r="AP31" s="74">
        <f t="shared" si="20"/>
        <v>72638.508884924609</v>
      </c>
      <c r="AQ31" s="74">
        <f t="shared" si="21"/>
        <v>0</v>
      </c>
      <c r="AR31" s="74">
        <f t="shared" si="22"/>
        <v>29527.902487823892</v>
      </c>
      <c r="AS31" s="72">
        <f t="shared" si="23"/>
        <v>223720.14450358428</v>
      </c>
      <c r="AT31" s="72">
        <f t="shared" si="24"/>
        <v>50524.062487823889</v>
      </c>
      <c r="AU31" s="78">
        <f t="shared" si="25"/>
        <v>4693.7999338372256</v>
      </c>
      <c r="AV31" s="79">
        <f t="shared" si="26"/>
        <v>8.637222568808417E-3</v>
      </c>
      <c r="AW31" s="80">
        <f t="shared" si="27"/>
        <v>1186.2636384357586</v>
      </c>
      <c r="AX31" s="81">
        <f t="shared" si="28"/>
        <v>3507.5362954014663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GLASS LOUVERS</v>
      </c>
      <c r="D32" s="131" t="str">
        <f>Pricing!B28</f>
        <v>V1</v>
      </c>
      <c r="E32" s="132" t="str">
        <f>Pricing!N28</f>
        <v>6MM (A)</v>
      </c>
      <c r="F32" s="68">
        <f>Pricing!G28</f>
        <v>2350</v>
      </c>
      <c r="G32" s="68">
        <f>Pricing!H28</f>
        <v>610</v>
      </c>
      <c r="H32" s="100">
        <f t="shared" si="0"/>
        <v>1.4335</v>
      </c>
      <c r="I32" s="70">
        <f>Pricing!I28</f>
        <v>1</v>
      </c>
      <c r="J32" s="69">
        <f t="shared" si="30"/>
        <v>1.4335</v>
      </c>
      <c r="K32" s="71">
        <f t="shared" si="31"/>
        <v>15.430193999999998</v>
      </c>
      <c r="L32" s="69"/>
      <c r="M32" s="72"/>
      <c r="N32" s="72"/>
      <c r="O32" s="72">
        <f t="shared" si="3"/>
        <v>0</v>
      </c>
      <c r="P32" s="73">
        <f>Pricing!M28</f>
        <v>3268.5400000000004</v>
      </c>
      <c r="Q32" s="74">
        <f t="shared" si="4"/>
        <v>326.85400000000004</v>
      </c>
      <c r="R32" s="74">
        <f t="shared" si="5"/>
        <v>395.49334000000005</v>
      </c>
      <c r="S32" s="74">
        <f t="shared" si="6"/>
        <v>19.954436700000002</v>
      </c>
      <c r="T32" s="74">
        <f t="shared" si="7"/>
        <v>40.108417766999999</v>
      </c>
      <c r="U32" s="72">
        <f t="shared" si="8"/>
        <v>4050.9501944670001</v>
      </c>
      <c r="V32" s="74">
        <f t="shared" si="9"/>
        <v>60.764252917004995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1436.367</v>
      </c>
      <c r="AE32" s="76">
        <f t="shared" si="43"/>
        <v>485.24590163934425</v>
      </c>
      <c r="AF32" s="346">
        <f t="shared" si="44"/>
        <v>213.11999999999998</v>
      </c>
      <c r="AG32" s="347"/>
      <c r="AH32" s="76">
        <f t="shared" si="45"/>
        <v>17.759999999999998</v>
      </c>
      <c r="AI32" s="76">
        <f t="shared" si="64"/>
        <v>59.2</v>
      </c>
      <c r="AJ32" s="76">
        <f>J32*Pricing!Q28</f>
        <v>0</v>
      </c>
      <c r="AK32" s="76">
        <f>J32*Pricing!R28</f>
        <v>23145.290999999997</v>
      </c>
      <c r="AL32" s="76">
        <f t="shared" si="16"/>
        <v>1543.0193999999999</v>
      </c>
      <c r="AM32" s="77">
        <f t="shared" si="17"/>
        <v>0</v>
      </c>
      <c r="AN32" s="76">
        <f t="shared" si="18"/>
        <v>1388.7174600000001</v>
      </c>
      <c r="AO32" s="72">
        <f t="shared" si="19"/>
        <v>4887.0403490233493</v>
      </c>
      <c r="AP32" s="74">
        <f t="shared" si="20"/>
        <v>6108.8004362791871</v>
      </c>
      <c r="AQ32" s="74">
        <f t="shared" si="21"/>
        <v>0</v>
      </c>
      <c r="AR32" s="74">
        <f t="shared" si="22"/>
        <v>7670.6248938280687</v>
      </c>
      <c r="AS32" s="72">
        <f t="shared" si="23"/>
        <v>38509.235645302528</v>
      </c>
      <c r="AT32" s="72">
        <f t="shared" si="24"/>
        <v>26863.784893828062</v>
      </c>
      <c r="AU32" s="78">
        <f t="shared" si="25"/>
        <v>2495.7065118755168</v>
      </c>
      <c r="AV32" s="79">
        <f t="shared" si="26"/>
        <v>2.7961790699682532E-3</v>
      </c>
      <c r="AW32" s="80">
        <f t="shared" si="27"/>
        <v>266.47198650801187</v>
      </c>
      <c r="AX32" s="81">
        <f t="shared" si="28"/>
        <v>2229.2345253675053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GLASS LOUVERS</v>
      </c>
      <c r="D33" s="131" t="str">
        <f>Pricing!B29</f>
        <v>V1A</v>
      </c>
      <c r="E33" s="132" t="str">
        <f>Pricing!N29</f>
        <v>6MM (A)</v>
      </c>
      <c r="F33" s="68">
        <f>Pricing!G29</f>
        <v>2121</v>
      </c>
      <c r="G33" s="68">
        <f>Pricing!H29</f>
        <v>610</v>
      </c>
      <c r="H33" s="100">
        <f t="shared" si="0"/>
        <v>1.2938099999999999</v>
      </c>
      <c r="I33" s="70">
        <f>Pricing!I29</f>
        <v>1</v>
      </c>
      <c r="J33" s="69">
        <f t="shared" si="30"/>
        <v>1.2938099999999999</v>
      </c>
      <c r="K33" s="71">
        <f t="shared" si="31"/>
        <v>13.926570839999998</v>
      </c>
      <c r="L33" s="69"/>
      <c r="M33" s="72"/>
      <c r="N33" s="72"/>
      <c r="O33" s="72">
        <f t="shared" si="3"/>
        <v>0</v>
      </c>
      <c r="P33" s="73">
        <f>Pricing!M29</f>
        <v>2989.6600000000003</v>
      </c>
      <c r="Q33" s="74">
        <f t="shared" ref="Q33:Q38" si="65">P33*$Q$6</f>
        <v>298.96600000000007</v>
      </c>
      <c r="R33" s="74">
        <f t="shared" ref="R33:R38" si="66">(P33+Q33)*$R$6</f>
        <v>361.74886000000004</v>
      </c>
      <c r="S33" s="74">
        <f t="shared" ref="S33:S38" si="67">(P33+Q33+R33)*$S$6</f>
        <v>18.251874300000001</v>
      </c>
      <c r="T33" s="74">
        <f t="shared" ref="T33:T38" si="68">(P33+Q33+R33+S33)*$T$6</f>
        <v>36.686267343000004</v>
      </c>
      <c r="U33" s="72">
        <f t="shared" ref="U33:U38" si="69">SUM(P33:T33)</f>
        <v>3705.3130016430005</v>
      </c>
      <c r="V33" s="74">
        <f t="shared" ref="V33:V38" si="70">U33*$V$6</f>
        <v>55.579695024645005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1296.39762</v>
      </c>
      <c r="AE33" s="76">
        <f t="shared" si="43"/>
        <v>447.70491803278691</v>
      </c>
      <c r="AF33" s="346">
        <f t="shared" si="44"/>
        <v>196.63200000000001</v>
      </c>
      <c r="AG33" s="347"/>
      <c r="AH33" s="76">
        <f t="shared" si="45"/>
        <v>16.385999999999999</v>
      </c>
      <c r="AI33" s="76">
        <f t="shared" si="15"/>
        <v>54.62</v>
      </c>
      <c r="AJ33" s="76">
        <f>J33*Pricing!Q29</f>
        <v>0</v>
      </c>
      <c r="AK33" s="76">
        <f>J33*Pricing!R29</f>
        <v>20889.856259999997</v>
      </c>
      <c r="AL33" s="76">
        <f t="shared" si="16"/>
        <v>1392.6570839999997</v>
      </c>
      <c r="AM33" s="77">
        <f t="shared" si="17"/>
        <v>0</v>
      </c>
      <c r="AN33" s="76">
        <f t="shared" si="18"/>
        <v>1253.3913755999999</v>
      </c>
      <c r="AO33" s="72">
        <f t="shared" si="19"/>
        <v>4476.2356147004321</v>
      </c>
      <c r="AP33" s="74">
        <f t="shared" si="20"/>
        <v>5595.2945183755401</v>
      </c>
      <c r="AQ33" s="74">
        <f t="shared" ref="AQ33:AQ38" si="76">(AO33+AP33)*$AQ$6</f>
        <v>0</v>
      </c>
      <c r="AR33" s="74">
        <f t="shared" si="22"/>
        <v>7784.396575290014</v>
      </c>
      <c r="AS33" s="72">
        <f t="shared" si="23"/>
        <v>34903.832472675975</v>
      </c>
      <c r="AT33" s="72">
        <f t="shared" si="24"/>
        <v>26977.556575290018</v>
      </c>
      <c r="AU33" s="78">
        <f t="shared" ref="AU33:AU38" si="77">AT33/10.764</f>
        <v>2506.2761589827219</v>
      </c>
      <c r="AV33" s="79">
        <f t="shared" si="26"/>
        <v>2.5237003435756022E-3</v>
      </c>
      <c r="AW33" s="80">
        <f t="shared" si="27"/>
        <v>270.05159704250968</v>
      </c>
      <c r="AX33" s="81">
        <f t="shared" si="28"/>
        <v>2236.2245619402115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GLASS LOUVERS</v>
      </c>
      <c r="D34" s="131" t="str">
        <f>Pricing!B30</f>
        <v>V2</v>
      </c>
      <c r="E34" s="132" t="str">
        <f>Pricing!N30</f>
        <v>6MM (A)</v>
      </c>
      <c r="F34" s="68">
        <f>Pricing!G30</f>
        <v>610</v>
      </c>
      <c r="G34" s="68">
        <f>Pricing!H30</f>
        <v>610</v>
      </c>
      <c r="H34" s="100">
        <f t="shared" si="0"/>
        <v>0.37209999999999999</v>
      </c>
      <c r="I34" s="70">
        <f>Pricing!I30</f>
        <v>1</v>
      </c>
      <c r="J34" s="69">
        <f t="shared" si="30"/>
        <v>0.37209999999999999</v>
      </c>
      <c r="K34" s="71">
        <f t="shared" si="31"/>
        <v>4.0052843999999999</v>
      </c>
      <c r="L34" s="69"/>
      <c r="M34" s="72"/>
      <c r="N34" s="72"/>
      <c r="O34" s="72">
        <f t="shared" si="3"/>
        <v>0</v>
      </c>
      <c r="P34" s="73">
        <f>Pricing!M30</f>
        <v>1147.8900000000001</v>
      </c>
      <c r="Q34" s="74">
        <f t="shared" si="65"/>
        <v>114.78900000000002</v>
      </c>
      <c r="R34" s="74">
        <f t="shared" si="66"/>
        <v>138.89469</v>
      </c>
      <c r="S34" s="74">
        <f t="shared" si="67"/>
        <v>7.007868450000001</v>
      </c>
      <c r="T34" s="74">
        <f t="shared" si="68"/>
        <v>14.085815584500001</v>
      </c>
      <c r="U34" s="72">
        <f t="shared" si="69"/>
        <v>1422.6673740345002</v>
      </c>
      <c r="V34" s="74">
        <f t="shared" si="70"/>
        <v>21.340010610517503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372.8442</v>
      </c>
      <c r="AE34" s="76">
        <f t="shared" si="43"/>
        <v>200</v>
      </c>
      <c r="AF34" s="346">
        <f t="shared" si="44"/>
        <v>87.84</v>
      </c>
      <c r="AG34" s="347"/>
      <c r="AH34" s="76">
        <f t="shared" si="45"/>
        <v>7.32</v>
      </c>
      <c r="AI34" s="76">
        <f t="shared" si="15"/>
        <v>24.4</v>
      </c>
      <c r="AJ34" s="76">
        <f>J34*Pricing!Q30</f>
        <v>0</v>
      </c>
      <c r="AK34" s="76">
        <f>J34*Pricing!R30</f>
        <v>6007.9265999999989</v>
      </c>
      <c r="AL34" s="76">
        <f t="shared" si="16"/>
        <v>400.52843999999993</v>
      </c>
      <c r="AM34" s="77">
        <f t="shared" si="17"/>
        <v>0</v>
      </c>
      <c r="AN34" s="76">
        <f t="shared" si="18"/>
        <v>360.475596</v>
      </c>
      <c r="AO34" s="72">
        <f t="shared" si="19"/>
        <v>1763.5673846450177</v>
      </c>
      <c r="AP34" s="74">
        <f t="shared" si="20"/>
        <v>2204.459230806272</v>
      </c>
      <c r="AQ34" s="74">
        <f t="shared" si="76"/>
        <v>0</v>
      </c>
      <c r="AR34" s="74">
        <f t="shared" si="22"/>
        <v>10663.87158143319</v>
      </c>
      <c r="AS34" s="72">
        <f t="shared" si="23"/>
        <v>11109.801451451287</v>
      </c>
      <c r="AT34" s="72">
        <f t="shared" si="24"/>
        <v>29857.031581433184</v>
      </c>
      <c r="AU34" s="78">
        <f t="shared" si="77"/>
        <v>2773.7859142914517</v>
      </c>
      <c r="AV34" s="79">
        <f t="shared" si="26"/>
        <v>7.2581669475771686E-4</v>
      </c>
      <c r="AW34" s="80">
        <f t="shared" si="27"/>
        <v>360.52555584942178</v>
      </c>
      <c r="AX34" s="81">
        <f t="shared" si="28"/>
        <v>2413.2603584420299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GLASS LOUVERS</v>
      </c>
      <c r="D35" s="131" t="str">
        <f>Pricing!B31</f>
        <v>V3</v>
      </c>
      <c r="E35" s="132" t="str">
        <f>Pricing!N31</f>
        <v>6MM (A)</v>
      </c>
      <c r="F35" s="68">
        <f>Pricing!G31</f>
        <v>1334</v>
      </c>
      <c r="G35" s="68">
        <f>Pricing!H31</f>
        <v>610</v>
      </c>
      <c r="H35" s="100">
        <f t="shared" si="0"/>
        <v>0.81374000000000002</v>
      </c>
      <c r="I35" s="70">
        <f>Pricing!I31</f>
        <v>1</v>
      </c>
      <c r="J35" s="69">
        <f t="shared" si="30"/>
        <v>0.81374000000000002</v>
      </c>
      <c r="K35" s="71">
        <f t="shared" si="31"/>
        <v>8.7590973600000002</v>
      </c>
      <c r="L35" s="69"/>
      <c r="M35" s="72"/>
      <c r="N35" s="72"/>
      <c r="O35" s="72">
        <f t="shared" si="3"/>
        <v>0</v>
      </c>
      <c r="P35" s="73">
        <f>Pricing!M31</f>
        <v>2030.18</v>
      </c>
      <c r="Q35" s="74">
        <f t="shared" si="65"/>
        <v>203.01800000000003</v>
      </c>
      <c r="R35" s="74">
        <f t="shared" si="66"/>
        <v>245.65178000000003</v>
      </c>
      <c r="S35" s="74">
        <f t="shared" si="67"/>
        <v>12.394248900000003</v>
      </c>
      <c r="T35" s="74">
        <f t="shared" si="68"/>
        <v>24.912440289000006</v>
      </c>
      <c r="U35" s="72">
        <f t="shared" si="69"/>
        <v>2516.1564691890007</v>
      </c>
      <c r="V35" s="74">
        <f t="shared" si="70"/>
        <v>37.74234703783501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815.36748</v>
      </c>
      <c r="AE35" s="76">
        <f t="shared" si="43"/>
        <v>318.68852459016392</v>
      </c>
      <c r="AF35" s="346">
        <f t="shared" si="44"/>
        <v>139.96799999999999</v>
      </c>
      <c r="AG35" s="347"/>
      <c r="AH35" s="76">
        <f t="shared" si="45"/>
        <v>11.664</v>
      </c>
      <c r="AI35" s="76">
        <f t="shared" si="15"/>
        <v>38.879999999999995</v>
      </c>
      <c r="AJ35" s="76">
        <f>J35*Pricing!Q31</f>
        <v>0</v>
      </c>
      <c r="AK35" s="76">
        <f>J35*Pricing!R31</f>
        <v>13138.64604</v>
      </c>
      <c r="AL35" s="76">
        <f t="shared" si="16"/>
        <v>875.90973599999995</v>
      </c>
      <c r="AM35" s="77">
        <f t="shared" si="17"/>
        <v>0</v>
      </c>
      <c r="AN35" s="76">
        <f t="shared" si="18"/>
        <v>788.31876239999997</v>
      </c>
      <c r="AO35" s="72">
        <f t="shared" si="19"/>
        <v>3063.0993408169998</v>
      </c>
      <c r="AP35" s="74">
        <f t="shared" si="20"/>
        <v>3828.8741760212497</v>
      </c>
      <c r="AQ35" s="74">
        <f t="shared" si="76"/>
        <v>0</v>
      </c>
      <c r="AR35" s="74">
        <f t="shared" si="22"/>
        <v>8469.5031789493569</v>
      </c>
      <c r="AS35" s="72">
        <f t="shared" si="23"/>
        <v>22510.215535238251</v>
      </c>
      <c r="AT35" s="72">
        <f t="shared" si="24"/>
        <v>27662.663178949359</v>
      </c>
      <c r="AU35" s="78">
        <f t="shared" si="77"/>
        <v>2569.9241154728129</v>
      </c>
      <c r="AV35" s="79">
        <f t="shared" si="26"/>
        <v>1.5872778209947448E-3</v>
      </c>
      <c r="AW35" s="80">
        <f t="shared" si="27"/>
        <v>291.571004552327</v>
      </c>
      <c r="AX35" s="81">
        <f t="shared" si="28"/>
        <v>2278.353110920486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2 SIDE HUNG WINDOWS WITH CENTER FIXED GLASS TO GLASS JOINT</v>
      </c>
      <c r="D36" s="131" t="str">
        <f>Pricing!B32</f>
        <v>V4</v>
      </c>
      <c r="E36" s="132" t="str">
        <f>Pricing!N32</f>
        <v>6MM</v>
      </c>
      <c r="F36" s="68">
        <f>Pricing!G32</f>
        <v>4470</v>
      </c>
      <c r="G36" s="68">
        <f>Pricing!H32</f>
        <v>610</v>
      </c>
      <c r="H36" s="100">
        <f t="shared" si="0"/>
        <v>2.7267000000000001</v>
      </c>
      <c r="I36" s="70">
        <f>Pricing!I32</f>
        <v>1</v>
      </c>
      <c r="J36" s="69">
        <f t="shared" si="30"/>
        <v>2.7267000000000001</v>
      </c>
      <c r="K36" s="71">
        <f t="shared" si="31"/>
        <v>29.350198800000001</v>
      </c>
      <c r="L36" s="69"/>
      <c r="M36" s="72"/>
      <c r="N36" s="72"/>
      <c r="O36" s="72">
        <f>N36*M36*L36/1000000</f>
        <v>0</v>
      </c>
      <c r="P36" s="73">
        <f>Pricing!M32</f>
        <v>26705.25</v>
      </c>
      <c r="Q36" s="74">
        <f t="shared" si="65"/>
        <v>2670.5250000000001</v>
      </c>
      <c r="R36" s="74">
        <f t="shared" si="66"/>
        <v>3231.3352500000001</v>
      </c>
      <c r="S36" s="74">
        <f t="shared" si="67"/>
        <v>163.03555125</v>
      </c>
      <c r="T36" s="74">
        <f t="shared" si="68"/>
        <v>327.70145801250004</v>
      </c>
      <c r="U36" s="72">
        <f t="shared" si="69"/>
        <v>33097.847259262504</v>
      </c>
      <c r="V36" s="74">
        <f t="shared" si="70"/>
        <v>496.46770888893752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2732.1534000000001</v>
      </c>
      <c r="AE36" s="76">
        <f t="shared" si="43"/>
        <v>832.78688524590154</v>
      </c>
      <c r="AF36" s="346">
        <f t="shared" si="44"/>
        <v>365.76</v>
      </c>
      <c r="AG36" s="347"/>
      <c r="AH36" s="76">
        <f t="shared" si="45"/>
        <v>30.48</v>
      </c>
      <c r="AI36" s="76">
        <f t="shared" si="15"/>
        <v>101.6</v>
      </c>
      <c r="AJ36" s="76">
        <f>J36*Pricing!Q32</f>
        <v>0</v>
      </c>
      <c r="AK36" s="76">
        <f>J36*Pricing!R32</f>
        <v>44025.298199999997</v>
      </c>
      <c r="AL36" s="76">
        <f t="shared" si="16"/>
        <v>2935.0198799999998</v>
      </c>
      <c r="AM36" s="77">
        <f t="shared" si="17"/>
        <v>0</v>
      </c>
      <c r="AN36" s="76">
        <f t="shared" si="18"/>
        <v>2641.5178920000003</v>
      </c>
      <c r="AO36" s="72">
        <f t="shared" si="19"/>
        <v>34924.941853397337</v>
      </c>
      <c r="AP36" s="74">
        <f t="shared" si="20"/>
        <v>43656.177316746674</v>
      </c>
      <c r="AQ36" s="74">
        <f t="shared" si="76"/>
        <v>0</v>
      </c>
      <c r="AR36" s="74">
        <f t="shared" si="22"/>
        <v>28819.129046152495</v>
      </c>
      <c r="AS36" s="72">
        <f t="shared" si="23"/>
        <v>130915.10854214401</v>
      </c>
      <c r="AT36" s="72">
        <f t="shared" si="24"/>
        <v>48012.289046152495</v>
      </c>
      <c r="AU36" s="78">
        <f t="shared" si="77"/>
        <v>4460.4504873794594</v>
      </c>
      <c r="AV36" s="79">
        <f t="shared" si="26"/>
        <v>5.3186895501098272E-3</v>
      </c>
      <c r="AW36" s="80">
        <f t="shared" si="27"/>
        <v>1144.602637858502</v>
      </c>
      <c r="AX36" s="81">
        <f t="shared" si="28"/>
        <v>3315.847849520957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SIDE HUNG WINDOW</v>
      </c>
      <c r="D37" s="131" t="str">
        <f>Pricing!B33</f>
        <v>V5</v>
      </c>
      <c r="E37" s="132" t="str">
        <f>Pricing!N33</f>
        <v>24MM</v>
      </c>
      <c r="F37" s="68">
        <f>Pricing!G33</f>
        <v>914</v>
      </c>
      <c r="G37" s="68">
        <f>Pricing!H33</f>
        <v>914</v>
      </c>
      <c r="H37" s="100">
        <f t="shared" si="0"/>
        <v>0.83539600000000003</v>
      </c>
      <c r="I37" s="70">
        <f>Pricing!I33</f>
        <v>7</v>
      </c>
      <c r="J37" s="69">
        <f t="shared" si="30"/>
        <v>5.847772</v>
      </c>
      <c r="K37" s="71">
        <f t="shared" si="31"/>
        <v>62.945417807999995</v>
      </c>
      <c r="L37" s="69"/>
      <c r="M37" s="72"/>
      <c r="N37" s="72"/>
      <c r="O37" s="72">
        <f t="shared" ref="O37:O100" si="79">N37*M37*L37/1000000</f>
        <v>0</v>
      </c>
      <c r="P37" s="73">
        <f>Pricing!M33</f>
        <v>78760.36</v>
      </c>
      <c r="Q37" s="74">
        <f t="shared" si="65"/>
        <v>7876.0360000000001</v>
      </c>
      <c r="R37" s="74">
        <f t="shared" si="66"/>
        <v>9530.003560000001</v>
      </c>
      <c r="S37" s="74">
        <f t="shared" si="67"/>
        <v>480.83199780000001</v>
      </c>
      <c r="T37" s="74">
        <f t="shared" si="68"/>
        <v>966.47231557800012</v>
      </c>
      <c r="U37" s="72">
        <f t="shared" si="69"/>
        <v>97613.703873378006</v>
      </c>
      <c r="V37" s="74">
        <f t="shared" si="70"/>
        <v>1464.20555810067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16403.000459999999</v>
      </c>
      <c r="AE37" s="76">
        <f t="shared" si="43"/>
        <v>2097.7049180327867</v>
      </c>
      <c r="AF37" s="346">
        <f t="shared" si="44"/>
        <v>921.3119999999999</v>
      </c>
      <c r="AG37" s="347"/>
      <c r="AH37" s="76">
        <f t="shared" si="45"/>
        <v>76.775999999999996</v>
      </c>
      <c r="AI37" s="76">
        <f t="shared" si="15"/>
        <v>255.92</v>
      </c>
      <c r="AJ37" s="76">
        <f>J37*Pricing!Q33</f>
        <v>0</v>
      </c>
      <c r="AK37" s="76">
        <f>J37*Pricing!R33</f>
        <v>94418.126711999983</v>
      </c>
      <c r="AL37" s="76">
        <f t="shared" si="16"/>
        <v>6294.5417807999993</v>
      </c>
      <c r="AM37" s="77">
        <f t="shared" si="17"/>
        <v>0</v>
      </c>
      <c r="AN37" s="76">
        <f t="shared" si="18"/>
        <v>5665.0876027200002</v>
      </c>
      <c r="AO37" s="72">
        <f t="shared" si="19"/>
        <v>102429.62234951147</v>
      </c>
      <c r="AP37" s="74">
        <f t="shared" si="20"/>
        <v>128037.02793688934</v>
      </c>
      <c r="AQ37" s="74">
        <f t="shared" si="76"/>
        <v>0</v>
      </c>
      <c r="AR37" s="74">
        <f t="shared" si="22"/>
        <v>39411.018467614813</v>
      </c>
      <c r="AS37" s="72">
        <f t="shared" si="23"/>
        <v>353247.40684192081</v>
      </c>
      <c r="AT37" s="72">
        <f t="shared" si="24"/>
        <v>60407.178467614809</v>
      </c>
      <c r="AU37" s="78">
        <f t="shared" si="77"/>
        <v>5611.9638115584185</v>
      </c>
      <c r="AV37" s="79">
        <f t="shared" si="26"/>
        <v>1.1406639464489984E-2</v>
      </c>
      <c r="AW37" s="80">
        <f t="shared" si="27"/>
        <v>1574.0289425624633</v>
      </c>
      <c r="AX37" s="81">
        <f t="shared" si="28"/>
        <v>4037.9348689959547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SIDE HUNG WINDOW</v>
      </c>
      <c r="D38" s="131" t="str">
        <f>Pricing!B34</f>
        <v>V6</v>
      </c>
      <c r="E38" s="132" t="str">
        <f>Pricing!N34</f>
        <v>24MM</v>
      </c>
      <c r="F38" s="68">
        <f>Pricing!G34</f>
        <v>711</v>
      </c>
      <c r="G38" s="68">
        <f>Pricing!H34</f>
        <v>914</v>
      </c>
      <c r="H38" s="100">
        <f t="shared" si="0"/>
        <v>0.64985400000000004</v>
      </c>
      <c r="I38" s="70">
        <f>Pricing!I34</f>
        <v>2</v>
      </c>
      <c r="J38" s="69">
        <f t="shared" si="30"/>
        <v>1.2997080000000001</v>
      </c>
      <c r="K38" s="71">
        <f t="shared" si="31"/>
        <v>13.990056912</v>
      </c>
      <c r="L38" s="69"/>
      <c r="M38" s="72"/>
      <c r="N38" s="72"/>
      <c r="O38" s="72">
        <f t="shared" si="79"/>
        <v>0</v>
      </c>
      <c r="P38" s="73">
        <f>Pricing!M34</f>
        <v>20647.079999999998</v>
      </c>
      <c r="Q38" s="74">
        <f t="shared" si="65"/>
        <v>2064.7080000000001</v>
      </c>
      <c r="R38" s="74">
        <f t="shared" si="66"/>
        <v>2498.2966799999995</v>
      </c>
      <c r="S38" s="74">
        <f t="shared" si="67"/>
        <v>126.05042339999999</v>
      </c>
      <c r="T38" s="74">
        <f t="shared" si="68"/>
        <v>253.36135103399997</v>
      </c>
      <c r="U38" s="72">
        <f t="shared" si="69"/>
        <v>25589.496454433996</v>
      </c>
      <c r="V38" s="74">
        <f t="shared" si="70"/>
        <v>383.84244681650995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3645.6809400000002</v>
      </c>
      <c r="AE38" s="76">
        <f t="shared" si="43"/>
        <v>532.78688524590166</v>
      </c>
      <c r="AF38" s="346">
        <f t="shared" si="44"/>
        <v>234</v>
      </c>
      <c r="AG38" s="347"/>
      <c r="AH38" s="76">
        <f t="shared" si="45"/>
        <v>19.5</v>
      </c>
      <c r="AI38" s="76">
        <f t="shared" si="15"/>
        <v>65</v>
      </c>
      <c r="AJ38" s="76">
        <f>J38*Pricing!Q34</f>
        <v>0</v>
      </c>
      <c r="AK38" s="76">
        <f>J38*Pricing!R34</f>
        <v>20985.085368</v>
      </c>
      <c r="AL38" s="76">
        <f t="shared" si="16"/>
        <v>1399.0056912</v>
      </c>
      <c r="AM38" s="77">
        <f t="shared" si="17"/>
        <v>0</v>
      </c>
      <c r="AN38" s="76">
        <f t="shared" si="18"/>
        <v>1259.10512208</v>
      </c>
      <c r="AO38" s="72">
        <f t="shared" si="19"/>
        <v>26824.625786496406</v>
      </c>
      <c r="AP38" s="74">
        <f t="shared" si="20"/>
        <v>33530.78223312051</v>
      </c>
      <c r="AQ38" s="74">
        <f t="shared" si="76"/>
        <v>0</v>
      </c>
      <c r="AR38" s="74">
        <f t="shared" si="22"/>
        <v>46437.667552724852</v>
      </c>
      <c r="AS38" s="72">
        <f t="shared" si="23"/>
        <v>87644.285140896929</v>
      </c>
      <c r="AT38" s="72">
        <f t="shared" si="24"/>
        <v>67433.827552724862</v>
      </c>
      <c r="AU38" s="78">
        <f t="shared" si="77"/>
        <v>6264.7554396808682</v>
      </c>
      <c r="AV38" s="79">
        <f t="shared" si="26"/>
        <v>2.5352049575656081E-3</v>
      </c>
      <c r="AW38" s="80">
        <f t="shared" si="27"/>
        <v>1856.5570579610596</v>
      </c>
      <c r="AX38" s="81">
        <f t="shared" si="28"/>
        <v>4408.1983817198079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2 SIDE HUNG WINDOWS WITH CENTER FIXED</v>
      </c>
      <c r="D39" s="131" t="str">
        <f>Pricing!B35</f>
        <v>V7</v>
      </c>
      <c r="E39" s="132" t="str">
        <f>Pricing!N35</f>
        <v>6MM</v>
      </c>
      <c r="F39" s="68">
        <f>Pricing!G35</f>
        <v>2743</v>
      </c>
      <c r="G39" s="68">
        <f>Pricing!H35</f>
        <v>610</v>
      </c>
      <c r="H39" s="100">
        <f t="shared" si="0"/>
        <v>1.67323</v>
      </c>
      <c r="I39" s="70">
        <f>Pricing!I35</f>
        <v>2</v>
      </c>
      <c r="J39" s="69">
        <f t="shared" si="30"/>
        <v>3.34646</v>
      </c>
      <c r="K39" s="71">
        <f t="shared" si="31"/>
        <v>36.021295439999996</v>
      </c>
      <c r="L39" s="69"/>
      <c r="M39" s="72"/>
      <c r="N39" s="72"/>
      <c r="O39" s="72">
        <f t="shared" si="79"/>
        <v>0</v>
      </c>
      <c r="P39" s="73">
        <f>Pricing!M35</f>
        <v>45570.32</v>
      </c>
      <c r="Q39" s="74">
        <f t="shared" si="4"/>
        <v>4557.0320000000002</v>
      </c>
      <c r="R39" s="74">
        <f t="shared" si="5"/>
        <v>5514.0087199999998</v>
      </c>
      <c r="S39" s="74">
        <f t="shared" si="6"/>
        <v>278.2068036</v>
      </c>
      <c r="T39" s="74">
        <f t="shared" si="7"/>
        <v>559.19567523599994</v>
      </c>
      <c r="U39" s="72">
        <f t="shared" si="8"/>
        <v>56478.763198835994</v>
      </c>
      <c r="V39" s="74">
        <f t="shared" si="9"/>
        <v>847.18144798253991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3353.15292</v>
      </c>
      <c r="AE39" s="76">
        <f t="shared" si="43"/>
        <v>1099.344262295082</v>
      </c>
      <c r="AF39" s="346">
        <f t="shared" si="44"/>
        <v>482.83200000000005</v>
      </c>
      <c r="AG39" s="347"/>
      <c r="AH39" s="76">
        <f t="shared" si="45"/>
        <v>40.236000000000004</v>
      </c>
      <c r="AI39" s="76">
        <f t="shared" ref="AI39:AI44" si="80">(((F39+G39)*2*I39)/1000)*2*$AI$7</f>
        <v>134.12</v>
      </c>
      <c r="AJ39" s="76">
        <f>J39*Pricing!Q35</f>
        <v>0</v>
      </c>
      <c r="AK39" s="76">
        <f>J39*Pricing!R35</f>
        <v>54031.943159999995</v>
      </c>
      <c r="AL39" s="76">
        <f t="shared" si="16"/>
        <v>3602.1295439999994</v>
      </c>
      <c r="AM39" s="77">
        <f t="shared" si="17"/>
        <v>0</v>
      </c>
      <c r="AN39" s="76">
        <f t="shared" si="18"/>
        <v>3241.9165896</v>
      </c>
      <c r="AO39" s="72">
        <f t="shared" si="19"/>
        <v>59082.476909113619</v>
      </c>
      <c r="AP39" s="74">
        <f t="shared" si="20"/>
        <v>73853.096136392021</v>
      </c>
      <c r="AQ39" s="74">
        <f t="shared" si="21"/>
        <v>0</v>
      </c>
      <c r="AR39" s="74">
        <f t="shared" si="22"/>
        <v>39724.237864939561</v>
      </c>
      <c r="AS39" s="72">
        <f t="shared" si="23"/>
        <v>197164.71525910564</v>
      </c>
      <c r="AT39" s="72">
        <f t="shared" si="24"/>
        <v>58917.397864939558</v>
      </c>
      <c r="AU39" s="78">
        <f t="shared" si="25"/>
        <v>5473.5598165124084</v>
      </c>
      <c r="AV39" s="79">
        <f t="shared" si="26"/>
        <v>6.5275907990833349E-3</v>
      </c>
      <c r="AW39" s="80">
        <f t="shared" si="27"/>
        <v>1591.4459473648108</v>
      </c>
      <c r="AX39" s="81">
        <f t="shared" si="28"/>
        <v>3882.1138691475976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2 SIDE HUNG WINDOWS WITH CENTER FIXED</v>
      </c>
      <c r="D40" s="131" t="str">
        <f>Pricing!B36</f>
        <v>V8</v>
      </c>
      <c r="E40" s="132" t="str">
        <f>Pricing!N36</f>
        <v>6MM</v>
      </c>
      <c r="F40" s="68">
        <f>Pricing!G36</f>
        <v>3073</v>
      </c>
      <c r="G40" s="68">
        <f>Pricing!H36</f>
        <v>610</v>
      </c>
      <c r="H40" s="100">
        <f t="shared" si="0"/>
        <v>1.87453</v>
      </c>
      <c r="I40" s="70">
        <f>Pricing!I36</f>
        <v>1</v>
      </c>
      <c r="J40" s="69">
        <f t="shared" si="30"/>
        <v>1.87453</v>
      </c>
      <c r="K40" s="71">
        <f t="shared" si="31"/>
        <v>20.177440919999999</v>
      </c>
      <c r="L40" s="69"/>
      <c r="M40" s="72"/>
      <c r="N40" s="72"/>
      <c r="O40" s="72">
        <f t="shared" si="79"/>
        <v>0</v>
      </c>
      <c r="P40" s="73">
        <f>Pricing!M36</f>
        <v>23533.820000000003</v>
      </c>
      <c r="Q40" s="74">
        <f t="shared" si="4"/>
        <v>2353.3820000000005</v>
      </c>
      <c r="R40" s="74">
        <f t="shared" si="5"/>
        <v>2847.5922200000005</v>
      </c>
      <c r="S40" s="74">
        <f t="shared" si="6"/>
        <v>143.67397110000002</v>
      </c>
      <c r="T40" s="74">
        <f t="shared" si="7"/>
        <v>288.78468191100006</v>
      </c>
      <c r="U40" s="72">
        <f t="shared" si="8"/>
        <v>29167.252873011006</v>
      </c>
      <c r="V40" s="74">
        <f t="shared" si="9"/>
        <v>437.50879309516506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1878.2790600000001</v>
      </c>
      <c r="AE40" s="76">
        <f t="shared" si="43"/>
        <v>603.77049180327867</v>
      </c>
      <c r="AF40" s="346">
        <f t="shared" si="44"/>
        <v>265.17599999999999</v>
      </c>
      <c r="AG40" s="347"/>
      <c r="AH40" s="76">
        <f t="shared" si="45"/>
        <v>22.097999999999999</v>
      </c>
      <c r="AI40" s="76">
        <f t="shared" si="80"/>
        <v>73.66</v>
      </c>
      <c r="AJ40" s="76">
        <f>J40*Pricing!Q36</f>
        <v>0</v>
      </c>
      <c r="AK40" s="76">
        <f>J40*Pricing!R36</f>
        <v>30266.161379999998</v>
      </c>
      <c r="AL40" s="76">
        <f t="shared" ref="AL40:AL89" si="81">J40*$AL$6</f>
        <v>2017.7440919999997</v>
      </c>
      <c r="AM40" s="77">
        <f t="shared" ref="AM40:AM89" si="82">$AM$6*J40</f>
        <v>0</v>
      </c>
      <c r="AN40" s="76">
        <f t="shared" ref="AN40:AN89" si="83">$AN$6*J40</f>
        <v>1815.9696828000001</v>
      </c>
      <c r="AO40" s="72">
        <f t="shared" ref="AO40:AO89" si="84">SUM(U40:V40)+SUM(AC40:AI40)-AD40</f>
        <v>30569.46615790945</v>
      </c>
      <c r="AP40" s="74">
        <f t="shared" ref="AP40:AP89" si="85">AO40*$AP$6</f>
        <v>38211.83269738681</v>
      </c>
      <c r="AQ40" s="74">
        <f t="shared" si="21"/>
        <v>0</v>
      </c>
      <c r="AR40" s="74">
        <f t="shared" ref="AR40:AR57" si="86">SUM(AO40:AQ40)/J40</f>
        <v>36692.556990443612</v>
      </c>
      <c r="AS40" s="72">
        <f t="shared" ref="AS40:AS57" si="87">SUM(AJ40:AQ40)+AD40+AB40</f>
        <v>104759.45307009626</v>
      </c>
      <c r="AT40" s="72">
        <f t="shared" ref="AT40:AT89" si="88">AS40/J40</f>
        <v>55885.716990443609</v>
      </c>
      <c r="AU40" s="78">
        <f t="shared" si="25"/>
        <v>5191.9097910111122</v>
      </c>
      <c r="AV40" s="79">
        <f t="shared" ref="AV40:AV71" si="89">K40/$K$109</f>
        <v>3.6564503327712523E-3</v>
      </c>
      <c r="AW40" s="80">
        <f t="shared" ref="AW40:AW89" si="90">(U40+V40)/(J40*10.764)</f>
        <v>1467.2208325864435</v>
      </c>
      <c r="AX40" s="81">
        <f t="shared" ref="AX40:AX89" si="91">SUM(W40:AN40,AP40)/(J40*10.764)</f>
        <v>3724.6889584246687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2 SIDE HUNG WINDOWS WITH CENTER FIXED 2 NO'S</v>
      </c>
      <c r="D41" s="131" t="str">
        <f>Pricing!B37</f>
        <v>CW1</v>
      </c>
      <c r="E41" s="132" t="str">
        <f>Pricing!N37</f>
        <v>24MM</v>
      </c>
      <c r="F41" s="68">
        <f>Pricing!G37</f>
        <v>5385</v>
      </c>
      <c r="G41" s="68">
        <f>Pricing!H37</f>
        <v>1676</v>
      </c>
      <c r="H41" s="100">
        <f t="shared" si="0"/>
        <v>9.0252599999999994</v>
      </c>
      <c r="I41" s="70">
        <f>Pricing!I37</f>
        <v>1</v>
      </c>
      <c r="J41" s="69">
        <f t="shared" si="30"/>
        <v>9.0252599999999994</v>
      </c>
      <c r="K41" s="71">
        <f t="shared" si="31"/>
        <v>97.147898639999994</v>
      </c>
      <c r="L41" s="69"/>
      <c r="M41" s="72"/>
      <c r="N41" s="72"/>
      <c r="O41" s="72">
        <f t="shared" si="79"/>
        <v>0</v>
      </c>
      <c r="P41" s="73">
        <f>Pricing!M37</f>
        <v>49486.26</v>
      </c>
      <c r="Q41" s="74">
        <f t="shared" si="4"/>
        <v>4948.6260000000002</v>
      </c>
      <c r="R41" s="74">
        <f t="shared" si="5"/>
        <v>5987.8374599999997</v>
      </c>
      <c r="S41" s="74">
        <f t="shared" si="6"/>
        <v>302.11361729999999</v>
      </c>
      <c r="T41" s="74">
        <f t="shared" si="7"/>
        <v>607.24837077300003</v>
      </c>
      <c r="U41" s="72">
        <f t="shared" si="8"/>
        <v>61332.085448072998</v>
      </c>
      <c r="V41" s="74">
        <f t="shared" si="9"/>
        <v>919.98128172109489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25315.854299999999</v>
      </c>
      <c r="AE41" s="76">
        <f t="shared" si="43"/>
        <v>1157.5409836065573</v>
      </c>
      <c r="AF41" s="346">
        <f t="shared" si="44"/>
        <v>508.392</v>
      </c>
      <c r="AG41" s="347"/>
      <c r="AH41" s="76">
        <f t="shared" si="45"/>
        <v>42.366</v>
      </c>
      <c r="AI41" s="76">
        <f t="shared" si="80"/>
        <v>141.22</v>
      </c>
      <c r="AJ41" s="76">
        <f>J41*Pricing!Q37</f>
        <v>0</v>
      </c>
      <c r="AK41" s="76">
        <f>J41*Pricing!R37</f>
        <v>58288.739183999991</v>
      </c>
      <c r="AL41" s="76">
        <f t="shared" si="81"/>
        <v>9714.7898639999985</v>
      </c>
      <c r="AM41" s="77">
        <f t="shared" si="82"/>
        <v>0</v>
      </c>
      <c r="AN41" s="76">
        <f t="shared" si="83"/>
        <v>8743.310877599999</v>
      </c>
      <c r="AO41" s="72">
        <f t="shared" si="84"/>
        <v>64101.585713400658</v>
      </c>
      <c r="AP41" s="74">
        <f t="shared" si="85"/>
        <v>80126.982141750821</v>
      </c>
      <c r="AQ41" s="74">
        <f t="shared" si="21"/>
        <v>0</v>
      </c>
      <c r="AR41" s="74">
        <f t="shared" si="86"/>
        <v>15980.544367159671</v>
      </c>
      <c r="AS41" s="72">
        <f t="shared" si="87"/>
        <v>246291.26208075148</v>
      </c>
      <c r="AT41" s="72">
        <f t="shared" si="88"/>
        <v>27289.104367159671</v>
      </c>
      <c r="AU41" s="78">
        <f t="shared" si="25"/>
        <v>2535.2196550687172</v>
      </c>
      <c r="AV41" s="79">
        <f t="shared" si="89"/>
        <v>1.7604634191155689E-2</v>
      </c>
      <c r="AW41" s="80">
        <f t="shared" si="90"/>
        <v>640.79684276528678</v>
      </c>
      <c r="AX41" s="81">
        <f t="shared" si="91"/>
        <v>1894.4228123034302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FRENCH WINDOW WITH SIDE HUNG AND CENTER FIXED</v>
      </c>
      <c r="D42" s="131" t="str">
        <f>Pricing!B38</f>
        <v>CW2</v>
      </c>
      <c r="E42" s="132" t="str">
        <f>Pricing!N38</f>
        <v>24MM</v>
      </c>
      <c r="F42" s="68">
        <f>Pricing!G38</f>
        <v>5791</v>
      </c>
      <c r="G42" s="68">
        <f>Pricing!H38</f>
        <v>1372</v>
      </c>
      <c r="H42" s="100">
        <f t="shared" si="0"/>
        <v>7.945252</v>
      </c>
      <c r="I42" s="70">
        <f>Pricing!I38</f>
        <v>1</v>
      </c>
      <c r="J42" s="69">
        <f t="shared" si="30"/>
        <v>7.945252</v>
      </c>
      <c r="K42" s="71">
        <f t="shared" si="31"/>
        <v>85.522692527999993</v>
      </c>
      <c r="L42" s="69"/>
      <c r="M42" s="72"/>
      <c r="N42" s="72"/>
      <c r="O42" s="72">
        <f t="shared" si="79"/>
        <v>0</v>
      </c>
      <c r="P42" s="73">
        <f>Pricing!M38</f>
        <v>53530.020000000004</v>
      </c>
      <c r="Q42" s="74">
        <f t="shared" si="4"/>
        <v>5353.0020000000004</v>
      </c>
      <c r="R42" s="74">
        <f t="shared" si="5"/>
        <v>6477.1324200000008</v>
      </c>
      <c r="S42" s="74">
        <f t="shared" si="6"/>
        <v>326.80077210000002</v>
      </c>
      <c r="T42" s="74">
        <f t="shared" si="7"/>
        <v>656.86955192100015</v>
      </c>
      <c r="U42" s="72">
        <f t="shared" si="8"/>
        <v>66343.824744021011</v>
      </c>
      <c r="V42" s="74">
        <f t="shared" si="9"/>
        <v>995.15737116031517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22286.431860000001</v>
      </c>
      <c r="AE42" s="76">
        <f t="shared" si="43"/>
        <v>1174.2622950819673</v>
      </c>
      <c r="AF42" s="346">
        <f t="shared" si="44"/>
        <v>515.73599999999999</v>
      </c>
      <c r="AG42" s="347"/>
      <c r="AH42" s="76">
        <f t="shared" si="45"/>
        <v>42.978000000000002</v>
      </c>
      <c r="AI42" s="76">
        <f t="shared" si="80"/>
        <v>143.26</v>
      </c>
      <c r="AJ42" s="76">
        <f>J42*Pricing!Q38</f>
        <v>0</v>
      </c>
      <c r="AK42" s="76">
        <f>J42*Pricing!R38</f>
        <v>51313.615516799997</v>
      </c>
      <c r="AL42" s="76">
        <f t="shared" si="81"/>
        <v>8552.2692527999989</v>
      </c>
      <c r="AM42" s="77">
        <f t="shared" si="82"/>
        <v>0</v>
      </c>
      <c r="AN42" s="76">
        <f t="shared" si="83"/>
        <v>7697.0423275200001</v>
      </c>
      <c r="AO42" s="72">
        <f t="shared" si="84"/>
        <v>69215.218410263289</v>
      </c>
      <c r="AP42" s="74">
        <f t="shared" si="85"/>
        <v>86519.023012829115</v>
      </c>
      <c r="AQ42" s="74">
        <f t="shared" si="21"/>
        <v>0</v>
      </c>
      <c r="AR42" s="74">
        <f t="shared" si="86"/>
        <v>19600.919067525159</v>
      </c>
      <c r="AS42" s="72">
        <f t="shared" si="87"/>
        <v>245583.60038021242</v>
      </c>
      <c r="AT42" s="72">
        <f t="shared" si="88"/>
        <v>30909.479067525161</v>
      </c>
      <c r="AU42" s="78">
        <f t="shared" si="25"/>
        <v>2871.5606714534711</v>
      </c>
      <c r="AV42" s="79">
        <f t="shared" si="89"/>
        <v>1.5497975129419885E-2</v>
      </c>
      <c r="AW42" s="80">
        <f t="shared" si="90"/>
        <v>787.38145543224857</v>
      </c>
      <c r="AX42" s="81">
        <f t="shared" si="91"/>
        <v>2084.1792160212226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FIXED GLASS 11 NO'S</v>
      </c>
      <c r="D43" s="131" t="str">
        <f>Pricing!B39</f>
        <v>CW3</v>
      </c>
      <c r="E43" s="132" t="str">
        <f>Pricing!N39</f>
        <v>24MM</v>
      </c>
      <c r="F43" s="68">
        <f>Pricing!G39</f>
        <v>9398</v>
      </c>
      <c r="G43" s="68">
        <f>Pricing!H39</f>
        <v>3200</v>
      </c>
      <c r="H43" s="100">
        <f t="shared" si="0"/>
        <v>30.073599999999999</v>
      </c>
      <c r="I43" s="70">
        <f>Pricing!I39</f>
        <v>1</v>
      </c>
      <c r="J43" s="69">
        <f t="shared" si="30"/>
        <v>30.073599999999999</v>
      </c>
      <c r="K43" s="71">
        <f t="shared" si="31"/>
        <v>323.71223039999995</v>
      </c>
      <c r="L43" s="69"/>
      <c r="M43" s="72"/>
      <c r="N43" s="72"/>
      <c r="O43" s="72">
        <f t="shared" si="79"/>
        <v>0</v>
      </c>
      <c r="P43" s="73">
        <f>Pricing!M39</f>
        <v>80503.360000000001</v>
      </c>
      <c r="Q43" s="74">
        <f t="shared" si="4"/>
        <v>8050.3360000000002</v>
      </c>
      <c r="R43" s="74">
        <f t="shared" si="5"/>
        <v>9740.9065599999994</v>
      </c>
      <c r="S43" s="74">
        <f t="shared" si="6"/>
        <v>491.47301279999999</v>
      </c>
      <c r="T43" s="74">
        <f t="shared" si="7"/>
        <v>987.86075572799996</v>
      </c>
      <c r="U43" s="72">
        <f t="shared" si="8"/>
        <v>99773.936328527998</v>
      </c>
      <c r="V43" s="74">
        <f t="shared" si="9"/>
        <v>1496.60904492792</v>
      </c>
      <c r="W43" s="73">
        <f>Pricing!S39*I43</f>
        <v>25803.263999999996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25803.263999999996</v>
      </c>
      <c r="AC43" s="75">
        <v>0</v>
      </c>
      <c r="AD43" s="101">
        <f>(J43*Pricing!O39)+(O43*Pricing!P39)</f>
        <v>84356.448000000004</v>
      </c>
      <c r="AE43" s="76">
        <f t="shared" si="43"/>
        <v>2065.2459016393445</v>
      </c>
      <c r="AF43" s="346">
        <f t="shared" si="44"/>
        <v>907.05600000000004</v>
      </c>
      <c r="AG43" s="347"/>
      <c r="AH43" s="76">
        <f t="shared" si="45"/>
        <v>75.588000000000008</v>
      </c>
      <c r="AI43" s="76">
        <f t="shared" si="80"/>
        <v>251.96</v>
      </c>
      <c r="AJ43" s="76">
        <f>J43*Pricing!Q39</f>
        <v>0</v>
      </c>
      <c r="AK43" s="76">
        <f>J43*Pricing!R39</f>
        <v>0</v>
      </c>
      <c r="AL43" s="76">
        <f t="shared" si="81"/>
        <v>32371.223039999993</v>
      </c>
      <c r="AM43" s="77">
        <f t="shared" si="82"/>
        <v>0</v>
      </c>
      <c r="AN43" s="76">
        <f t="shared" si="83"/>
        <v>29134.100736</v>
      </c>
      <c r="AO43" s="72">
        <f t="shared" si="84"/>
        <v>104570.39527509527</v>
      </c>
      <c r="AP43" s="74">
        <f t="shared" si="85"/>
        <v>130712.99409386909</v>
      </c>
      <c r="AQ43" s="74">
        <f t="shared" si="21"/>
        <v>0</v>
      </c>
      <c r="AR43" s="74">
        <f t="shared" si="86"/>
        <v>7823.5857818473469</v>
      </c>
      <c r="AS43" s="72">
        <f t="shared" si="87"/>
        <v>406948.42514496425</v>
      </c>
      <c r="AT43" s="72">
        <f t="shared" si="88"/>
        <v>13531.749612449599</v>
      </c>
      <c r="AU43" s="78">
        <f t="shared" si="25"/>
        <v>1257.1302129737644</v>
      </c>
      <c r="AV43" s="79">
        <f t="shared" si="89"/>
        <v>5.8661437655107958E-2</v>
      </c>
      <c r="AW43" s="80">
        <f t="shared" si="90"/>
        <v>312.84127031073069</v>
      </c>
      <c r="AX43" s="81">
        <f t="shared" si="91"/>
        <v>1023.999443462203</v>
      </c>
      <c r="AY43" s="82"/>
      <c r="AZ43" s="83">
        <f t="shared" si="29"/>
        <v>-79.710500799169267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2 FRENCH CASEMENT WINDOW WITH 7 FIXED</v>
      </c>
      <c r="D44" s="131" t="str">
        <f>Pricing!B40</f>
        <v>W15</v>
      </c>
      <c r="E44" s="132" t="str">
        <f>Pricing!N40</f>
        <v>24MM</v>
      </c>
      <c r="F44" s="68">
        <f>Pricing!G40</f>
        <v>4762</v>
      </c>
      <c r="G44" s="68">
        <f>Pricing!H40</f>
        <v>3200</v>
      </c>
      <c r="H44" s="100">
        <f t="shared" si="0"/>
        <v>15.2384</v>
      </c>
      <c r="I44" s="70">
        <f>Pricing!I40</f>
        <v>1</v>
      </c>
      <c r="J44" s="69">
        <f t="shared" si="30"/>
        <v>15.2384</v>
      </c>
      <c r="K44" s="71">
        <f t="shared" si="31"/>
        <v>164.0261376</v>
      </c>
      <c r="L44" s="69"/>
      <c r="M44" s="72"/>
      <c r="N44" s="72"/>
      <c r="O44" s="72">
        <f t="shared" si="79"/>
        <v>0</v>
      </c>
      <c r="P44" s="73">
        <f>Pricing!M40</f>
        <v>79826.91</v>
      </c>
      <c r="Q44" s="74">
        <f t="shared" si="4"/>
        <v>7982.6910000000007</v>
      </c>
      <c r="R44" s="74">
        <f t="shared" si="5"/>
        <v>9659.0561100000014</v>
      </c>
      <c r="S44" s="74">
        <f t="shared" si="6"/>
        <v>487.34328555000008</v>
      </c>
      <c r="T44" s="74">
        <f t="shared" si="7"/>
        <v>979.56000395550018</v>
      </c>
      <c r="U44" s="72">
        <f t="shared" si="8"/>
        <v>98935.560399505513</v>
      </c>
      <c r="V44" s="74">
        <f t="shared" si="9"/>
        <v>1484.0334059925826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42743.712</v>
      </c>
      <c r="AE44" s="76">
        <f t="shared" si="43"/>
        <v>1305.2459016393441</v>
      </c>
      <c r="AF44" s="346">
        <f t="shared" si="44"/>
        <v>573.26400000000001</v>
      </c>
      <c r="AG44" s="347"/>
      <c r="AH44" s="76">
        <f t="shared" si="45"/>
        <v>47.771999999999998</v>
      </c>
      <c r="AI44" s="76">
        <f t="shared" si="80"/>
        <v>159.24</v>
      </c>
      <c r="AJ44" s="76">
        <f>J44*Pricing!Q40</f>
        <v>0</v>
      </c>
      <c r="AK44" s="76">
        <f>J44*Pricing!R40</f>
        <v>82013.068800000008</v>
      </c>
      <c r="AL44" s="76">
        <f t="shared" si="81"/>
        <v>16402.613759999997</v>
      </c>
      <c r="AM44" s="77">
        <f t="shared" si="82"/>
        <v>0</v>
      </c>
      <c r="AN44" s="76">
        <f t="shared" si="83"/>
        <v>14762.352384</v>
      </c>
      <c r="AO44" s="72">
        <f t="shared" si="84"/>
        <v>102505.11570713745</v>
      </c>
      <c r="AP44" s="74">
        <f t="shared" si="85"/>
        <v>128131.39463392181</v>
      </c>
      <c r="AQ44" s="74">
        <f t="shared" si="21"/>
        <v>0</v>
      </c>
      <c r="AR44" s="74">
        <f t="shared" si="86"/>
        <v>15135.218286766278</v>
      </c>
      <c r="AS44" s="72">
        <f t="shared" si="87"/>
        <v>386558.25728505926</v>
      </c>
      <c r="AT44" s="72">
        <f t="shared" si="88"/>
        <v>25367.378286766278</v>
      </c>
      <c r="AU44" s="78">
        <f t="shared" si="25"/>
        <v>2356.6869460020698</v>
      </c>
      <c r="AV44" s="79">
        <f t="shared" si="89"/>
        <v>2.9723958939521615E-2</v>
      </c>
      <c r="AW44" s="80">
        <f t="shared" si="90"/>
        <v>612.21702391349913</v>
      </c>
      <c r="AX44" s="81">
        <f t="shared" si="91"/>
        <v>1744.4699220885707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CURTAIN WALL WITH SHAPE WITH FRENCH DOOR AND SINGLE DOOR</v>
      </c>
      <c r="D45" s="131" t="str">
        <f>Pricing!B41</f>
        <v>W16</v>
      </c>
      <c r="E45" s="132" t="str">
        <f>Pricing!N41</f>
        <v>24MM</v>
      </c>
      <c r="F45" s="68">
        <f>Pricing!G41</f>
        <v>6452</v>
      </c>
      <c r="G45" s="68">
        <f>Pricing!H41</f>
        <v>4280</v>
      </c>
      <c r="H45" s="100">
        <f t="shared" si="0"/>
        <v>27.614560000000001</v>
      </c>
      <c r="I45" s="70">
        <f>Pricing!I41</f>
        <v>1</v>
      </c>
      <c r="J45" s="69">
        <f t="shared" si="30"/>
        <v>27.614560000000001</v>
      </c>
      <c r="K45" s="71">
        <f t="shared" si="31"/>
        <v>297.24312384000001</v>
      </c>
      <c r="L45" s="69"/>
      <c r="M45" s="72"/>
      <c r="N45" s="72"/>
      <c r="O45" s="72">
        <f t="shared" si="79"/>
        <v>0</v>
      </c>
      <c r="P45" s="73">
        <f>Pricing!M41</f>
        <v>178608.53</v>
      </c>
      <c r="Q45" s="74">
        <f t="shared" ref="Q45:Q50" si="92">P45*$Q$6</f>
        <v>17860.852999999999</v>
      </c>
      <c r="R45" s="74">
        <f t="shared" ref="R45:R50" si="93">(P45+Q45)*$R$6</f>
        <v>21611.632130000002</v>
      </c>
      <c r="S45" s="74">
        <f t="shared" ref="S45:S50" si="94">(P45+Q45+R45)*$S$6</f>
        <v>1090.4050756500001</v>
      </c>
      <c r="T45" s="74">
        <f t="shared" ref="T45:T50" si="95">(P45+Q45+R45+S45)*$T$6</f>
        <v>2191.7142020565002</v>
      </c>
      <c r="U45" s="72">
        <f t="shared" ref="U45:U50" si="96">SUM(P45:T45)</f>
        <v>221363.1344077065</v>
      </c>
      <c r="V45" s="74">
        <f t="shared" ref="V45:V50" si="97">U45*$V$6</f>
        <v>3320.4470161155973</v>
      </c>
      <c r="W45" s="73">
        <f>Pricing!S41*I45</f>
        <v>12000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12000</v>
      </c>
      <c r="AC45" s="75">
        <v>0</v>
      </c>
      <c r="AD45" s="101">
        <f>(J45*Pricing!O41)+(O45*Pricing!P41)</f>
        <v>77458.840800000005</v>
      </c>
      <c r="AE45" s="76">
        <f t="shared" si="43"/>
        <v>1759.3442622950822</v>
      </c>
      <c r="AF45" s="346">
        <f t="shared" si="44"/>
        <v>772.70399999999995</v>
      </c>
      <c r="AG45" s="347"/>
      <c r="AH45" s="76">
        <f t="shared" si="45"/>
        <v>64.391999999999996</v>
      </c>
      <c r="AI45" s="76">
        <f t="shared" si="15"/>
        <v>214.64</v>
      </c>
      <c r="AJ45" s="76">
        <f>J45*Pricing!Q41</f>
        <v>0</v>
      </c>
      <c r="AK45" s="76">
        <f>J45*Pricing!R41</f>
        <v>89172.937151999999</v>
      </c>
      <c r="AL45" s="76">
        <f t="shared" si="81"/>
        <v>29724.312383999997</v>
      </c>
      <c r="AM45" s="77">
        <f t="shared" si="82"/>
        <v>0</v>
      </c>
      <c r="AN45" s="76">
        <f t="shared" si="83"/>
        <v>26751.8811456</v>
      </c>
      <c r="AO45" s="72">
        <f t="shared" si="84"/>
        <v>227494.66168611718</v>
      </c>
      <c r="AP45" s="74">
        <f t="shared" si="85"/>
        <v>284368.3271076465</v>
      </c>
      <c r="AQ45" s="74">
        <f t="shared" ref="AQ45:AQ50" si="103">(AO45+AP45)*$AQ$6</f>
        <v>0</v>
      </c>
      <c r="AR45" s="74">
        <f t="shared" si="86"/>
        <v>18535.982061411214</v>
      </c>
      <c r="AS45" s="72">
        <f t="shared" si="87"/>
        <v>746970.96027536364</v>
      </c>
      <c r="AT45" s="72">
        <f t="shared" si="88"/>
        <v>27049.895427461586</v>
      </c>
      <c r="AU45" s="78">
        <f t="shared" ref="AU45:AU50" si="104">AT45/10.764</f>
        <v>2512.9966023282782</v>
      </c>
      <c r="AV45" s="79">
        <f t="shared" si="89"/>
        <v>5.386484457508374E-2</v>
      </c>
      <c r="AW45" s="80">
        <f t="shared" si="90"/>
        <v>755.89160321422526</v>
      </c>
      <c r="AX45" s="81">
        <f t="shared" si="91"/>
        <v>1797.475991872356</v>
      </c>
      <c r="AY45" s="82"/>
      <c r="AZ45" s="83">
        <f t="shared" ref="AZ45:AZ50" si="105">AU45-(AW45+AX45)</f>
        <v>-40.370992758303146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4 FRENCH WINDOWS</v>
      </c>
      <c r="D46" s="131" t="str">
        <f>Pricing!B42</f>
        <v>W17</v>
      </c>
      <c r="E46" s="132" t="str">
        <f>Pricing!N42</f>
        <v>24MM</v>
      </c>
      <c r="F46" s="68">
        <f>Pricing!G42</f>
        <v>5131</v>
      </c>
      <c r="G46" s="68">
        <f>Pricing!H42</f>
        <v>1676</v>
      </c>
      <c r="H46" s="100">
        <f t="shared" si="0"/>
        <v>8.5995559999999998</v>
      </c>
      <c r="I46" s="70">
        <f>Pricing!I42</f>
        <v>1</v>
      </c>
      <c r="J46" s="69">
        <f t="shared" si="30"/>
        <v>8.5995559999999998</v>
      </c>
      <c r="K46" s="71">
        <f t="shared" si="31"/>
        <v>92.565620783999989</v>
      </c>
      <c r="L46" s="69"/>
      <c r="M46" s="72"/>
      <c r="N46" s="72"/>
      <c r="O46" s="72">
        <f t="shared" si="79"/>
        <v>0</v>
      </c>
      <c r="P46" s="73">
        <f>Pricing!M42</f>
        <v>100236.61</v>
      </c>
      <c r="Q46" s="74">
        <f t="shared" si="92"/>
        <v>10023.661</v>
      </c>
      <c r="R46" s="74">
        <f t="shared" si="93"/>
        <v>12128.62981</v>
      </c>
      <c r="S46" s="74">
        <f t="shared" si="94"/>
        <v>611.94450405000009</v>
      </c>
      <c r="T46" s="74">
        <f t="shared" si="95"/>
        <v>1230.0084531405</v>
      </c>
      <c r="U46" s="72">
        <f t="shared" si="96"/>
        <v>124230.85376719051</v>
      </c>
      <c r="V46" s="74">
        <f t="shared" si="97"/>
        <v>1863.4628065078575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24121.754580000001</v>
      </c>
      <c r="AE46" s="76">
        <f t="shared" si="43"/>
        <v>1115.9016393442623</v>
      </c>
      <c r="AF46" s="346">
        <f t="shared" si="44"/>
        <v>490.10399999999998</v>
      </c>
      <c r="AG46" s="347"/>
      <c r="AH46" s="76">
        <f t="shared" si="45"/>
        <v>40.841999999999999</v>
      </c>
      <c r="AI46" s="76">
        <f t="shared" si="15"/>
        <v>136.14000000000001</v>
      </c>
      <c r="AJ46" s="76">
        <f>J46*Pricing!Q42</f>
        <v>0</v>
      </c>
      <c r="AK46" s="76">
        <f>J46*Pricing!R42</f>
        <v>64795.934548799989</v>
      </c>
      <c r="AL46" s="76">
        <f t="shared" si="81"/>
        <v>9256.5620783999984</v>
      </c>
      <c r="AM46" s="77">
        <f t="shared" si="82"/>
        <v>0</v>
      </c>
      <c r="AN46" s="76">
        <f t="shared" si="83"/>
        <v>8330.90587056</v>
      </c>
      <c r="AO46" s="72">
        <f t="shared" si="84"/>
        <v>127877.3042130426</v>
      </c>
      <c r="AP46" s="74">
        <f t="shared" si="85"/>
        <v>159846.63026630325</v>
      </c>
      <c r="AQ46" s="74">
        <f t="shared" si="103"/>
        <v>0</v>
      </c>
      <c r="AR46" s="74">
        <f t="shared" si="86"/>
        <v>33457.998817537307</v>
      </c>
      <c r="AS46" s="72">
        <f t="shared" si="87"/>
        <v>394229.09155710583</v>
      </c>
      <c r="AT46" s="72">
        <f t="shared" si="88"/>
        <v>45842.958817537306</v>
      </c>
      <c r="AU46" s="78">
        <f t="shared" si="104"/>
        <v>4258.9147916701331</v>
      </c>
      <c r="AV46" s="79">
        <f t="shared" si="89"/>
        <v>1.677425775948372E-2</v>
      </c>
      <c r="AW46" s="80">
        <f t="shared" si="90"/>
        <v>1362.2154262643246</v>
      </c>
      <c r="AX46" s="81">
        <f t="shared" si="91"/>
        <v>2896.6993654058083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2 FRENCH WINDOWS WITH CENTER FIXED</v>
      </c>
      <c r="D47" s="131" t="str">
        <f>Pricing!B43</f>
        <v>W18</v>
      </c>
      <c r="E47" s="132" t="str">
        <f>Pricing!N43</f>
        <v>24MM</v>
      </c>
      <c r="F47" s="68">
        <f>Pricing!G43</f>
        <v>4648</v>
      </c>
      <c r="G47" s="68">
        <f>Pricing!H43</f>
        <v>1676</v>
      </c>
      <c r="H47" s="100">
        <f t="shared" si="0"/>
        <v>7.7900479999999996</v>
      </c>
      <c r="I47" s="70">
        <f>Pricing!I43</f>
        <v>1</v>
      </c>
      <c r="J47" s="69">
        <f t="shared" si="30"/>
        <v>7.7900479999999996</v>
      </c>
      <c r="K47" s="71">
        <f t="shared" si="31"/>
        <v>83.852076671999995</v>
      </c>
      <c r="L47" s="69"/>
      <c r="M47" s="72"/>
      <c r="N47" s="72"/>
      <c r="O47" s="72">
        <f t="shared" si="79"/>
        <v>0</v>
      </c>
      <c r="P47" s="73">
        <f>Pricing!M43</f>
        <v>56122.939999999995</v>
      </c>
      <c r="Q47" s="74">
        <f t="shared" si="92"/>
        <v>5612.2939999999999</v>
      </c>
      <c r="R47" s="74">
        <f t="shared" si="93"/>
        <v>6790.8757399999995</v>
      </c>
      <c r="S47" s="74">
        <f t="shared" si="94"/>
        <v>342.63054870000002</v>
      </c>
      <c r="T47" s="74">
        <f t="shared" si="95"/>
        <v>688.68740288700008</v>
      </c>
      <c r="U47" s="72">
        <f t="shared" si="96"/>
        <v>69557.427691587</v>
      </c>
      <c r="V47" s="74">
        <f t="shared" si="97"/>
        <v>1043.3614153738049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21851.084639999997</v>
      </c>
      <c r="AE47" s="76">
        <f t="shared" si="43"/>
        <v>1036.7213114754099</v>
      </c>
      <c r="AF47" s="346">
        <f t="shared" si="44"/>
        <v>455.32799999999997</v>
      </c>
      <c r="AG47" s="347"/>
      <c r="AH47" s="76">
        <f t="shared" si="45"/>
        <v>37.944000000000003</v>
      </c>
      <c r="AI47" s="76">
        <f t="shared" si="15"/>
        <v>126.47999999999999</v>
      </c>
      <c r="AJ47" s="76">
        <f>J47*Pricing!Q43</f>
        <v>0</v>
      </c>
      <c r="AK47" s="76">
        <f>J47*Pricing!R43</f>
        <v>67081.661337599988</v>
      </c>
      <c r="AL47" s="76">
        <f t="shared" si="81"/>
        <v>8385.2076671999985</v>
      </c>
      <c r="AM47" s="77">
        <f t="shared" si="82"/>
        <v>0</v>
      </c>
      <c r="AN47" s="76">
        <f t="shared" si="83"/>
        <v>7546.6869004799992</v>
      </c>
      <c r="AO47" s="72">
        <f t="shared" si="84"/>
        <v>72257.262418436207</v>
      </c>
      <c r="AP47" s="74">
        <f t="shared" si="85"/>
        <v>90321.578023045266</v>
      </c>
      <c r="AQ47" s="74">
        <f t="shared" si="103"/>
        <v>0</v>
      </c>
      <c r="AR47" s="74">
        <f t="shared" si="86"/>
        <v>20870.069149956646</v>
      </c>
      <c r="AS47" s="72">
        <f t="shared" si="87"/>
        <v>267443.48098676145</v>
      </c>
      <c r="AT47" s="72">
        <f t="shared" si="88"/>
        <v>34331.429149956646</v>
      </c>
      <c r="AU47" s="78">
        <f t="shared" si="104"/>
        <v>3189.4675910401938</v>
      </c>
      <c r="AV47" s="79">
        <f t="shared" si="89"/>
        <v>1.5195234859887026E-2</v>
      </c>
      <c r="AW47" s="80">
        <f t="shared" si="90"/>
        <v>841.9682840190876</v>
      </c>
      <c r="AX47" s="81">
        <f t="shared" si="91"/>
        <v>2347.4993070211058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 t="str">
        <f>Pricing!D44</f>
        <v>FIXED GLASS 4 NO'S</v>
      </c>
      <c r="D48" s="131" t="str">
        <f>Pricing!B44</f>
        <v>W19</v>
      </c>
      <c r="E48" s="132" t="str">
        <f>Pricing!N44</f>
        <v>24MM</v>
      </c>
      <c r="F48" s="68">
        <f>Pricing!G44</f>
        <v>4197</v>
      </c>
      <c r="G48" s="68">
        <f>Pricing!H44</f>
        <v>1397</v>
      </c>
      <c r="H48" s="100">
        <f t="shared" si="0"/>
        <v>5.8632090000000003</v>
      </c>
      <c r="I48" s="70">
        <f>Pricing!I44</f>
        <v>1</v>
      </c>
      <c r="J48" s="69">
        <f t="shared" si="30"/>
        <v>5.8632090000000003</v>
      </c>
      <c r="K48" s="71">
        <f t="shared" si="31"/>
        <v>63.111581676</v>
      </c>
      <c r="L48" s="69"/>
      <c r="M48" s="72"/>
      <c r="N48" s="72"/>
      <c r="O48" s="72">
        <f t="shared" si="79"/>
        <v>0</v>
      </c>
      <c r="P48" s="73">
        <f>Pricing!M44</f>
        <v>16769.32</v>
      </c>
      <c r="Q48" s="74">
        <f t="shared" si="92"/>
        <v>1676.932</v>
      </c>
      <c r="R48" s="74">
        <f t="shared" si="93"/>
        <v>2029.08772</v>
      </c>
      <c r="S48" s="74">
        <f t="shared" si="94"/>
        <v>102.3766986</v>
      </c>
      <c r="T48" s="74">
        <f t="shared" si="95"/>
        <v>205.77716418600002</v>
      </c>
      <c r="U48" s="72">
        <f t="shared" si="96"/>
        <v>20783.493582786003</v>
      </c>
      <c r="V48" s="74">
        <f t="shared" si="97"/>
        <v>311.75240374179003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16446.301245000002</v>
      </c>
      <c r="AE48" s="76">
        <f t="shared" si="43"/>
        <v>917.04918032786884</v>
      </c>
      <c r="AF48" s="346">
        <f t="shared" si="44"/>
        <v>402.76800000000009</v>
      </c>
      <c r="AG48" s="347"/>
      <c r="AH48" s="76">
        <f t="shared" si="45"/>
        <v>33.564</v>
      </c>
      <c r="AI48" s="76">
        <f t="shared" si="15"/>
        <v>111.88000000000001</v>
      </c>
      <c r="AJ48" s="76">
        <f>J48*Pricing!Q44</f>
        <v>0</v>
      </c>
      <c r="AK48" s="76">
        <f>J48*Pricing!R44</f>
        <v>0</v>
      </c>
      <c r="AL48" s="76">
        <f t="shared" si="81"/>
        <v>6311.1581675999996</v>
      </c>
      <c r="AM48" s="77">
        <f t="shared" si="82"/>
        <v>0</v>
      </c>
      <c r="AN48" s="76">
        <f t="shared" si="83"/>
        <v>5680.0423508399999</v>
      </c>
      <c r="AO48" s="72">
        <f t="shared" si="84"/>
        <v>22560.507166855656</v>
      </c>
      <c r="AP48" s="74">
        <f t="shared" si="85"/>
        <v>28200.633958569568</v>
      </c>
      <c r="AQ48" s="74">
        <f t="shared" si="103"/>
        <v>0</v>
      </c>
      <c r="AR48" s="74">
        <f t="shared" si="86"/>
        <v>8657.5697924848355</v>
      </c>
      <c r="AS48" s="72">
        <f t="shared" si="87"/>
        <v>79198.64288886523</v>
      </c>
      <c r="AT48" s="72">
        <f t="shared" si="88"/>
        <v>13507.729792484837</v>
      </c>
      <c r="AU48" s="78">
        <f t="shared" si="104"/>
        <v>1254.8987172505424</v>
      </c>
      <c r="AV48" s="79">
        <f t="shared" si="89"/>
        <v>1.1436750811754093E-2</v>
      </c>
      <c r="AW48" s="80">
        <f t="shared" si="90"/>
        <v>334.25316600090645</v>
      </c>
      <c r="AX48" s="81">
        <f t="shared" si="91"/>
        <v>920.6455512496359</v>
      </c>
      <c r="AY48" s="82"/>
      <c r="AZ48" s="83">
        <f t="shared" si="105"/>
        <v>0</v>
      </c>
      <c r="BB48" s="84"/>
    </row>
    <row r="49" spans="2:54" ht="34.5" customHeight="1" thickTop="1" thickBot="1">
      <c r="B49" s="129">
        <f>Pricing!A45</f>
        <v>42</v>
      </c>
      <c r="C49" s="130" t="str">
        <f>Pricing!D45</f>
        <v>SIDE HUNG WINDOW WITH 2 FIXED</v>
      </c>
      <c r="D49" s="131" t="str">
        <f>Pricing!B45</f>
        <v>W20</v>
      </c>
      <c r="E49" s="132" t="str">
        <f>Pricing!N45</f>
        <v>24MM</v>
      </c>
      <c r="F49" s="68">
        <f>Pricing!G45</f>
        <v>2946</v>
      </c>
      <c r="G49" s="68">
        <f>Pricing!H45</f>
        <v>1524</v>
      </c>
      <c r="H49" s="100">
        <f t="shared" si="0"/>
        <v>4.4897039999999997</v>
      </c>
      <c r="I49" s="70">
        <f>Pricing!I45</f>
        <v>1</v>
      </c>
      <c r="J49" s="69">
        <f t="shared" si="30"/>
        <v>4.4897039999999997</v>
      </c>
      <c r="K49" s="71">
        <f t="shared" si="31"/>
        <v>48.327173855999995</v>
      </c>
      <c r="L49" s="69"/>
      <c r="M49" s="72"/>
      <c r="N49" s="72"/>
      <c r="O49" s="72">
        <f t="shared" si="79"/>
        <v>0</v>
      </c>
      <c r="P49" s="73">
        <f>Pricing!M45</f>
        <v>25124.929999999997</v>
      </c>
      <c r="Q49" s="74">
        <f t="shared" si="92"/>
        <v>2512.4929999999999</v>
      </c>
      <c r="R49" s="74">
        <f t="shared" si="93"/>
        <v>3040.1165299999993</v>
      </c>
      <c r="S49" s="74">
        <f t="shared" si="94"/>
        <v>153.38769764999998</v>
      </c>
      <c r="T49" s="74">
        <f t="shared" si="95"/>
        <v>308.30927227649994</v>
      </c>
      <c r="U49" s="72">
        <f t="shared" si="96"/>
        <v>31139.236499926494</v>
      </c>
      <c r="V49" s="74">
        <f t="shared" si="97"/>
        <v>467.08854749889741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12593.619719999999</v>
      </c>
      <c r="AE49" s="76">
        <f t="shared" si="43"/>
        <v>732.78688524590166</v>
      </c>
      <c r="AF49" s="346">
        <f t="shared" si="44"/>
        <v>321.84000000000003</v>
      </c>
      <c r="AG49" s="347"/>
      <c r="AH49" s="76">
        <f t="shared" si="45"/>
        <v>26.82</v>
      </c>
      <c r="AI49" s="76">
        <f t="shared" si="15"/>
        <v>89.399999999999991</v>
      </c>
      <c r="AJ49" s="76">
        <f>J49*Pricing!Q45</f>
        <v>0</v>
      </c>
      <c r="AK49" s="76">
        <f>J49*Pricing!R45</f>
        <v>48327.173855999994</v>
      </c>
      <c r="AL49" s="76">
        <f t="shared" si="81"/>
        <v>4832.717385599999</v>
      </c>
      <c r="AM49" s="77">
        <f t="shared" si="82"/>
        <v>0</v>
      </c>
      <c r="AN49" s="76">
        <f t="shared" si="83"/>
        <v>4349.44564704</v>
      </c>
      <c r="AO49" s="72">
        <f t="shared" si="84"/>
        <v>32777.171932671292</v>
      </c>
      <c r="AP49" s="74">
        <f t="shared" si="85"/>
        <v>40971.464915839111</v>
      </c>
      <c r="AQ49" s="74">
        <f t="shared" si="103"/>
        <v>0</v>
      </c>
      <c r="AR49" s="74">
        <f t="shared" si="86"/>
        <v>16426.169041101686</v>
      </c>
      <c r="AS49" s="72">
        <f t="shared" si="87"/>
        <v>143851.59345715039</v>
      </c>
      <c r="AT49" s="72">
        <f t="shared" si="88"/>
        <v>32040.329041101686</v>
      </c>
      <c r="AU49" s="78">
        <f t="shared" si="104"/>
        <v>2976.619197426764</v>
      </c>
      <c r="AV49" s="79">
        <f t="shared" si="89"/>
        <v>8.7575977364162862E-3</v>
      </c>
      <c r="AW49" s="80">
        <f t="shared" si="90"/>
        <v>654.00731153041238</v>
      </c>
      <c r="AX49" s="81">
        <f t="shared" si="91"/>
        <v>2322.6118858963514</v>
      </c>
      <c r="AY49" s="82"/>
      <c r="AZ49" s="83">
        <f t="shared" si="105"/>
        <v>0</v>
      </c>
      <c r="BB49" s="84"/>
    </row>
    <row r="50" spans="2:54" ht="34.5" customHeight="1" thickTop="1" thickBot="1">
      <c r="B50" s="129">
        <f>Pricing!A46</f>
        <v>43</v>
      </c>
      <c r="C50" s="130" t="str">
        <f>Pricing!D46</f>
        <v>FIXED GLASS 3 NO'S</v>
      </c>
      <c r="D50" s="131" t="str">
        <f>Pricing!B46</f>
        <v>W9</v>
      </c>
      <c r="E50" s="132" t="str">
        <f>Pricing!N46</f>
        <v>24MM</v>
      </c>
      <c r="F50" s="68">
        <f>Pricing!G46</f>
        <v>1778</v>
      </c>
      <c r="G50" s="68">
        <f>Pricing!H46</f>
        <v>2438</v>
      </c>
      <c r="H50" s="100">
        <f t="shared" si="0"/>
        <v>4.3347639999999998</v>
      </c>
      <c r="I50" s="70">
        <f>Pricing!I46</f>
        <v>1</v>
      </c>
      <c r="J50" s="69">
        <f t="shared" si="30"/>
        <v>4.3347639999999998</v>
      </c>
      <c r="K50" s="71">
        <f t="shared" si="31"/>
        <v>46.659399695999994</v>
      </c>
      <c r="L50" s="69"/>
      <c r="M50" s="72"/>
      <c r="N50" s="72"/>
      <c r="O50" s="72">
        <f t="shared" si="79"/>
        <v>0</v>
      </c>
      <c r="P50" s="73">
        <f>Pricing!M46</f>
        <v>15259.55</v>
      </c>
      <c r="Q50" s="74">
        <f t="shared" si="92"/>
        <v>1525.9549999999999</v>
      </c>
      <c r="R50" s="74">
        <f t="shared" si="93"/>
        <v>1846.4055499999997</v>
      </c>
      <c r="S50" s="74">
        <f t="shared" si="94"/>
        <v>93.159552749999989</v>
      </c>
      <c r="T50" s="74">
        <f t="shared" si="95"/>
        <v>187.25070102749996</v>
      </c>
      <c r="U50" s="72">
        <f t="shared" si="96"/>
        <v>18912.320803777497</v>
      </c>
      <c r="V50" s="74">
        <f t="shared" si="97"/>
        <v>283.68481205666245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12159.01302</v>
      </c>
      <c r="AE50" s="76">
        <f t="shared" si="43"/>
        <v>691.14754098360663</v>
      </c>
      <c r="AF50" s="346">
        <f t="shared" si="44"/>
        <v>303.55200000000002</v>
      </c>
      <c r="AG50" s="347"/>
      <c r="AH50" s="76">
        <f t="shared" si="45"/>
        <v>25.295999999999999</v>
      </c>
      <c r="AI50" s="76">
        <f t="shared" si="15"/>
        <v>84.320000000000007</v>
      </c>
      <c r="AJ50" s="76">
        <f>J50*Pricing!Q46</f>
        <v>0</v>
      </c>
      <c r="AK50" s="76">
        <f>J50*Pricing!R46</f>
        <v>0</v>
      </c>
      <c r="AL50" s="76">
        <f t="shared" si="81"/>
        <v>4665.9399695999991</v>
      </c>
      <c r="AM50" s="77">
        <f t="shared" si="82"/>
        <v>0</v>
      </c>
      <c r="AN50" s="76">
        <f t="shared" si="83"/>
        <v>4199.3459726399997</v>
      </c>
      <c r="AO50" s="72">
        <f t="shared" si="84"/>
        <v>20300.321156817765</v>
      </c>
      <c r="AP50" s="74">
        <f t="shared" si="85"/>
        <v>25375.401446022206</v>
      </c>
      <c r="AQ50" s="74">
        <f t="shared" si="103"/>
        <v>0</v>
      </c>
      <c r="AR50" s="74">
        <f t="shared" si="86"/>
        <v>10537.072514868163</v>
      </c>
      <c r="AS50" s="72">
        <f t="shared" si="87"/>
        <v>66700.021565079966</v>
      </c>
      <c r="AT50" s="72">
        <f t="shared" si="88"/>
        <v>15387.232514868161</v>
      </c>
      <c r="AU50" s="78">
        <f t="shared" si="104"/>
        <v>1429.5087806455001</v>
      </c>
      <c r="AV50" s="79">
        <f t="shared" si="89"/>
        <v>8.4553724241729095E-3</v>
      </c>
      <c r="AW50" s="80">
        <f t="shared" si="90"/>
        <v>411.40704211588451</v>
      </c>
      <c r="AX50" s="81">
        <f t="shared" si="91"/>
        <v>1018.1017385296155</v>
      </c>
      <c r="AY50" s="82"/>
      <c r="AZ50" s="83">
        <f t="shared" si="105"/>
        <v>0</v>
      </c>
      <c r="BB50" s="84"/>
    </row>
    <row r="51" spans="2:54" ht="34.5" customHeight="1" thickTop="1" thickBot="1">
      <c r="B51" s="129">
        <f>Pricing!A47</f>
        <v>44</v>
      </c>
      <c r="C51" s="130" t="str">
        <f>Pricing!D47</f>
        <v>SLIDE &amp; FOLD WITH 3 LEAFS</v>
      </c>
      <c r="D51" s="131" t="str">
        <f>Pricing!B47</f>
        <v>SFD1</v>
      </c>
      <c r="E51" s="132" t="str">
        <f>Pricing!N47</f>
        <v>24MM</v>
      </c>
      <c r="F51" s="68">
        <f>Pricing!G47</f>
        <v>2997</v>
      </c>
      <c r="G51" s="68">
        <f>Pricing!H47</f>
        <v>2438</v>
      </c>
      <c r="H51" s="100">
        <f t="shared" si="0"/>
        <v>7.306686</v>
      </c>
      <c r="I51" s="70">
        <f>Pricing!I47</f>
        <v>1</v>
      </c>
      <c r="J51" s="69">
        <f t="shared" si="30"/>
        <v>7.306686</v>
      </c>
      <c r="K51" s="71">
        <f t="shared" si="31"/>
        <v>78.649168103999997</v>
      </c>
      <c r="L51" s="69"/>
      <c r="M51" s="72"/>
      <c r="N51" s="72"/>
      <c r="O51" s="72">
        <f t="shared" si="79"/>
        <v>0</v>
      </c>
      <c r="P51" s="73">
        <f>Pricing!M47</f>
        <v>53699.340000000004</v>
      </c>
      <c r="Q51" s="74">
        <f t="shared" si="4"/>
        <v>5369.9340000000011</v>
      </c>
      <c r="R51" s="74">
        <f t="shared" si="5"/>
        <v>6497.6201400000009</v>
      </c>
      <c r="S51" s="74">
        <f t="shared" si="6"/>
        <v>327.83447070000005</v>
      </c>
      <c r="T51" s="74">
        <f t="shared" si="7"/>
        <v>658.94728610700008</v>
      </c>
      <c r="U51" s="72">
        <f t="shared" si="8"/>
        <v>66553.675896807006</v>
      </c>
      <c r="V51" s="74">
        <f t="shared" si="9"/>
        <v>998.3051384521051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20495.254229999999</v>
      </c>
      <c r="AE51" s="76">
        <f t="shared" si="43"/>
        <v>890.98360655737702</v>
      </c>
      <c r="AF51" s="346">
        <f t="shared" si="44"/>
        <v>391.32</v>
      </c>
      <c r="AG51" s="347"/>
      <c r="AH51" s="76">
        <f t="shared" si="45"/>
        <v>32.61</v>
      </c>
      <c r="AI51" s="76">
        <f t="shared" ref="AI51:AI56" si="106">(((F51+G51)*2*I51)/1000)*2*$AI$7</f>
        <v>108.69999999999999</v>
      </c>
      <c r="AJ51" s="76">
        <f>J51*Pricing!Q47</f>
        <v>0</v>
      </c>
      <c r="AK51" s="76">
        <f>J51*Pricing!R47</f>
        <v>70784.251293599984</v>
      </c>
      <c r="AL51" s="76">
        <f t="shared" si="81"/>
        <v>7864.9168103999991</v>
      </c>
      <c r="AM51" s="77">
        <f t="shared" si="82"/>
        <v>0</v>
      </c>
      <c r="AN51" s="76">
        <f t="shared" si="83"/>
        <v>7078.42512936</v>
      </c>
      <c r="AO51" s="72">
        <f t="shared" si="84"/>
        <v>68975.594641816482</v>
      </c>
      <c r="AP51" s="74">
        <f t="shared" si="85"/>
        <v>86219.493302270595</v>
      </c>
      <c r="AQ51" s="74">
        <f t="shared" si="21"/>
        <v>0</v>
      </c>
      <c r="AR51" s="74">
        <f t="shared" si="86"/>
        <v>21240.147440862667</v>
      </c>
      <c r="AS51" s="72">
        <f t="shared" si="87"/>
        <v>261417.93540744705</v>
      </c>
      <c r="AT51" s="72">
        <f t="shared" si="88"/>
        <v>35777.907440862662</v>
      </c>
      <c r="AU51" s="78">
        <f t="shared" si="25"/>
        <v>3323.8487031644986</v>
      </c>
      <c r="AV51" s="79">
        <f t="shared" si="89"/>
        <v>1.4252390975954E-2</v>
      </c>
      <c r="AW51" s="80">
        <f t="shared" si="90"/>
        <v>858.90267708786496</v>
      </c>
      <c r="AX51" s="81">
        <f t="shared" si="91"/>
        <v>2464.9460260766341</v>
      </c>
      <c r="AY51" s="82"/>
      <c r="AZ51" s="83">
        <f t="shared" si="29"/>
        <v>0</v>
      </c>
      <c r="BB51" s="84"/>
    </row>
    <row r="52" spans="2:54" ht="34.5" customHeight="1" thickTop="1" thickBot="1">
      <c r="B52" s="129">
        <f>Pricing!A48</f>
        <v>45</v>
      </c>
      <c r="C52" s="130" t="str">
        <f>Pricing!D48</f>
        <v>SLIDE &amp; FOLD WITH 5 LEAFS</v>
      </c>
      <c r="D52" s="131" t="str">
        <f>Pricing!B48</f>
        <v>SFD2</v>
      </c>
      <c r="E52" s="132" t="str">
        <f>Pricing!N48</f>
        <v>24MM</v>
      </c>
      <c r="F52" s="68">
        <f>Pricing!G48</f>
        <v>4648</v>
      </c>
      <c r="G52" s="68">
        <f>Pricing!H48</f>
        <v>2438</v>
      </c>
      <c r="H52" s="100">
        <f t="shared" si="0"/>
        <v>11.331823999999999</v>
      </c>
      <c r="I52" s="70">
        <f>Pricing!I48</f>
        <v>1</v>
      </c>
      <c r="J52" s="69">
        <f t="shared" si="30"/>
        <v>11.331823999999999</v>
      </c>
      <c r="K52" s="71">
        <f t="shared" si="31"/>
        <v>121.97575353599998</v>
      </c>
      <c r="L52" s="69"/>
      <c r="M52" s="72"/>
      <c r="N52" s="72"/>
      <c r="O52" s="72">
        <f t="shared" si="79"/>
        <v>0</v>
      </c>
      <c r="P52" s="73">
        <f>Pricing!M48</f>
        <v>83732.06</v>
      </c>
      <c r="Q52" s="74">
        <f t="shared" si="4"/>
        <v>8373.2060000000001</v>
      </c>
      <c r="R52" s="74">
        <f t="shared" si="5"/>
        <v>10131.57926</v>
      </c>
      <c r="S52" s="74">
        <f t="shared" si="6"/>
        <v>511.18422630000003</v>
      </c>
      <c r="T52" s="74">
        <f t="shared" si="7"/>
        <v>1027.4802948629999</v>
      </c>
      <c r="U52" s="72">
        <f t="shared" si="8"/>
        <v>103775.509781163</v>
      </c>
      <c r="V52" s="74">
        <f t="shared" si="9"/>
        <v>1556.6326467174449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31785.766319999999</v>
      </c>
      <c r="AE52" s="76">
        <f t="shared" si="43"/>
        <v>1161.639344262295</v>
      </c>
      <c r="AF52" s="346">
        <f t="shared" si="44"/>
        <v>510.19200000000006</v>
      </c>
      <c r="AG52" s="347"/>
      <c r="AH52" s="76">
        <f t="shared" si="45"/>
        <v>42.516000000000005</v>
      </c>
      <c r="AI52" s="76">
        <f t="shared" si="106"/>
        <v>141.72</v>
      </c>
      <c r="AJ52" s="76">
        <f>J52*Pricing!Q48</f>
        <v>0</v>
      </c>
      <c r="AK52" s="76">
        <f>J52*Pricing!R48</f>
        <v>109778.17818239998</v>
      </c>
      <c r="AL52" s="76">
        <f t="shared" si="81"/>
        <v>12197.575353599997</v>
      </c>
      <c r="AM52" s="77">
        <f t="shared" si="82"/>
        <v>0</v>
      </c>
      <c r="AN52" s="76">
        <f t="shared" si="83"/>
        <v>10977.817818239999</v>
      </c>
      <c r="AO52" s="72">
        <f t="shared" si="84"/>
        <v>107188.20977214276</v>
      </c>
      <c r="AP52" s="74">
        <f t="shared" si="85"/>
        <v>133985.26221517846</v>
      </c>
      <c r="AQ52" s="74">
        <f t="shared" si="21"/>
        <v>0</v>
      </c>
      <c r="AR52" s="74">
        <f t="shared" si="86"/>
        <v>21282.846608570802</v>
      </c>
      <c r="AS52" s="72">
        <f t="shared" si="87"/>
        <v>405912.80966156122</v>
      </c>
      <c r="AT52" s="72">
        <f t="shared" si="88"/>
        <v>35820.606608570801</v>
      </c>
      <c r="AU52" s="78">
        <f t="shared" si="25"/>
        <v>3327.8155526357118</v>
      </c>
      <c r="AV52" s="79">
        <f t="shared" si="89"/>
        <v>2.2103808226971701E-2</v>
      </c>
      <c r="AW52" s="80">
        <f t="shared" si="90"/>
        <v>863.54983981953978</v>
      </c>
      <c r="AX52" s="81">
        <f t="shared" si="91"/>
        <v>2464.2657128161723</v>
      </c>
      <c r="AY52" s="82"/>
      <c r="AZ52" s="83">
        <f t="shared" si="29"/>
        <v>0</v>
      </c>
      <c r="BB52" s="84"/>
    </row>
    <row r="53" spans="2:54" ht="34.5" customHeight="1" thickTop="1" thickBot="1">
      <c r="B53" s="129">
        <f>Pricing!A49</f>
        <v>46</v>
      </c>
      <c r="C53" s="130" t="str">
        <f>Pricing!D49</f>
        <v>SLIDE &amp; FOLD WITH 5 LEAFS</v>
      </c>
      <c r="D53" s="131" t="str">
        <f>Pricing!B49</f>
        <v>SFD3</v>
      </c>
      <c r="E53" s="132" t="str">
        <f>Pricing!N49</f>
        <v>24MM</v>
      </c>
      <c r="F53" s="68">
        <f>Pricing!G49</f>
        <v>3340</v>
      </c>
      <c r="G53" s="68">
        <f>Pricing!H49</f>
        <v>2438</v>
      </c>
      <c r="H53" s="100">
        <f t="shared" si="0"/>
        <v>8.1429200000000002</v>
      </c>
      <c r="I53" s="70">
        <f>Pricing!I49</f>
        <v>1</v>
      </c>
      <c r="J53" s="69">
        <f t="shared" si="30"/>
        <v>8.1429200000000002</v>
      </c>
      <c r="K53" s="71">
        <f t="shared" si="31"/>
        <v>87.650390880000003</v>
      </c>
      <c r="L53" s="69"/>
      <c r="M53" s="72"/>
      <c r="N53" s="72"/>
      <c r="O53" s="72">
        <f t="shared" si="79"/>
        <v>0</v>
      </c>
      <c r="P53" s="73">
        <f>Pricing!M49</f>
        <v>76709.430000000008</v>
      </c>
      <c r="Q53" s="74">
        <f t="shared" si="4"/>
        <v>7670.9430000000011</v>
      </c>
      <c r="R53" s="74">
        <f t="shared" si="5"/>
        <v>9281.8410300000014</v>
      </c>
      <c r="S53" s="74">
        <f t="shared" si="6"/>
        <v>468.31107015000003</v>
      </c>
      <c r="T53" s="74">
        <f t="shared" si="7"/>
        <v>941.30525100149998</v>
      </c>
      <c r="U53" s="72">
        <f t="shared" si="8"/>
        <v>95071.830351151497</v>
      </c>
      <c r="V53" s="74">
        <f t="shared" si="9"/>
        <v>1426.0774552672724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22840.890599999999</v>
      </c>
      <c r="AE53" s="76">
        <f t="shared" si="43"/>
        <v>947.21311475409834</v>
      </c>
      <c r="AF53" s="346">
        <f t="shared" si="44"/>
        <v>416.01599999999996</v>
      </c>
      <c r="AG53" s="347"/>
      <c r="AH53" s="76">
        <f t="shared" si="45"/>
        <v>34.667999999999999</v>
      </c>
      <c r="AI53" s="76">
        <f t="shared" si="106"/>
        <v>115.55999999999999</v>
      </c>
      <c r="AJ53" s="76">
        <f>J53*Pricing!Q49</f>
        <v>0</v>
      </c>
      <c r="AK53" s="76">
        <f>J53*Pricing!R49</f>
        <v>78885.351791999987</v>
      </c>
      <c r="AL53" s="76">
        <f t="shared" si="81"/>
        <v>8765.0390879999995</v>
      </c>
      <c r="AM53" s="77">
        <f t="shared" si="82"/>
        <v>0</v>
      </c>
      <c r="AN53" s="76">
        <f t="shared" si="83"/>
        <v>7888.5351792000001</v>
      </c>
      <c r="AO53" s="72">
        <f t="shared" si="84"/>
        <v>98011.364921172863</v>
      </c>
      <c r="AP53" s="74">
        <f t="shared" si="85"/>
        <v>122514.20615146607</v>
      </c>
      <c r="AQ53" s="74">
        <f t="shared" si="21"/>
        <v>0</v>
      </c>
      <c r="AR53" s="74">
        <f t="shared" si="86"/>
        <v>27081.878622489097</v>
      </c>
      <c r="AS53" s="72">
        <f t="shared" si="87"/>
        <v>338905.38773183891</v>
      </c>
      <c r="AT53" s="72">
        <f t="shared" si="88"/>
        <v>41619.638622489096</v>
      </c>
      <c r="AU53" s="78">
        <f t="shared" si="25"/>
        <v>3866.5587720632757</v>
      </c>
      <c r="AV53" s="79">
        <f t="shared" si="89"/>
        <v>1.5883545498727513E-2</v>
      </c>
      <c r="AW53" s="80">
        <f t="shared" si="90"/>
        <v>1100.9409865442776</v>
      </c>
      <c r="AX53" s="81">
        <f t="shared" si="91"/>
        <v>2765.6177855189976</v>
      </c>
      <c r="AY53" s="82"/>
      <c r="AZ53" s="83">
        <f t="shared" si="29"/>
        <v>0</v>
      </c>
      <c r="BB53" s="84"/>
    </row>
    <row r="54" spans="2:54" ht="34.5" customHeight="1" thickTop="1" thickBot="1">
      <c r="B54" s="129">
        <f>Pricing!A50</f>
        <v>47</v>
      </c>
      <c r="C54" s="130" t="str">
        <f>Pricing!D50</f>
        <v>SIDE HUNG DOOR</v>
      </c>
      <c r="D54" s="131" t="str">
        <f>Pricing!B50</f>
        <v>D1</v>
      </c>
      <c r="E54" s="132" t="str">
        <f>Pricing!N50</f>
        <v>24MM</v>
      </c>
      <c r="F54" s="68">
        <f>Pricing!G50</f>
        <v>1067</v>
      </c>
      <c r="G54" s="68">
        <f>Pricing!H50</f>
        <v>2438</v>
      </c>
      <c r="H54" s="100">
        <f t="shared" si="0"/>
        <v>2.6013459999999999</v>
      </c>
      <c r="I54" s="70">
        <f>Pricing!I50</f>
        <v>2</v>
      </c>
      <c r="J54" s="69">
        <f t="shared" si="30"/>
        <v>5.2026919999999999</v>
      </c>
      <c r="K54" s="71">
        <f t="shared" si="31"/>
        <v>56.001776687999993</v>
      </c>
      <c r="L54" s="69"/>
      <c r="M54" s="72"/>
      <c r="N54" s="72"/>
      <c r="O54" s="72">
        <f t="shared" si="79"/>
        <v>0</v>
      </c>
      <c r="P54" s="73">
        <f>Pricing!M50</f>
        <v>38033.919999999998</v>
      </c>
      <c r="Q54" s="74">
        <f t="shared" si="4"/>
        <v>3803.3919999999998</v>
      </c>
      <c r="R54" s="74">
        <f t="shared" si="5"/>
        <v>4602.1043199999995</v>
      </c>
      <c r="S54" s="74">
        <f t="shared" si="6"/>
        <v>232.19708159999999</v>
      </c>
      <c r="T54" s="74">
        <f t="shared" si="7"/>
        <v>466.71613401600001</v>
      </c>
      <c r="U54" s="72">
        <f t="shared" si="8"/>
        <v>47138.329535616002</v>
      </c>
      <c r="V54" s="74">
        <f t="shared" si="9"/>
        <v>707.07494303424005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14593.55106</v>
      </c>
      <c r="AE54" s="76">
        <f t="shared" si="43"/>
        <v>1149.1803278688524</v>
      </c>
      <c r="AF54" s="346">
        <f t="shared" si="44"/>
        <v>504.72</v>
      </c>
      <c r="AG54" s="347"/>
      <c r="AH54" s="76">
        <f t="shared" si="45"/>
        <v>42.06</v>
      </c>
      <c r="AI54" s="76">
        <f t="shared" si="106"/>
        <v>140.19999999999999</v>
      </c>
      <c r="AJ54" s="76">
        <f>J54*Pricing!Q50</f>
        <v>0</v>
      </c>
      <c r="AK54" s="76">
        <f>J54*Pricing!R50</f>
        <v>0</v>
      </c>
      <c r="AL54" s="76">
        <f t="shared" si="81"/>
        <v>5600.1776687999991</v>
      </c>
      <c r="AM54" s="77">
        <f t="shared" si="82"/>
        <v>0</v>
      </c>
      <c r="AN54" s="76">
        <f t="shared" si="83"/>
        <v>5040.1599019200003</v>
      </c>
      <c r="AO54" s="72">
        <f t="shared" si="84"/>
        <v>49681.564806519091</v>
      </c>
      <c r="AP54" s="74">
        <f t="shared" si="85"/>
        <v>62101.95600814886</v>
      </c>
      <c r="AQ54" s="74">
        <f t="shared" si="21"/>
        <v>0</v>
      </c>
      <c r="AR54" s="74">
        <f t="shared" si="86"/>
        <v>21485.707940171735</v>
      </c>
      <c r="AS54" s="72">
        <f t="shared" si="87"/>
        <v>137017.40944538795</v>
      </c>
      <c r="AT54" s="72">
        <f t="shared" si="88"/>
        <v>26335.867940171735</v>
      </c>
      <c r="AU54" s="78">
        <f t="shared" si="25"/>
        <v>2446.661830190611</v>
      </c>
      <c r="AV54" s="79">
        <f t="shared" si="89"/>
        <v>1.0148349130025302E-2</v>
      </c>
      <c r="AW54" s="80">
        <f t="shared" si="90"/>
        <v>854.35511707439287</v>
      </c>
      <c r="AX54" s="81">
        <f t="shared" si="91"/>
        <v>1592.3067131162179</v>
      </c>
      <c r="AY54" s="82"/>
      <c r="AZ54" s="83">
        <f t="shared" si="29"/>
        <v>0</v>
      </c>
      <c r="BB54" s="84"/>
    </row>
    <row r="55" spans="2:54" ht="34.5" customHeight="1" thickTop="1" thickBot="1">
      <c r="B55" s="129">
        <f>Pricing!A51</f>
        <v>48</v>
      </c>
      <c r="C55" s="130" t="str">
        <f>Pricing!D51</f>
        <v>SIDE HUNG DOOR</v>
      </c>
      <c r="D55" s="131" t="str">
        <f>Pricing!B51</f>
        <v>D2</v>
      </c>
      <c r="E55" s="132" t="str">
        <f>Pricing!N51</f>
        <v>24MM</v>
      </c>
      <c r="F55" s="68">
        <f>Pricing!G51</f>
        <v>914</v>
      </c>
      <c r="G55" s="68">
        <f>Pricing!H51</f>
        <v>2438</v>
      </c>
      <c r="H55" s="100">
        <f t="shared" si="0"/>
        <v>2.228332</v>
      </c>
      <c r="I55" s="70">
        <f>Pricing!I51</f>
        <v>19</v>
      </c>
      <c r="J55" s="69">
        <f t="shared" si="30"/>
        <v>42.338307999999998</v>
      </c>
      <c r="K55" s="71">
        <f t="shared" si="31"/>
        <v>455.72954731199997</v>
      </c>
      <c r="L55" s="69"/>
      <c r="M55" s="72"/>
      <c r="N55" s="72"/>
      <c r="O55" s="72">
        <f t="shared" si="79"/>
        <v>0</v>
      </c>
      <c r="P55" s="73">
        <f>Pricing!M51</f>
        <v>349053.18</v>
      </c>
      <c r="Q55" s="74">
        <f t="shared" si="4"/>
        <v>34905.317999999999</v>
      </c>
      <c r="R55" s="74">
        <f t="shared" si="5"/>
        <v>42235.434780000003</v>
      </c>
      <c r="S55" s="74">
        <f t="shared" si="6"/>
        <v>2130.9696639000003</v>
      </c>
      <c r="T55" s="74">
        <f t="shared" si="7"/>
        <v>4283.2490244390001</v>
      </c>
      <c r="U55" s="72">
        <f t="shared" si="8"/>
        <v>432608.15146833903</v>
      </c>
      <c r="V55" s="74">
        <f t="shared" si="9"/>
        <v>6489.1222720250853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118758.95393999999</v>
      </c>
      <c r="AE55" s="76">
        <f t="shared" si="43"/>
        <v>10440.655737704918</v>
      </c>
      <c r="AF55" s="346">
        <f t="shared" si="44"/>
        <v>4585.5360000000001</v>
      </c>
      <c r="AG55" s="347"/>
      <c r="AH55" s="76">
        <f t="shared" si="45"/>
        <v>382.12800000000004</v>
      </c>
      <c r="AI55" s="76">
        <f t="shared" si="106"/>
        <v>1273.76</v>
      </c>
      <c r="AJ55" s="76">
        <f>J55*Pricing!Q51</f>
        <v>0</v>
      </c>
      <c r="AK55" s="76">
        <f>J55*Pricing!R51</f>
        <v>0</v>
      </c>
      <c r="AL55" s="76">
        <f t="shared" si="81"/>
        <v>45572.954731199992</v>
      </c>
      <c r="AM55" s="77">
        <f t="shared" si="82"/>
        <v>0</v>
      </c>
      <c r="AN55" s="76">
        <f t="shared" si="83"/>
        <v>41015.659258079999</v>
      </c>
      <c r="AO55" s="72">
        <f t="shared" si="84"/>
        <v>455779.35347806913</v>
      </c>
      <c r="AP55" s="74">
        <f t="shared" si="85"/>
        <v>569724.19184758642</v>
      </c>
      <c r="AQ55" s="74">
        <f t="shared" si="21"/>
        <v>0</v>
      </c>
      <c r="AR55" s="74">
        <f t="shared" si="86"/>
        <v>24221.646867079704</v>
      </c>
      <c r="AS55" s="72">
        <f t="shared" si="87"/>
        <v>1230851.1132549355</v>
      </c>
      <c r="AT55" s="72">
        <f t="shared" si="88"/>
        <v>29071.806867079704</v>
      </c>
      <c r="AU55" s="78">
        <f t="shared" si="25"/>
        <v>2700.836758368609</v>
      </c>
      <c r="AV55" s="79">
        <f t="shared" si="89"/>
        <v>8.2584925488294006E-2</v>
      </c>
      <c r="AW55" s="80">
        <f t="shared" si="90"/>
        <v>963.50407018869657</v>
      </c>
      <c r="AX55" s="81">
        <f t="shared" si="91"/>
        <v>1737.3326881799121</v>
      </c>
      <c r="AY55" s="82"/>
      <c r="AZ55" s="83">
        <f t="shared" si="29"/>
        <v>0</v>
      </c>
      <c r="BB55" s="84"/>
    </row>
    <row r="56" spans="2:54" ht="34.5" customHeight="1" thickTop="1" thickBot="1">
      <c r="B56" s="129">
        <f>Pricing!A52</f>
        <v>49</v>
      </c>
      <c r="C56" s="130" t="str">
        <f>Pricing!D52</f>
        <v>SIDE HUNG DOOR</v>
      </c>
      <c r="D56" s="131" t="str">
        <f>Pricing!B52</f>
        <v>D3</v>
      </c>
      <c r="E56" s="132" t="str">
        <f>Pricing!N52</f>
        <v>24MM</v>
      </c>
      <c r="F56" s="68">
        <f>Pricing!G52</f>
        <v>762</v>
      </c>
      <c r="G56" s="68">
        <f>Pricing!H52</f>
        <v>2438</v>
      </c>
      <c r="H56" s="100">
        <f t="shared" si="0"/>
        <v>1.857756</v>
      </c>
      <c r="I56" s="70">
        <f>Pricing!I52</f>
        <v>16</v>
      </c>
      <c r="J56" s="69">
        <f t="shared" si="30"/>
        <v>29.724095999999999</v>
      </c>
      <c r="K56" s="71">
        <f t="shared" si="31"/>
        <v>319.95016934399996</v>
      </c>
      <c r="L56" s="69"/>
      <c r="M56" s="72"/>
      <c r="N56" s="72"/>
      <c r="O56" s="72">
        <f t="shared" si="79"/>
        <v>0</v>
      </c>
      <c r="P56" s="73">
        <f>Pricing!M52</f>
        <v>283687.36</v>
      </c>
      <c r="Q56" s="74">
        <f t="shared" si="4"/>
        <v>28368.736000000001</v>
      </c>
      <c r="R56" s="74">
        <f t="shared" si="5"/>
        <v>34326.170559999999</v>
      </c>
      <c r="S56" s="74">
        <f t="shared" si="6"/>
        <v>1731.9113327999999</v>
      </c>
      <c r="T56" s="74">
        <f t="shared" si="7"/>
        <v>3481.1417789279994</v>
      </c>
      <c r="U56" s="72">
        <f t="shared" si="8"/>
        <v>351595.31967172795</v>
      </c>
      <c r="V56" s="74">
        <f t="shared" si="9"/>
        <v>5273.9297950759192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83376.08928</v>
      </c>
      <c r="AE56" s="76">
        <f t="shared" si="43"/>
        <v>8393.442622950819</v>
      </c>
      <c r="AF56" s="346">
        <f t="shared" si="44"/>
        <v>3686.4000000000005</v>
      </c>
      <c r="AG56" s="347"/>
      <c r="AH56" s="76">
        <f t="shared" si="45"/>
        <v>307.20000000000005</v>
      </c>
      <c r="AI56" s="76">
        <f t="shared" si="106"/>
        <v>1024</v>
      </c>
      <c r="AJ56" s="76">
        <f>J56*Pricing!Q52</f>
        <v>0</v>
      </c>
      <c r="AK56" s="76">
        <f>J56*Pricing!R52</f>
        <v>0</v>
      </c>
      <c r="AL56" s="76">
        <f t="shared" si="81"/>
        <v>31995.016934399995</v>
      </c>
      <c r="AM56" s="77">
        <f t="shared" si="82"/>
        <v>0</v>
      </c>
      <c r="AN56" s="76">
        <f t="shared" si="83"/>
        <v>28795.515240959998</v>
      </c>
      <c r="AO56" s="72">
        <f t="shared" si="84"/>
        <v>370280.29208975466</v>
      </c>
      <c r="AP56" s="74">
        <f t="shared" si="85"/>
        <v>462850.36511219334</v>
      </c>
      <c r="AQ56" s="74">
        <f t="shared" si="21"/>
        <v>0</v>
      </c>
      <c r="AR56" s="74">
        <f t="shared" si="86"/>
        <v>28028.797148345504</v>
      </c>
      <c r="AS56" s="72">
        <f t="shared" si="87"/>
        <v>977297.27865730796</v>
      </c>
      <c r="AT56" s="72">
        <f t="shared" si="88"/>
        <v>32878.9571483455</v>
      </c>
      <c r="AU56" s="78">
        <f t="shared" si="25"/>
        <v>3054.5296496047476</v>
      </c>
      <c r="AV56" s="79">
        <f t="shared" si="89"/>
        <v>5.7979696622899951E-2</v>
      </c>
      <c r="AW56" s="80">
        <f t="shared" si="90"/>
        <v>1115.3900940215153</v>
      </c>
      <c r="AX56" s="81">
        <f t="shared" si="91"/>
        <v>1939.1395555832325</v>
      </c>
      <c r="AY56" s="82"/>
      <c r="AZ56" s="83">
        <f t="shared" si="29"/>
        <v>0</v>
      </c>
      <c r="BB56" s="84"/>
    </row>
    <row r="57" spans="2:54" ht="34.5" customHeight="1" thickTop="1" thickBot="1">
      <c r="B57" s="129">
        <f>Pricing!A53</f>
        <v>50</v>
      </c>
      <c r="C57" s="130" t="str">
        <f>Pricing!D53</f>
        <v>3 TRACK 2 SHUTTER SLIDING DOOR WITH SINGLE DOOR AND TOP FIXED</v>
      </c>
      <c r="D57" s="131" t="str">
        <f>Pricing!B53</f>
        <v>DW1</v>
      </c>
      <c r="E57" s="132" t="str">
        <f>Pricing!N53</f>
        <v>24MM</v>
      </c>
      <c r="F57" s="68">
        <f>Pricing!G53</f>
        <v>2210</v>
      </c>
      <c r="G57" s="68">
        <f>Pricing!H53</f>
        <v>4115</v>
      </c>
      <c r="H57" s="100">
        <f t="shared" si="0"/>
        <v>9.0941500000000008</v>
      </c>
      <c r="I57" s="70">
        <f>Pricing!I53</f>
        <v>1</v>
      </c>
      <c r="J57" s="69">
        <f t="shared" si="30"/>
        <v>9.0941500000000008</v>
      </c>
      <c r="K57" s="71">
        <f t="shared" si="31"/>
        <v>97.889430599999997</v>
      </c>
      <c r="L57" s="69"/>
      <c r="M57" s="72"/>
      <c r="N57" s="72"/>
      <c r="O57" s="72">
        <f t="shared" si="79"/>
        <v>0</v>
      </c>
      <c r="P57" s="73">
        <f>Pricing!M53</f>
        <v>67850.84</v>
      </c>
      <c r="Q57" s="74">
        <f t="shared" ref="Q57:Q106" si="107">P57*$Q$6</f>
        <v>6785.0839999999998</v>
      </c>
      <c r="R57" s="74">
        <f t="shared" ref="R57:R106" si="108">(P57+Q57)*$R$6</f>
        <v>8209.9516399999993</v>
      </c>
      <c r="S57" s="74">
        <f t="shared" ref="S57:S106" si="109">(P57+Q57+R57)*$S$6</f>
        <v>414.22937819999999</v>
      </c>
      <c r="T57" s="74">
        <f t="shared" ref="T57:T106" si="110">(P57+Q57+R57+S57)*$T$6</f>
        <v>832.60105018200011</v>
      </c>
      <c r="U57" s="72">
        <f t="shared" ref="U57:U106" si="111">SUM(P57:T57)</f>
        <v>84092.706068382002</v>
      </c>
      <c r="V57" s="74">
        <f t="shared" ref="V57:V106" si="112">U57*$V$6</f>
        <v>1261.3905910257299</v>
      </c>
      <c r="W57" s="73">
        <f>Pricing!S53*I57</f>
        <v>1236.375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1236.375</v>
      </c>
      <c r="AC57" s="75">
        <v>0</v>
      </c>
      <c r="AD57" s="101">
        <f>(J57*Pricing!O53)+(O57*Pricing!P53)</f>
        <v>25509.090750000003</v>
      </c>
      <c r="AE57" s="76">
        <f t="shared" si="43"/>
        <v>1036.8852459016393</v>
      </c>
      <c r="AF57" s="402">
        <f t="shared" si="44"/>
        <v>455.4</v>
      </c>
      <c r="AG57" s="403"/>
      <c r="AH57" s="76">
        <f t="shared" si="45"/>
        <v>37.950000000000003</v>
      </c>
      <c r="AI57" s="76">
        <f t="shared" si="15"/>
        <v>126.5</v>
      </c>
      <c r="AJ57" s="76">
        <f>J57*Pricing!Q53</f>
        <v>0</v>
      </c>
      <c r="AK57" s="76">
        <f>J57*Pricing!R53</f>
        <v>0</v>
      </c>
      <c r="AL57" s="76">
        <f t="shared" si="81"/>
        <v>9788.9430599999996</v>
      </c>
      <c r="AM57" s="77">
        <f t="shared" si="82"/>
        <v>0</v>
      </c>
      <c r="AN57" s="76">
        <f t="shared" si="83"/>
        <v>8810.0487540000013</v>
      </c>
      <c r="AO57" s="72">
        <f t="shared" si="84"/>
        <v>87010.831905309373</v>
      </c>
      <c r="AP57" s="74">
        <f t="shared" si="85"/>
        <v>108763.53988163671</v>
      </c>
      <c r="AQ57" s="74">
        <f t="shared" ref="AQ57:AQ106" si="118">(AO57+AP57)*$AQ$6</f>
        <v>0</v>
      </c>
      <c r="AR57" s="74">
        <f t="shared" si="86"/>
        <v>21527.50634055366</v>
      </c>
      <c r="AS57" s="72">
        <f t="shared" si="87"/>
        <v>241118.82935094609</v>
      </c>
      <c r="AT57" s="72">
        <f t="shared" si="88"/>
        <v>26513.619123386579</v>
      </c>
      <c r="AU57" s="78">
        <f t="shared" ref="AU57:AU106" si="119">AT57/10.764</f>
        <v>2463.1753180403734</v>
      </c>
      <c r="AV57" s="79">
        <f t="shared" si="89"/>
        <v>1.773901073536923E-2</v>
      </c>
      <c r="AW57" s="80">
        <f t="shared" si="90"/>
        <v>871.94394876179547</v>
      </c>
      <c r="AX57" s="81">
        <f t="shared" si="91"/>
        <v>1603.861690983606</v>
      </c>
      <c r="AY57" s="82"/>
      <c r="AZ57" s="83">
        <f t="shared" ref="AZ57:AZ106" si="120">AU57-(AW57+AX57)</f>
        <v>-12.630321705028109</v>
      </c>
      <c r="BB57" s="84"/>
    </row>
    <row r="58" spans="2:54" ht="34.5" customHeight="1" thickTop="1" thickBot="1">
      <c r="B58" s="129">
        <f>Pricing!A54</f>
        <v>51</v>
      </c>
      <c r="C58" s="130" t="str">
        <f>Pricing!D54</f>
        <v>SIDE HUNG DOOR WITH 3 FIXED</v>
      </c>
      <c r="D58" s="131" t="str">
        <f>Pricing!B54</f>
        <v>MD</v>
      </c>
      <c r="E58" s="132" t="str">
        <f>Pricing!N54</f>
        <v>24MM</v>
      </c>
      <c r="F58" s="68">
        <f>Pricing!G54</f>
        <v>2033</v>
      </c>
      <c r="G58" s="68">
        <f>Pricing!H54</f>
        <v>4115</v>
      </c>
      <c r="H58" s="100">
        <f t="shared" ref="H58:H107" si="121">(F58*G58)/1000000</f>
        <v>8.3657950000000003</v>
      </c>
      <c r="I58" s="70">
        <f>Pricing!I54</f>
        <v>1</v>
      </c>
      <c r="J58" s="69">
        <f t="shared" si="30"/>
        <v>8.3657950000000003</v>
      </c>
      <c r="K58" s="71">
        <f t="shared" si="31"/>
        <v>90.049417379999994</v>
      </c>
      <c r="L58" s="69"/>
      <c r="M58" s="72"/>
      <c r="N58" s="72"/>
      <c r="O58" s="72">
        <f t="shared" si="79"/>
        <v>0</v>
      </c>
      <c r="P58" s="73">
        <f>Pricing!M54</f>
        <v>35237.65</v>
      </c>
      <c r="Q58" s="74">
        <f t="shared" si="107"/>
        <v>3523.7650000000003</v>
      </c>
      <c r="R58" s="74">
        <f t="shared" si="108"/>
        <v>4263.7556500000001</v>
      </c>
      <c r="S58" s="74">
        <f t="shared" si="109"/>
        <v>215.12585325000001</v>
      </c>
      <c r="T58" s="74">
        <f t="shared" si="110"/>
        <v>432.40296503249999</v>
      </c>
      <c r="U58" s="72">
        <f t="shared" si="111"/>
        <v>43672.699468282502</v>
      </c>
      <c r="V58" s="74">
        <f t="shared" si="112"/>
        <v>655.09049202423751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23466.054974999999</v>
      </c>
      <c r="AE58" s="76">
        <f>((((F58+G58)*2)/305)*I58*$AE$7)</f>
        <v>1007.8688524590165</v>
      </c>
      <c r="AF58" s="346">
        <f>(((((F58*4)+(G58*4))/1000)*$AF$6*$AG$6)/300)*I58*$AF$7</f>
        <v>442.65599999999989</v>
      </c>
      <c r="AG58" s="347"/>
      <c r="AH58" s="76">
        <f t="shared" si="45"/>
        <v>36.887999999999998</v>
      </c>
      <c r="AI58" s="76">
        <f t="shared" ref="AI58:AI107" si="122">(((F58+G58)*2*I58)/1000)*2*$AI$7</f>
        <v>122.96</v>
      </c>
      <c r="AJ58" s="76">
        <f>J58*Pricing!Q54</f>
        <v>0</v>
      </c>
      <c r="AK58" s="76">
        <f>J58*Pricing!R54</f>
        <v>0</v>
      </c>
      <c r="AL58" s="76">
        <f t="shared" si="81"/>
        <v>9004.9417379999995</v>
      </c>
      <c r="AM58" s="77">
        <f t="shared" si="82"/>
        <v>0</v>
      </c>
      <c r="AN58" s="76">
        <f t="shared" si="83"/>
        <v>8104.4475642000007</v>
      </c>
      <c r="AO58" s="72">
        <f t="shared" si="84"/>
        <v>45938.162812765753</v>
      </c>
      <c r="AP58" s="74">
        <f t="shared" si="85"/>
        <v>57422.70351595719</v>
      </c>
      <c r="AQ58" s="74">
        <f t="shared" si="118"/>
        <v>0</v>
      </c>
      <c r="AR58" s="74">
        <f t="shared" ref="AR58:AR89" si="123">SUM(AO58:AQ58)/J58</f>
        <v>12355.175608381862</v>
      </c>
      <c r="AS58" s="72">
        <f t="shared" ref="AS58:AS89" si="124">SUM(AJ58:AQ58)+AD58+AB58</f>
        <v>143936.31060592295</v>
      </c>
      <c r="AT58" s="72">
        <f t="shared" si="88"/>
        <v>17205.335608381862</v>
      </c>
      <c r="AU58" s="78">
        <f t="shared" si="119"/>
        <v>1598.4146793368509</v>
      </c>
      <c r="AV58" s="79">
        <f t="shared" si="89"/>
        <v>1.6318284536201648E-2</v>
      </c>
      <c r="AW58" s="80">
        <f t="shared" si="90"/>
        <v>492.26070806485814</v>
      </c>
      <c r="AX58" s="81">
        <f t="shared" si="91"/>
        <v>1106.1539712719928</v>
      </c>
      <c r="AY58" s="82"/>
      <c r="AZ58" s="83">
        <f t="shared" si="120"/>
        <v>0</v>
      </c>
      <c r="BB58" s="84"/>
    </row>
    <row r="59" spans="2:54" ht="34.5" customHeight="1" thickTop="1" thickBot="1">
      <c r="B59" s="129">
        <f>Pricing!A55</f>
        <v>52</v>
      </c>
      <c r="C59" s="130" t="str">
        <f>Pricing!D55</f>
        <v>POCKET DOOR</v>
      </c>
      <c r="D59" s="131" t="str">
        <f>Pricing!B55</f>
        <v>PD1</v>
      </c>
      <c r="E59" s="132" t="str">
        <f>Pricing!N55</f>
        <v>24MM</v>
      </c>
      <c r="F59" s="68">
        <f>Pricing!G55</f>
        <v>6098</v>
      </c>
      <c r="G59" s="68">
        <f>Pricing!H55</f>
        <v>2438</v>
      </c>
      <c r="H59" s="100">
        <f t="shared" si="121"/>
        <v>14.866923999999999</v>
      </c>
      <c r="I59" s="70">
        <f>Pricing!I55</f>
        <v>1</v>
      </c>
      <c r="J59" s="69">
        <f t="shared" ref="J59:J107" si="125">H59*I59</f>
        <v>14.866923999999999</v>
      </c>
      <c r="K59" s="71">
        <f t="shared" ref="K59:K107" si="126">J59*10.764</f>
        <v>160.02756993599999</v>
      </c>
      <c r="L59" s="69"/>
      <c r="M59" s="72"/>
      <c r="N59" s="72"/>
      <c r="O59" s="72">
        <f t="shared" si="79"/>
        <v>0</v>
      </c>
      <c r="P59" s="73">
        <f>Pricing!M55</f>
        <v>61236.57</v>
      </c>
      <c r="Q59" s="74">
        <f t="shared" si="107"/>
        <v>6123.6570000000002</v>
      </c>
      <c r="R59" s="74">
        <f t="shared" si="108"/>
        <v>7409.6249699999998</v>
      </c>
      <c r="S59" s="74">
        <f t="shared" si="109"/>
        <v>373.84925985000001</v>
      </c>
      <c r="T59" s="74">
        <f t="shared" si="110"/>
        <v>751.43701229850001</v>
      </c>
      <c r="U59" s="72">
        <f t="shared" si="111"/>
        <v>75895.138242148503</v>
      </c>
      <c r="V59" s="74">
        <f t="shared" si="112"/>
        <v>1138.4270736322276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41701.721819999999</v>
      </c>
      <c r="AE59" s="76">
        <f t="shared" ref="AE59:AE107" si="127">((((F59+G59)*2)/305)*I59*$AE$7)</f>
        <v>1399.344262295082</v>
      </c>
      <c r="AF59" s="346">
        <f t="shared" ref="AF59:AF107" si="128">(((((F59*4)+(G59*4))/1000)*$AF$6*$AG$6)/300)*I59*$AF$7</f>
        <v>614.59199999999976</v>
      </c>
      <c r="AG59" s="347"/>
      <c r="AH59" s="76">
        <f t="shared" si="45"/>
        <v>51.215999999999994</v>
      </c>
      <c r="AI59" s="76">
        <f t="shared" si="122"/>
        <v>170.72</v>
      </c>
      <c r="AJ59" s="76">
        <f>J59*Pricing!Q55</f>
        <v>0</v>
      </c>
      <c r="AK59" s="76">
        <f>J59*Pricing!R55</f>
        <v>0</v>
      </c>
      <c r="AL59" s="76">
        <f t="shared" si="81"/>
        <v>16002.756993599996</v>
      </c>
      <c r="AM59" s="77">
        <f t="shared" si="82"/>
        <v>0</v>
      </c>
      <c r="AN59" s="76">
        <f t="shared" si="83"/>
        <v>14402.481294239999</v>
      </c>
      <c r="AO59" s="72">
        <f t="shared" si="84"/>
        <v>79269.437578075798</v>
      </c>
      <c r="AP59" s="74">
        <f t="shared" si="85"/>
        <v>99086.796972594748</v>
      </c>
      <c r="AQ59" s="74">
        <f t="shared" si="118"/>
        <v>0</v>
      </c>
      <c r="AR59" s="74">
        <f t="shared" si="123"/>
        <v>11996.848477241867</v>
      </c>
      <c r="AS59" s="72">
        <f t="shared" si="124"/>
        <v>250463.19465851053</v>
      </c>
      <c r="AT59" s="72">
        <f t="shared" si="88"/>
        <v>16847.008477241867</v>
      </c>
      <c r="AU59" s="78">
        <f t="shared" si="119"/>
        <v>1565.1252765925183</v>
      </c>
      <c r="AV59" s="79">
        <f t="shared" si="89"/>
        <v>2.8999359416539035E-2</v>
      </c>
      <c r="AW59" s="80">
        <f t="shared" si="90"/>
        <v>481.3768361700977</v>
      </c>
      <c r="AX59" s="81">
        <f t="shared" si="91"/>
        <v>1083.7484404224203</v>
      </c>
      <c r="AY59" s="82"/>
      <c r="AZ59" s="83">
        <f t="shared" si="120"/>
        <v>0</v>
      </c>
      <c r="BB59" s="84"/>
    </row>
    <row r="60" spans="2:54" ht="34.5" customHeight="1" thickTop="1" thickBot="1">
      <c r="B60" s="129">
        <f>Pricing!A56</f>
        <v>53</v>
      </c>
      <c r="C60" s="130" t="str">
        <f>Pricing!D56</f>
        <v>POCKET DOOR</v>
      </c>
      <c r="D60" s="131" t="str">
        <f>Pricing!B56</f>
        <v>PD2</v>
      </c>
      <c r="E60" s="132" t="str">
        <f>Pricing!N56</f>
        <v>24MM</v>
      </c>
      <c r="F60" s="68">
        <f>Pricing!G56</f>
        <v>1981</v>
      </c>
      <c r="G60" s="68">
        <f>Pricing!H56</f>
        <v>2438</v>
      </c>
      <c r="H60" s="100">
        <f t="shared" si="121"/>
        <v>4.8296780000000004</v>
      </c>
      <c r="I60" s="70">
        <f>Pricing!I56</f>
        <v>1</v>
      </c>
      <c r="J60" s="69">
        <f t="shared" si="125"/>
        <v>4.8296780000000004</v>
      </c>
      <c r="K60" s="71">
        <f t="shared" si="126"/>
        <v>51.986653992000001</v>
      </c>
      <c r="L60" s="69"/>
      <c r="M60" s="72"/>
      <c r="N60" s="72"/>
      <c r="O60" s="72">
        <f t="shared" si="79"/>
        <v>0</v>
      </c>
      <c r="P60" s="73">
        <f>Pricing!M56</f>
        <v>30797.15</v>
      </c>
      <c r="Q60" s="74">
        <f t="shared" si="107"/>
        <v>3079.7150000000001</v>
      </c>
      <c r="R60" s="74">
        <f t="shared" si="108"/>
        <v>3726.4551500000007</v>
      </c>
      <c r="S60" s="74">
        <f t="shared" si="109"/>
        <v>188.01660075000004</v>
      </c>
      <c r="T60" s="74">
        <f t="shared" si="110"/>
        <v>377.91336750750008</v>
      </c>
      <c r="U60" s="72">
        <f t="shared" si="111"/>
        <v>38169.250118257507</v>
      </c>
      <c r="V60" s="74">
        <f t="shared" si="112"/>
        <v>572.5387517738626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13547.246790000001</v>
      </c>
      <c r="AE60" s="76">
        <f t="shared" si="127"/>
        <v>724.42622950819668</v>
      </c>
      <c r="AF60" s="346">
        <f t="shared" si="128"/>
        <v>318.16799999999989</v>
      </c>
      <c r="AG60" s="347"/>
      <c r="AH60" s="76">
        <f t="shared" si="45"/>
        <v>26.513999999999996</v>
      </c>
      <c r="AI60" s="76">
        <f t="shared" si="122"/>
        <v>88.38</v>
      </c>
      <c r="AJ60" s="76">
        <f>J60*Pricing!Q56</f>
        <v>0</v>
      </c>
      <c r="AK60" s="76">
        <f>J60*Pricing!R56</f>
        <v>0</v>
      </c>
      <c r="AL60" s="76">
        <f t="shared" si="81"/>
        <v>5198.6653992000001</v>
      </c>
      <c r="AM60" s="77">
        <f t="shared" si="82"/>
        <v>0</v>
      </c>
      <c r="AN60" s="76">
        <f t="shared" si="83"/>
        <v>4678.7988592800002</v>
      </c>
      <c r="AO60" s="72">
        <f t="shared" si="84"/>
        <v>39899.277099539569</v>
      </c>
      <c r="AP60" s="74">
        <f t="shared" si="85"/>
        <v>49874.096374424465</v>
      </c>
      <c r="AQ60" s="74">
        <f t="shared" si="118"/>
        <v>0</v>
      </c>
      <c r="AR60" s="74">
        <f t="shared" si="123"/>
        <v>18587.858957463424</v>
      </c>
      <c r="AS60" s="72">
        <f t="shared" si="124"/>
        <v>113198.08452244404</v>
      </c>
      <c r="AT60" s="72">
        <f t="shared" si="88"/>
        <v>23438.018957463424</v>
      </c>
      <c r="AU60" s="78">
        <f t="shared" si="119"/>
        <v>2177.4450908085678</v>
      </c>
      <c r="AV60" s="79">
        <f t="shared" si="89"/>
        <v>9.4207495907123375E-3</v>
      </c>
      <c r="AW60" s="80">
        <f t="shared" si="90"/>
        <v>745.22566649496571</v>
      </c>
      <c r="AX60" s="81">
        <f t="shared" si="91"/>
        <v>1432.2194243136021</v>
      </c>
      <c r="AY60" s="82"/>
      <c r="AZ60" s="83">
        <f t="shared" si="120"/>
        <v>0</v>
      </c>
      <c r="BB60" s="84"/>
    </row>
    <row r="61" spans="2:54" ht="34.5" customHeight="1" thickTop="1" thickBot="1">
      <c r="B61" s="129">
        <f>Pricing!A57</f>
        <v>54</v>
      </c>
      <c r="C61" s="130" t="str">
        <f>Pricing!D57</f>
        <v>POCKET DOOR</v>
      </c>
      <c r="D61" s="131" t="str">
        <f>Pricing!B57</f>
        <v>PD3</v>
      </c>
      <c r="E61" s="132" t="str">
        <f>Pricing!N57</f>
        <v>24MM</v>
      </c>
      <c r="F61" s="68">
        <f>Pricing!G57</f>
        <v>5182</v>
      </c>
      <c r="G61" s="68">
        <f>Pricing!H57</f>
        <v>2438</v>
      </c>
      <c r="H61" s="100">
        <f t="shared" si="121"/>
        <v>12.633716</v>
      </c>
      <c r="I61" s="70">
        <f>Pricing!I57</f>
        <v>1</v>
      </c>
      <c r="J61" s="69">
        <f t="shared" si="125"/>
        <v>12.633716</v>
      </c>
      <c r="K61" s="71">
        <f t="shared" si="126"/>
        <v>135.989319024</v>
      </c>
      <c r="L61" s="69"/>
      <c r="M61" s="72"/>
      <c r="N61" s="72"/>
      <c r="O61" s="72">
        <f t="shared" si="79"/>
        <v>0</v>
      </c>
      <c r="P61" s="73">
        <f>Pricing!M57</f>
        <v>61898.909999999996</v>
      </c>
      <c r="Q61" s="74">
        <f t="shared" si="107"/>
        <v>6189.8909999999996</v>
      </c>
      <c r="R61" s="74">
        <f t="shared" si="108"/>
        <v>7489.7681099999991</v>
      </c>
      <c r="S61" s="74">
        <f t="shared" si="109"/>
        <v>377.89284555</v>
      </c>
      <c r="T61" s="74">
        <f t="shared" si="110"/>
        <v>759.56461955549992</v>
      </c>
      <c r="U61" s="72">
        <f t="shared" si="111"/>
        <v>76716.026575105498</v>
      </c>
      <c r="V61" s="74">
        <f t="shared" si="112"/>
        <v>1150.7403986265824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35437.573380000002</v>
      </c>
      <c r="AE61" s="76">
        <f t="shared" si="127"/>
        <v>1249.1803278688524</v>
      </c>
      <c r="AF61" s="346">
        <f t="shared" si="128"/>
        <v>548.64</v>
      </c>
      <c r="AG61" s="347"/>
      <c r="AH61" s="76">
        <f t="shared" si="45"/>
        <v>45.72</v>
      </c>
      <c r="AI61" s="76">
        <f t="shared" si="122"/>
        <v>152.4</v>
      </c>
      <c r="AJ61" s="76">
        <f>J61*Pricing!Q57</f>
        <v>0</v>
      </c>
      <c r="AK61" s="76">
        <f>J61*Pricing!R57</f>
        <v>0</v>
      </c>
      <c r="AL61" s="76">
        <f t="shared" si="81"/>
        <v>13598.931902399998</v>
      </c>
      <c r="AM61" s="77">
        <f t="shared" si="82"/>
        <v>0</v>
      </c>
      <c r="AN61" s="76">
        <f t="shared" si="83"/>
        <v>12239.03871216</v>
      </c>
      <c r="AO61" s="72">
        <f t="shared" si="84"/>
        <v>79862.707301600938</v>
      </c>
      <c r="AP61" s="74">
        <f t="shared" si="85"/>
        <v>99828.384127001176</v>
      </c>
      <c r="AQ61" s="74">
        <f t="shared" si="118"/>
        <v>0</v>
      </c>
      <c r="AR61" s="74">
        <f t="shared" si="123"/>
        <v>14223.138420129289</v>
      </c>
      <c r="AS61" s="72">
        <f t="shared" si="124"/>
        <v>240966.63542316214</v>
      </c>
      <c r="AT61" s="72">
        <f t="shared" si="88"/>
        <v>19073.298420129289</v>
      </c>
      <c r="AU61" s="78">
        <f t="shared" si="119"/>
        <v>1771.9526588748877</v>
      </c>
      <c r="AV61" s="79">
        <f t="shared" si="89"/>
        <v>2.4643273285750292E-2</v>
      </c>
      <c r="AW61" s="80">
        <f t="shared" si="90"/>
        <v>572.59472679607882</v>
      </c>
      <c r="AX61" s="81">
        <f t="shared" si="91"/>
        <v>1199.3579320788087</v>
      </c>
      <c r="AY61" s="82"/>
      <c r="AZ61" s="83">
        <f t="shared" si="120"/>
        <v>0</v>
      </c>
      <c r="BB61" s="84"/>
    </row>
    <row r="62" spans="2:54" ht="34.5" customHeight="1" thickTop="1" thickBot="1">
      <c r="B62" s="129">
        <f>Pricing!A58</f>
        <v>55</v>
      </c>
      <c r="C62" s="130" t="str">
        <f>Pricing!D58</f>
        <v>POCKET DOOR</v>
      </c>
      <c r="D62" s="131" t="str">
        <f>Pricing!B58</f>
        <v>PD4</v>
      </c>
      <c r="E62" s="132" t="str">
        <f>Pricing!N58</f>
        <v>24MM</v>
      </c>
      <c r="F62" s="68">
        <f>Pricing!G58</f>
        <v>2210</v>
      </c>
      <c r="G62" s="68">
        <f>Pricing!H58</f>
        <v>2438</v>
      </c>
      <c r="H62" s="100">
        <f t="shared" si="121"/>
        <v>5.3879799999999998</v>
      </c>
      <c r="I62" s="70">
        <f>Pricing!I58</f>
        <v>2</v>
      </c>
      <c r="J62" s="69">
        <f t="shared" si="125"/>
        <v>10.77596</v>
      </c>
      <c r="K62" s="71">
        <f t="shared" si="126"/>
        <v>115.99243343999999</v>
      </c>
      <c r="L62" s="69"/>
      <c r="M62" s="72"/>
      <c r="N62" s="72"/>
      <c r="O62" s="72">
        <f t="shared" si="79"/>
        <v>0</v>
      </c>
      <c r="P62" s="73">
        <f>Pricing!M58</f>
        <v>63919.96</v>
      </c>
      <c r="Q62" s="74">
        <f t="shared" si="107"/>
        <v>6391.9960000000001</v>
      </c>
      <c r="R62" s="74">
        <f t="shared" si="108"/>
        <v>7734.315160000001</v>
      </c>
      <c r="S62" s="74">
        <f t="shared" si="109"/>
        <v>390.23135580000002</v>
      </c>
      <c r="T62" s="74">
        <f t="shared" si="110"/>
        <v>784.36502515800009</v>
      </c>
      <c r="U62" s="72">
        <f t="shared" si="111"/>
        <v>79220.867540958003</v>
      </c>
      <c r="V62" s="74">
        <f t="shared" si="112"/>
        <v>1188.3130131143701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30226.567799999997</v>
      </c>
      <c r="AE62" s="76">
        <f t="shared" si="127"/>
        <v>1523.9344262295083</v>
      </c>
      <c r="AF62" s="346">
        <f t="shared" si="128"/>
        <v>669.3119999999999</v>
      </c>
      <c r="AG62" s="347"/>
      <c r="AH62" s="76">
        <f t="shared" si="45"/>
        <v>55.775999999999996</v>
      </c>
      <c r="AI62" s="76">
        <f t="shared" si="122"/>
        <v>185.92</v>
      </c>
      <c r="AJ62" s="76">
        <f>J62*Pricing!Q58</f>
        <v>0</v>
      </c>
      <c r="AK62" s="76">
        <f>J62*Pricing!R58</f>
        <v>0</v>
      </c>
      <c r="AL62" s="76">
        <f t="shared" si="81"/>
        <v>11599.243343999999</v>
      </c>
      <c r="AM62" s="77">
        <f t="shared" si="82"/>
        <v>0</v>
      </c>
      <c r="AN62" s="76">
        <f t="shared" si="83"/>
        <v>10439.3190096</v>
      </c>
      <c r="AO62" s="72">
        <f t="shared" si="84"/>
        <v>82844.12298030188</v>
      </c>
      <c r="AP62" s="74">
        <f t="shared" si="85"/>
        <v>103555.15372537734</v>
      </c>
      <c r="AQ62" s="74">
        <f t="shared" si="118"/>
        <v>0</v>
      </c>
      <c r="AR62" s="74">
        <f t="shared" si="123"/>
        <v>17297.69567682872</v>
      </c>
      <c r="AS62" s="72">
        <f t="shared" si="124"/>
        <v>238664.4068592792</v>
      </c>
      <c r="AT62" s="72">
        <f t="shared" si="88"/>
        <v>22147.85567682872</v>
      </c>
      <c r="AU62" s="78">
        <f t="shared" si="119"/>
        <v>2057.5859974757268</v>
      </c>
      <c r="AV62" s="79">
        <f t="shared" si="89"/>
        <v>2.1019542246819043E-2</v>
      </c>
      <c r="AW62" s="80">
        <f t="shared" si="90"/>
        <v>693.2278095162651</v>
      </c>
      <c r="AX62" s="81">
        <f t="shared" si="91"/>
        <v>1364.3581879594615</v>
      </c>
      <c r="AY62" s="82"/>
      <c r="AZ62" s="83">
        <f t="shared" si="120"/>
        <v>0</v>
      </c>
      <c r="BB62" s="84"/>
    </row>
    <row r="63" spans="2:54" ht="34.5" customHeight="1" thickTop="1" thickBot="1">
      <c r="B63" s="129">
        <f>Pricing!A59</f>
        <v>56</v>
      </c>
      <c r="C63" s="130" t="str">
        <f>Pricing!D59</f>
        <v>POCKET DOOR</v>
      </c>
      <c r="D63" s="131" t="str">
        <f>Pricing!B59</f>
        <v>PD5</v>
      </c>
      <c r="E63" s="132" t="str">
        <f>Pricing!N59</f>
        <v>24MM</v>
      </c>
      <c r="F63" s="68">
        <f>Pricing!G59</f>
        <v>1981</v>
      </c>
      <c r="G63" s="68">
        <f>Pricing!H59</f>
        <v>2438</v>
      </c>
      <c r="H63" s="100">
        <f t="shared" si="121"/>
        <v>4.8296780000000004</v>
      </c>
      <c r="I63" s="70">
        <f>Pricing!I59</f>
        <v>4</v>
      </c>
      <c r="J63" s="69">
        <f t="shared" si="125"/>
        <v>19.318712000000001</v>
      </c>
      <c r="K63" s="71">
        <f t="shared" si="126"/>
        <v>207.946615968</v>
      </c>
      <c r="L63" s="69"/>
      <c r="M63" s="72"/>
      <c r="N63" s="72"/>
      <c r="O63" s="72">
        <f t="shared" si="79"/>
        <v>0</v>
      </c>
      <c r="P63" s="73">
        <f>Pricing!M59</f>
        <v>123188.6</v>
      </c>
      <c r="Q63" s="74">
        <f t="shared" si="107"/>
        <v>12318.86</v>
      </c>
      <c r="R63" s="74">
        <f t="shared" si="108"/>
        <v>14905.820600000003</v>
      </c>
      <c r="S63" s="74">
        <f t="shared" si="109"/>
        <v>752.06640300000015</v>
      </c>
      <c r="T63" s="74">
        <f t="shared" si="110"/>
        <v>1511.6534700300003</v>
      </c>
      <c r="U63" s="72">
        <f t="shared" si="111"/>
        <v>152677.00047303003</v>
      </c>
      <c r="V63" s="74">
        <f t="shared" si="112"/>
        <v>2290.1550070954504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54188.987160000004</v>
      </c>
      <c r="AE63" s="76">
        <f t="shared" si="127"/>
        <v>2897.7049180327867</v>
      </c>
      <c r="AF63" s="346">
        <f t="shared" si="128"/>
        <v>1272.6719999999996</v>
      </c>
      <c r="AG63" s="347"/>
      <c r="AH63" s="76">
        <f t="shared" si="45"/>
        <v>106.05599999999998</v>
      </c>
      <c r="AI63" s="76">
        <f t="shared" si="122"/>
        <v>353.52</v>
      </c>
      <c r="AJ63" s="76">
        <f>J63*Pricing!Q59</f>
        <v>0</v>
      </c>
      <c r="AK63" s="76">
        <f>J63*Pricing!R59</f>
        <v>0</v>
      </c>
      <c r="AL63" s="76">
        <f t="shared" si="81"/>
        <v>20794.661596800001</v>
      </c>
      <c r="AM63" s="77">
        <f t="shared" si="82"/>
        <v>0</v>
      </c>
      <c r="AN63" s="76">
        <f t="shared" si="83"/>
        <v>18715.195437120001</v>
      </c>
      <c r="AO63" s="72">
        <f t="shared" si="84"/>
        <v>159597.10839815828</v>
      </c>
      <c r="AP63" s="74">
        <f t="shared" si="85"/>
        <v>199496.38549769786</v>
      </c>
      <c r="AQ63" s="74">
        <f t="shared" si="118"/>
        <v>0</v>
      </c>
      <c r="AR63" s="74">
        <f t="shared" si="123"/>
        <v>18587.858957463424</v>
      </c>
      <c r="AS63" s="72">
        <f t="shared" si="124"/>
        <v>452792.33808977617</v>
      </c>
      <c r="AT63" s="72">
        <f t="shared" si="88"/>
        <v>23438.018957463424</v>
      </c>
      <c r="AU63" s="78">
        <f t="shared" si="119"/>
        <v>2177.4450908085678</v>
      </c>
      <c r="AV63" s="79">
        <f t="shared" si="89"/>
        <v>3.768299836284935E-2</v>
      </c>
      <c r="AW63" s="80">
        <f t="shared" si="90"/>
        <v>745.22566649496571</v>
      </c>
      <c r="AX63" s="81">
        <f t="shared" si="91"/>
        <v>1432.2194243136021</v>
      </c>
      <c r="AY63" s="82"/>
      <c r="AZ63" s="83">
        <f t="shared" si="120"/>
        <v>0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387.53483600000004</v>
      </c>
      <c r="I109" s="87">
        <f>SUM(I8:I108)</f>
        <v>112</v>
      </c>
      <c r="J109" s="88">
        <f>SUM(J8:J108)</f>
        <v>512.66387599999996</v>
      </c>
      <c r="K109" s="89">
        <f>SUM(K8:K108)</f>
        <v>5518.3139612639998</v>
      </c>
      <c r="L109" s="88">
        <f>SUM(L8:L8)</f>
        <v>0</v>
      </c>
      <c r="M109" s="88"/>
      <c r="N109" s="88"/>
      <c r="O109" s="88"/>
      <c r="P109" s="87">
        <f>SUM(P8:P108)</f>
        <v>3286698.74</v>
      </c>
      <c r="Q109" s="88">
        <f t="shared" ref="Q109:AE109" si="156">SUM(Q8:Q108)</f>
        <v>328669.87399999995</v>
      </c>
      <c r="R109" s="88">
        <f t="shared" si="156"/>
        <v>397690.54754</v>
      </c>
      <c r="S109" s="88">
        <f t="shared" si="156"/>
        <v>20065.2958077</v>
      </c>
      <c r="T109" s="88">
        <f t="shared" si="156"/>
        <v>40331.244573477001</v>
      </c>
      <c r="U109" s="88">
        <f t="shared" si="156"/>
        <v>4073455.7019211766</v>
      </c>
      <c r="V109" s="88">
        <f t="shared" si="156"/>
        <v>61101.835528817661</v>
      </c>
      <c r="W109" s="87">
        <f t="shared" si="156"/>
        <v>74706.919499999989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74706.919499999989</v>
      </c>
      <c r="AC109" s="88">
        <f t="shared" si="156"/>
        <v>0</v>
      </c>
      <c r="AD109" s="88">
        <f t="shared" si="156"/>
        <v>1416637.0776599997</v>
      </c>
      <c r="AE109" s="88">
        <f t="shared" si="156"/>
        <v>76008.032786885247</v>
      </c>
      <c r="AF109" s="407">
        <f>SUM(AF8:AG108)</f>
        <v>33382.728000000003</v>
      </c>
      <c r="AG109" s="408"/>
      <c r="AH109" s="88">
        <f t="shared" ref="AH109:AQ109" si="157">SUM(AH8:AH108)</f>
        <v>2781.8939999999998</v>
      </c>
      <c r="AI109" s="88">
        <f t="shared" si="157"/>
        <v>9272.9799999999959</v>
      </c>
      <c r="AJ109" s="88">
        <f t="shared" ref="AJ109" si="158">SUM(AJ8:AJ108)</f>
        <v>36340.495401599997</v>
      </c>
      <c r="AK109" s="88">
        <f t="shared" si="157"/>
        <v>1795629.3653376</v>
      </c>
      <c r="AL109" s="88">
        <f t="shared" si="157"/>
        <v>551831.39612639998</v>
      </c>
      <c r="AM109" s="88">
        <f t="shared" si="157"/>
        <v>0</v>
      </c>
      <c r="AN109" s="88">
        <f t="shared" si="157"/>
        <v>496648.25651375996</v>
      </c>
      <c r="AO109" s="88">
        <f t="shared" si="157"/>
        <v>4256003.1722368794</v>
      </c>
      <c r="AP109" s="88">
        <f t="shared" si="157"/>
        <v>5320003.965296099</v>
      </c>
      <c r="AQ109" s="88">
        <f t="shared" si="157"/>
        <v>0</v>
      </c>
      <c r="AR109" s="88"/>
      <c r="AS109" s="87">
        <f>SUM(AS8:AS108)</f>
        <v>13947800.64807234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33382.728000000003</v>
      </c>
      <c r="AW110" s="84"/>
    </row>
    <row r="111" spans="2:54">
      <c r="AF111" s="174"/>
      <c r="AG111" s="174"/>
      <c r="AH111" s="174">
        <f>SUM(AE109:AI109,AC109)</f>
        <v>121445.63478688525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O7" sqref="O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6.28515625" style="122" customWidth="1"/>
    <col min="6" max="6" width="51.140625" style="122" customWidth="1"/>
    <col min="7" max="7" width="18.7109375" style="122" customWidth="1"/>
    <col min="8" max="8" width="41.57031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ABPL-DE-19.20-2115-OP-2</v>
      </c>
      <c r="N6" s="448"/>
    </row>
    <row r="7" spans="2:15" ht="24.95" customHeight="1">
      <c r="B7" s="428" t="s">
        <v>126</v>
      </c>
      <c r="C7" s="429"/>
      <c r="D7" s="429"/>
      <c r="E7" s="429"/>
      <c r="F7" s="460" t="str">
        <f>'BD Team'!E2</f>
        <v>Mr. Peeyush Jain</v>
      </c>
      <c r="G7" s="460"/>
      <c r="H7" s="460"/>
      <c r="I7" s="460"/>
      <c r="J7" s="461"/>
      <c r="K7" s="437" t="s">
        <v>104</v>
      </c>
      <c r="L7" s="429"/>
      <c r="M7" s="434">
        <f>'BD Team'!J3</f>
        <v>43664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Bangalore</v>
      </c>
      <c r="G8" s="462" t="s">
        <v>180</v>
      </c>
      <c r="H8" s="463"/>
      <c r="I8" s="460" t="str">
        <f>'BD Team'!G3</f>
        <v>1.5Kpa</v>
      </c>
      <c r="J8" s="461"/>
      <c r="K8" s="437" t="s">
        <v>105</v>
      </c>
      <c r="L8" s="429"/>
      <c r="M8" s="178" t="s">
        <v>364</v>
      </c>
      <c r="N8" s="179">
        <v>43664</v>
      </c>
    </row>
    <row r="9" spans="2:15" ht="24.95" customHeight="1">
      <c r="B9" s="428" t="s">
        <v>169</v>
      </c>
      <c r="C9" s="429"/>
      <c r="D9" s="429"/>
      <c r="E9" s="429"/>
      <c r="F9" s="460" t="str">
        <f>'BD Team'!E4</f>
        <v>Mr. Prasanth : 9591855724</v>
      </c>
      <c r="G9" s="460"/>
      <c r="H9" s="460"/>
      <c r="I9" s="460"/>
      <c r="J9" s="461"/>
      <c r="K9" s="437" t="s">
        <v>179</v>
      </c>
      <c r="L9" s="429"/>
      <c r="M9" s="449" t="str">
        <f>'BD Team'!J4</f>
        <v>Bal Kumari</v>
      </c>
      <c r="N9" s="450"/>
    </row>
    <row r="10" spans="2:15" ht="27.75" customHeight="1" thickBot="1">
      <c r="B10" s="430" t="s">
        <v>177</v>
      </c>
      <c r="C10" s="431"/>
      <c r="D10" s="431"/>
      <c r="E10" s="431"/>
      <c r="F10" s="217" t="str">
        <f>'BD Team'!E5</f>
        <v>Wood Effect</v>
      </c>
      <c r="G10" s="442" t="s">
        <v>178</v>
      </c>
      <c r="H10" s="443"/>
      <c r="I10" s="440" t="str">
        <f>'BD Team'!G5</f>
        <v>Black</v>
      </c>
      <c r="J10" s="441"/>
      <c r="K10" s="438" t="s">
        <v>374</v>
      </c>
      <c r="L10" s="439"/>
      <c r="M10" s="432">
        <f>'BD Team'!J5</f>
        <v>0</v>
      </c>
      <c r="N10" s="433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170</v>
      </c>
      <c r="C13" s="465"/>
      <c r="D13" s="436" t="s">
        <v>171</v>
      </c>
      <c r="E13" s="436" t="s">
        <v>172</v>
      </c>
      <c r="F13" s="436" t="s">
        <v>37</v>
      </c>
      <c r="G13" s="418" t="s">
        <v>63</v>
      </c>
      <c r="H13" s="418" t="s">
        <v>210</v>
      </c>
      <c r="I13" s="418" t="s">
        <v>209</v>
      </c>
      <c r="J13" s="466" t="s">
        <v>173</v>
      </c>
      <c r="K13" s="466" t="s">
        <v>174</v>
      </c>
      <c r="L13" s="465" t="s">
        <v>211</v>
      </c>
      <c r="M13" s="466" t="s">
        <v>175</v>
      </c>
      <c r="N13" s="467" t="s">
        <v>176</v>
      </c>
    </row>
    <row r="14" spans="2:15" s="94" customFormat="1" ht="18" customHeight="1" thickTop="1" thickBot="1">
      <c r="B14" s="464"/>
      <c r="C14" s="465"/>
      <c r="D14" s="436"/>
      <c r="E14" s="436"/>
      <c r="F14" s="436"/>
      <c r="G14" s="418"/>
      <c r="H14" s="418"/>
      <c r="I14" s="418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6"/>
      <c r="E15" s="436"/>
      <c r="F15" s="436"/>
      <c r="G15" s="418"/>
      <c r="H15" s="418"/>
      <c r="I15" s="418"/>
      <c r="J15" s="466"/>
      <c r="K15" s="466"/>
      <c r="L15" s="465"/>
      <c r="M15" s="466"/>
      <c r="N15" s="467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SW1</v>
      </c>
      <c r="E16" s="187" t="str">
        <f>Pricing!C4</f>
        <v>M14600</v>
      </c>
      <c r="F16" s="187" t="str">
        <f>Pricing!D4</f>
        <v>3 TRACK 2 SHUTTER SLIDING DOOR</v>
      </c>
      <c r="G16" s="187" t="str">
        <f>Pricing!N4</f>
        <v>24MM</v>
      </c>
      <c r="H16" s="187" t="str">
        <f>Pricing!F4</f>
        <v>DINING</v>
      </c>
      <c r="I16" s="216" t="str">
        <f>Pricing!E4</f>
        <v>SS</v>
      </c>
      <c r="J16" s="216">
        <f>Pricing!G4</f>
        <v>3658</v>
      </c>
      <c r="K16" s="216">
        <f>Pricing!H4</f>
        <v>2438</v>
      </c>
      <c r="L16" s="216">
        <f>Pricing!I4</f>
        <v>1</v>
      </c>
      <c r="M16" s="188">
        <f t="shared" ref="M16:M24" si="0">J16*K16*L16/1000000</f>
        <v>8.9182039999999994</v>
      </c>
      <c r="N16" s="189">
        <f>'Cost Calculation'!AS8</f>
        <v>204534.83031499526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SW2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24MM</v>
      </c>
      <c r="H17" s="187" t="str">
        <f>Pricing!F5</f>
        <v>UTILITY</v>
      </c>
      <c r="I17" s="216" t="str">
        <f>Pricing!E5</f>
        <v>SS</v>
      </c>
      <c r="J17" s="216">
        <f>Pricing!G5</f>
        <v>1524</v>
      </c>
      <c r="K17" s="216">
        <f>Pricing!H5</f>
        <v>1372</v>
      </c>
      <c r="L17" s="216">
        <f>Pricing!I5</f>
        <v>1</v>
      </c>
      <c r="M17" s="188">
        <f t="shared" si="0"/>
        <v>2.0909279999999999</v>
      </c>
      <c r="N17" s="189">
        <f>'Cost Calculation'!AS9</f>
        <v>93588.04717898005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SW3</v>
      </c>
      <c r="E18" s="187" t="str">
        <f>Pricing!C6</f>
        <v>M14600</v>
      </c>
      <c r="F18" s="187" t="str">
        <f>Pricing!D6</f>
        <v>3 TRACK 2 SHUTTER SLIDING WINDOW WITH BOTH ENDS FIXED</v>
      </c>
      <c r="G18" s="187" t="str">
        <f>Pricing!N6</f>
        <v>24MM</v>
      </c>
      <c r="H18" s="187" t="str">
        <f>Pricing!F6</f>
        <v>GRANDMOTHER ROOM</v>
      </c>
      <c r="I18" s="216" t="str">
        <f>Pricing!E6</f>
        <v>SS</v>
      </c>
      <c r="J18" s="216">
        <f>Pricing!G6</f>
        <v>4521</v>
      </c>
      <c r="K18" s="216">
        <f>Pricing!H6</f>
        <v>1676</v>
      </c>
      <c r="L18" s="216">
        <f>Pricing!I6</f>
        <v>1</v>
      </c>
      <c r="M18" s="188">
        <f t="shared" si="0"/>
        <v>7.5771959999999998</v>
      </c>
      <c r="N18" s="189">
        <f>'Cost Calculation'!AS10</f>
        <v>203170.60072956324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SW4</v>
      </c>
      <c r="E19" s="187" t="str">
        <f>Pricing!C7</f>
        <v>M14600</v>
      </c>
      <c r="F19" s="187" t="str">
        <f>Pricing!D7</f>
        <v>3 TRACK 2 SHUTTER SLIDING WINDOW</v>
      </c>
      <c r="G19" s="187" t="str">
        <f>Pricing!N7</f>
        <v>24MM</v>
      </c>
      <c r="H19" s="187" t="str">
        <f>Pricing!F7</f>
        <v>NA</v>
      </c>
      <c r="I19" s="216" t="str">
        <f>Pricing!E7</f>
        <v>SS</v>
      </c>
      <c r="J19" s="216">
        <f>Pricing!G7</f>
        <v>1524</v>
      </c>
      <c r="K19" s="216">
        <f>Pricing!H7</f>
        <v>1372</v>
      </c>
      <c r="L19" s="216">
        <f>Pricing!I7</f>
        <v>1</v>
      </c>
      <c r="M19" s="188">
        <f t="shared" si="0"/>
        <v>2.0909279999999999</v>
      </c>
      <c r="N19" s="189">
        <f>'Cost Calculation'!AS11</f>
        <v>93588.04717898005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SD1</v>
      </c>
      <c r="E20" s="187" t="str">
        <f>Pricing!C8</f>
        <v>M14600</v>
      </c>
      <c r="F20" s="187" t="str">
        <f>Pricing!D8</f>
        <v>3 TRACK 2 SHUTTER SLIDING DOOR WITH BOTH ENDS FIXED</v>
      </c>
      <c r="G20" s="187" t="str">
        <f>Pricing!N8</f>
        <v>24MM</v>
      </c>
      <c r="H20" s="187" t="str">
        <f>Pricing!F8</f>
        <v>FORMAL LIVING ROOM</v>
      </c>
      <c r="I20" s="216" t="str">
        <f>Pricing!E8</f>
        <v>SS</v>
      </c>
      <c r="J20" s="216">
        <f>Pricing!G8</f>
        <v>5486</v>
      </c>
      <c r="K20" s="216">
        <f>Pricing!H8</f>
        <v>2438</v>
      </c>
      <c r="L20" s="216">
        <f>Pricing!I8</f>
        <v>1</v>
      </c>
      <c r="M20" s="188">
        <f t="shared" si="0"/>
        <v>13.374867999999999</v>
      </c>
      <c r="N20" s="189">
        <f>'Cost Calculation'!AS12</f>
        <v>282547.89435353316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SD2</v>
      </c>
      <c r="E21" s="187" t="str">
        <f>Pricing!C9</f>
        <v>M14600</v>
      </c>
      <c r="F21" s="187" t="str">
        <f>Pricing!D9</f>
        <v>3 TRACK 2 SHUTTER SLIDING DOOR</v>
      </c>
      <c r="G21" s="187" t="str">
        <f>Pricing!N9</f>
        <v>24MM</v>
      </c>
      <c r="H21" s="187" t="str">
        <f>Pricing!F9</f>
        <v>VARIES</v>
      </c>
      <c r="I21" s="216" t="str">
        <f>Pricing!E9</f>
        <v>SS</v>
      </c>
      <c r="J21" s="216">
        <f>Pricing!G9</f>
        <v>3658</v>
      </c>
      <c r="K21" s="216">
        <f>Pricing!H9</f>
        <v>2438</v>
      </c>
      <c r="L21" s="216">
        <f>Pricing!I9</f>
        <v>1</v>
      </c>
      <c r="M21" s="188">
        <f t="shared" si="0"/>
        <v>8.9182039999999994</v>
      </c>
      <c r="N21" s="189">
        <f>'Cost Calculation'!AS13</f>
        <v>204534.83031499526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SD3 PART 1</v>
      </c>
      <c r="E22" s="187" t="str">
        <f>Pricing!C10</f>
        <v>M7</v>
      </c>
      <c r="F22" s="187" t="str">
        <f>Pricing!D10</f>
        <v>CURTAIN WALL WITH SHAPE</v>
      </c>
      <c r="G22" s="187" t="str">
        <f>Pricing!N10</f>
        <v>24MM</v>
      </c>
      <c r="H22" s="187" t="str">
        <f>Pricing!F10</f>
        <v>HOME THEATER</v>
      </c>
      <c r="I22" s="216" t="str">
        <f>Pricing!E10</f>
        <v>NO</v>
      </c>
      <c r="J22" s="216">
        <f>Pricing!G10</f>
        <v>7061</v>
      </c>
      <c r="K22" s="216">
        <f>Pricing!H10</f>
        <v>5690</v>
      </c>
      <c r="L22" s="216">
        <f>Pricing!I10</f>
        <v>1</v>
      </c>
      <c r="M22" s="188">
        <f t="shared" si="0"/>
        <v>40.17709</v>
      </c>
      <c r="N22" s="189">
        <f>'Cost Calculation'!AS14</f>
        <v>515856.89215624961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SD3 PART 2</v>
      </c>
      <c r="E23" s="187" t="str">
        <f>Pricing!C11</f>
        <v>M14600</v>
      </c>
      <c r="F23" s="187" t="str">
        <f>Pricing!D11</f>
        <v>3 TRACK 2 SHUTTER SLIDING DOOR</v>
      </c>
      <c r="G23" s="187" t="str">
        <f>Pricing!N11</f>
        <v>24MM</v>
      </c>
      <c r="H23" s="187" t="str">
        <f>Pricing!F11</f>
        <v>HOME THEATER</v>
      </c>
      <c r="I23" s="216" t="str">
        <f>Pricing!E11</f>
        <v>SS</v>
      </c>
      <c r="J23" s="216">
        <f>Pricing!G11</f>
        <v>3607</v>
      </c>
      <c r="K23" s="216">
        <f>Pricing!H11</f>
        <v>2412</v>
      </c>
      <c r="L23" s="216">
        <f>Pricing!I11</f>
        <v>1</v>
      </c>
      <c r="M23" s="188">
        <f t="shared" si="0"/>
        <v>8.7000840000000004</v>
      </c>
      <c r="N23" s="189">
        <f>'Cost Calculation'!AS15</f>
        <v>202773.81294960662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SD4</v>
      </c>
      <c r="E24" s="187" t="str">
        <f>Pricing!C12</f>
        <v>M14600</v>
      </c>
      <c r="F24" s="187" t="str">
        <f>Pricing!D12</f>
        <v>3 TRACK 2 SHUTTER SLIDING DOOR</v>
      </c>
      <c r="G24" s="187" t="str">
        <f>Pricing!N12</f>
        <v>24MM</v>
      </c>
      <c r="H24" s="187" t="str">
        <f>Pricing!F12</f>
        <v>COVERED TERRACE</v>
      </c>
      <c r="I24" s="216" t="str">
        <f>Pricing!E12</f>
        <v>SS</v>
      </c>
      <c r="J24" s="216">
        <f>Pricing!G12</f>
        <v>4064</v>
      </c>
      <c r="K24" s="216">
        <f>Pricing!H12</f>
        <v>2438</v>
      </c>
      <c r="L24" s="216">
        <f>Pricing!I12</f>
        <v>1</v>
      </c>
      <c r="M24" s="188">
        <f t="shared" si="0"/>
        <v>9.9080320000000004</v>
      </c>
      <c r="N24" s="189">
        <f>'Cost Calculation'!AS16</f>
        <v>217077.89005812857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SD5</v>
      </c>
      <c r="E25" s="187" t="str">
        <f>Pricing!C13</f>
        <v>M14600</v>
      </c>
      <c r="F25" s="187" t="str">
        <f>Pricing!D13</f>
        <v>3 TRACK 2 SHUTTER SLIDING DOOR</v>
      </c>
      <c r="G25" s="187" t="str">
        <f>Pricing!N13</f>
        <v>24MM</v>
      </c>
      <c r="H25" s="187" t="str">
        <f>Pricing!F13</f>
        <v>HOME THEATER</v>
      </c>
      <c r="I25" s="216" t="str">
        <f>Pricing!E13</f>
        <v>SS</v>
      </c>
      <c r="J25" s="216">
        <f>Pricing!G13</f>
        <v>2438</v>
      </c>
      <c r="K25" s="216">
        <f>Pricing!H13</f>
        <v>2438</v>
      </c>
      <c r="L25" s="216">
        <f>Pricing!I13</f>
        <v>1</v>
      </c>
      <c r="M25" s="188">
        <f t="shared" ref="M25:M42" si="1">J25*K25*L25/1000000</f>
        <v>5.9438440000000003</v>
      </c>
      <c r="N25" s="189">
        <f>'Cost Calculation'!AS17</f>
        <v>166840.61069259758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W1</v>
      </c>
      <c r="E26" s="187" t="str">
        <f>Pricing!C14</f>
        <v>M15000</v>
      </c>
      <c r="F26" s="187" t="str">
        <f>Pricing!D14</f>
        <v>FIXED GLASS</v>
      </c>
      <c r="G26" s="187" t="str">
        <f>Pricing!N14</f>
        <v>24MM</v>
      </c>
      <c r="H26" s="187" t="str">
        <f>Pricing!F14</f>
        <v>STAIRCASE LANDING</v>
      </c>
      <c r="I26" s="216" t="str">
        <f>Pricing!E14</f>
        <v>NO</v>
      </c>
      <c r="J26" s="216">
        <f>Pricing!G14</f>
        <v>1524</v>
      </c>
      <c r="K26" s="216">
        <f>Pricing!H14</f>
        <v>2134</v>
      </c>
      <c r="L26" s="216">
        <f>Pricing!I14</f>
        <v>3</v>
      </c>
      <c r="M26" s="188">
        <f t="shared" si="1"/>
        <v>9.7566480000000002</v>
      </c>
      <c r="N26" s="189">
        <f>'Cost Calculation'!AS18</f>
        <v>108585.17919173236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W2</v>
      </c>
      <c r="E27" s="187" t="str">
        <f>Pricing!C15</f>
        <v>M15000</v>
      </c>
      <c r="F27" s="187" t="str">
        <f>Pricing!D15</f>
        <v>SIDE HUNG WINDOW</v>
      </c>
      <c r="G27" s="187" t="str">
        <f>Pricing!N15</f>
        <v>24MM</v>
      </c>
      <c r="H27" s="187" t="str">
        <f>Pricing!F15</f>
        <v>STAIRCASE PASSAGE</v>
      </c>
      <c r="I27" s="216" t="str">
        <f>Pricing!E15</f>
        <v>RETRACTABLE</v>
      </c>
      <c r="J27" s="216">
        <f>Pricing!G15</f>
        <v>711</v>
      </c>
      <c r="K27" s="216">
        <f>Pricing!H15</f>
        <v>1676</v>
      </c>
      <c r="L27" s="216">
        <f>Pricing!I15</f>
        <v>2</v>
      </c>
      <c r="M27" s="188">
        <f t="shared" si="1"/>
        <v>2.3832719999999998</v>
      </c>
      <c r="N27" s="189">
        <f>'Cost Calculation'!AS19</f>
        <v>129579.72515876815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W3</v>
      </c>
      <c r="E28" s="187" t="str">
        <f>Pricing!C16</f>
        <v>M15000</v>
      </c>
      <c r="F28" s="187" t="str">
        <f>Pricing!D16</f>
        <v>FRENCH CASEMENT WINDOW</v>
      </c>
      <c r="G28" s="187" t="str">
        <f>Pricing!N16</f>
        <v>24MM</v>
      </c>
      <c r="H28" s="187" t="str">
        <f>Pricing!F16</f>
        <v>NORMATHAS OFFICE</v>
      </c>
      <c r="I28" s="216" t="str">
        <f>Pricing!E16</f>
        <v>RETRACTABLE</v>
      </c>
      <c r="J28" s="216">
        <f>Pricing!G16</f>
        <v>1321</v>
      </c>
      <c r="K28" s="216">
        <f>Pricing!H16</f>
        <v>1676</v>
      </c>
      <c r="L28" s="216">
        <f>Pricing!I16</f>
        <v>1</v>
      </c>
      <c r="M28" s="188">
        <f t="shared" si="1"/>
        <v>2.2139959999999999</v>
      </c>
      <c r="N28" s="189">
        <f>'Cost Calculation'!AS20</f>
        <v>111860.07225179214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W4</v>
      </c>
      <c r="E29" s="187" t="str">
        <f>Pricing!C17</f>
        <v>M15000</v>
      </c>
      <c r="F29" s="187" t="str">
        <f>Pricing!D17</f>
        <v>FRENCH CASEMENT WINDOW</v>
      </c>
      <c r="G29" s="187" t="str">
        <f>Pricing!N17</f>
        <v>24MM</v>
      </c>
      <c r="H29" s="187" t="str">
        <f>Pricing!F17</f>
        <v>CORRIDOR 2</v>
      </c>
      <c r="I29" s="216" t="str">
        <f>Pricing!E17</f>
        <v>RETRACTABLE</v>
      </c>
      <c r="J29" s="216">
        <f>Pricing!G17</f>
        <v>1930</v>
      </c>
      <c r="K29" s="216">
        <f>Pricing!H17</f>
        <v>1981</v>
      </c>
      <c r="L29" s="216">
        <f>Pricing!I17</f>
        <v>1</v>
      </c>
      <c r="M29" s="188">
        <f t="shared" si="1"/>
        <v>3.8233299999999999</v>
      </c>
      <c r="N29" s="189">
        <f>'Cost Calculation'!AS21</f>
        <v>150488.62414117315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W5</v>
      </c>
      <c r="E30" s="187" t="str">
        <f>Pricing!C18</f>
        <v>M15000</v>
      </c>
      <c r="F30" s="187" t="str">
        <f>Pricing!D18</f>
        <v>FRENCH CASEMENT WINDOW WITH FIXED GLASS</v>
      </c>
      <c r="G30" s="187" t="str">
        <f>Pricing!N18</f>
        <v>24MM</v>
      </c>
      <c r="H30" s="187" t="str">
        <f>Pricing!F18</f>
        <v>KITCHEN</v>
      </c>
      <c r="I30" s="216" t="str">
        <f>Pricing!E18</f>
        <v>RETRACTABLE</v>
      </c>
      <c r="J30" s="216">
        <f>Pricing!G18</f>
        <v>3150</v>
      </c>
      <c r="K30" s="216">
        <f>Pricing!H18</f>
        <v>1372</v>
      </c>
      <c r="L30" s="216">
        <f>Pricing!I18</f>
        <v>1</v>
      </c>
      <c r="M30" s="188">
        <f t="shared" si="1"/>
        <v>4.3217999999999996</v>
      </c>
      <c r="N30" s="189">
        <f>'Cost Calculation'!AS22</f>
        <v>150939.48137967888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7" t="str">
        <f>Pricing!B19</f>
        <v>W6</v>
      </c>
      <c r="E31" s="187" t="str">
        <f>Pricing!C19</f>
        <v>M15000</v>
      </c>
      <c r="F31" s="187" t="str">
        <f>Pricing!D19</f>
        <v>FRENCH CASEMENT WINDOW WITH FIXED GLASS</v>
      </c>
      <c r="G31" s="187" t="str">
        <f>Pricing!N19</f>
        <v>24MM</v>
      </c>
      <c r="H31" s="187" t="str">
        <f>Pricing!F19</f>
        <v>GUEST ROOM</v>
      </c>
      <c r="I31" s="216" t="str">
        <f>Pricing!E19</f>
        <v>RETRACTABLE</v>
      </c>
      <c r="J31" s="216">
        <f>Pricing!G19</f>
        <v>3162</v>
      </c>
      <c r="K31" s="216">
        <f>Pricing!H19</f>
        <v>1676</v>
      </c>
      <c r="L31" s="216">
        <f>Pricing!I19</f>
        <v>1</v>
      </c>
      <c r="M31" s="188">
        <f t="shared" si="1"/>
        <v>5.299512</v>
      </c>
      <c r="N31" s="189">
        <f>'Cost Calculation'!AS23</f>
        <v>174243.07119945658</v>
      </c>
      <c r="O31" s="95"/>
    </row>
    <row r="32" spans="2:15" s="94" customFormat="1" ht="49.9" customHeight="1" thickTop="1" thickBot="1">
      <c r="B32" s="416">
        <f>Pricing!A20</f>
        <v>17</v>
      </c>
      <c r="C32" s="417"/>
      <c r="D32" s="187" t="str">
        <f>Pricing!B20</f>
        <v>W7</v>
      </c>
      <c r="E32" s="187" t="str">
        <f>Pricing!C20</f>
        <v>M15000</v>
      </c>
      <c r="F32" s="187" t="str">
        <f>Pricing!D20</f>
        <v>2 SIDE HUNG WINDOWS WITH CENTER FIXED</v>
      </c>
      <c r="G32" s="187" t="str">
        <f>Pricing!N20</f>
        <v>24MM</v>
      </c>
      <c r="H32" s="187" t="str">
        <f>Pricing!F20</f>
        <v>VARIES</v>
      </c>
      <c r="I32" s="216" t="str">
        <f>Pricing!E20</f>
        <v>RETRACTABLE</v>
      </c>
      <c r="J32" s="216">
        <f>Pricing!G20</f>
        <v>3073</v>
      </c>
      <c r="K32" s="216">
        <f>Pricing!H20</f>
        <v>1676</v>
      </c>
      <c r="L32" s="216">
        <f>Pricing!I20</f>
        <v>2</v>
      </c>
      <c r="M32" s="188">
        <f t="shared" si="1"/>
        <v>10.300696</v>
      </c>
      <c r="N32" s="189">
        <f>'Cost Calculation'!AS24</f>
        <v>377627.51287381648</v>
      </c>
      <c r="O32" s="95"/>
    </row>
    <row r="33" spans="2:15" s="94" customFormat="1" ht="49.9" customHeight="1" thickTop="1" thickBot="1">
      <c r="B33" s="416">
        <f>Pricing!A21</f>
        <v>18</v>
      </c>
      <c r="C33" s="417"/>
      <c r="D33" s="187" t="str">
        <f>Pricing!B21</f>
        <v>W8</v>
      </c>
      <c r="E33" s="187" t="str">
        <f>Pricing!C21</f>
        <v>M15000</v>
      </c>
      <c r="F33" s="187" t="str">
        <f>Pricing!D21</f>
        <v>FIXED GLASS 4 NO'S</v>
      </c>
      <c r="G33" s="187" t="str">
        <f>Pricing!N21</f>
        <v>24MM</v>
      </c>
      <c r="H33" s="187" t="str">
        <f>Pricing!F21</f>
        <v>PEEYUSH JAIN'S OFFICE</v>
      </c>
      <c r="I33" s="216" t="str">
        <f>Pricing!E21</f>
        <v>NO</v>
      </c>
      <c r="J33" s="216">
        <f>Pricing!G21</f>
        <v>2833</v>
      </c>
      <c r="K33" s="216">
        <f>Pricing!H21</f>
        <v>2438</v>
      </c>
      <c r="L33" s="216">
        <f>Pricing!I21</f>
        <v>1</v>
      </c>
      <c r="M33" s="188">
        <f t="shared" si="1"/>
        <v>6.906854</v>
      </c>
      <c r="N33" s="189">
        <f>'Cost Calculation'!AS25</f>
        <v>95837.534527835844</v>
      </c>
      <c r="O33" s="95"/>
    </row>
    <row r="34" spans="2:15" s="94" customFormat="1" ht="49.9" customHeight="1" thickTop="1" thickBot="1">
      <c r="B34" s="416">
        <f>Pricing!A22</f>
        <v>19</v>
      </c>
      <c r="C34" s="417"/>
      <c r="D34" s="187" t="str">
        <f>Pricing!B22</f>
        <v>W9</v>
      </c>
      <c r="E34" s="187" t="str">
        <f>Pricing!C22</f>
        <v>M15000</v>
      </c>
      <c r="F34" s="187" t="str">
        <f>Pricing!D22</f>
        <v>FIXED GLASS 3 NO'S WITH DOOR</v>
      </c>
      <c r="G34" s="187" t="str">
        <f>Pricing!N22</f>
        <v>24MM</v>
      </c>
      <c r="H34" s="187" t="str">
        <f>Pricing!F22</f>
        <v>NORMATHAS OFFICE</v>
      </c>
      <c r="I34" s="216" t="str">
        <f>Pricing!E22</f>
        <v>RETRACTABLE</v>
      </c>
      <c r="J34" s="216">
        <f>Pricing!G22</f>
        <v>2438</v>
      </c>
      <c r="K34" s="216">
        <f>Pricing!H22</f>
        <v>2438</v>
      </c>
      <c r="L34" s="216">
        <f>Pricing!I22</f>
        <v>1</v>
      </c>
      <c r="M34" s="188">
        <f t="shared" si="1"/>
        <v>5.9438440000000003</v>
      </c>
      <c r="N34" s="189">
        <f>'Cost Calculation'!AS26</f>
        <v>189669.78132170741</v>
      </c>
      <c r="O34" s="95"/>
    </row>
    <row r="35" spans="2:15" s="94" customFormat="1" ht="49.9" customHeight="1" thickTop="1" thickBot="1">
      <c r="B35" s="416">
        <f>Pricing!A23</f>
        <v>20</v>
      </c>
      <c r="C35" s="417"/>
      <c r="D35" s="187" t="str">
        <f>Pricing!B23</f>
        <v>W10</v>
      </c>
      <c r="E35" s="187" t="str">
        <f>Pricing!C23</f>
        <v>M15000</v>
      </c>
      <c r="F35" s="187" t="str">
        <f>Pricing!D23</f>
        <v>2 FRENCH CASEMENT WINDOW</v>
      </c>
      <c r="G35" s="187" t="str">
        <f>Pricing!N23</f>
        <v>24MM</v>
      </c>
      <c r="H35" s="187" t="str">
        <f>Pricing!F23</f>
        <v>FAMILY ROOM</v>
      </c>
      <c r="I35" s="216" t="str">
        <f>Pricing!E23</f>
        <v>RETRACTABLE</v>
      </c>
      <c r="J35" s="216">
        <f>Pricing!G23</f>
        <v>2235</v>
      </c>
      <c r="K35" s="216">
        <f>Pricing!H23</f>
        <v>1372</v>
      </c>
      <c r="L35" s="216">
        <f>Pricing!I23</f>
        <v>1</v>
      </c>
      <c r="M35" s="188">
        <f t="shared" si="1"/>
        <v>3.0664199999999999</v>
      </c>
      <c r="N35" s="189">
        <f>'Cost Calculation'!AS27</f>
        <v>191810.93559248702</v>
      </c>
      <c r="O35" s="95"/>
    </row>
    <row r="36" spans="2:15" s="94" customFormat="1" ht="49.9" customHeight="1" thickTop="1" thickBot="1">
      <c r="B36" s="416">
        <f>Pricing!A24</f>
        <v>21</v>
      </c>
      <c r="C36" s="417"/>
      <c r="D36" s="187" t="str">
        <f>Pricing!B24</f>
        <v>W11</v>
      </c>
      <c r="E36" s="187" t="str">
        <f>Pricing!C24</f>
        <v>M15000</v>
      </c>
      <c r="F36" s="187" t="str">
        <f>Pricing!D24</f>
        <v>FRNCH CASEMENT WINDOW WITH FIXED GALSS</v>
      </c>
      <c r="G36" s="187" t="str">
        <f>Pricing!N24</f>
        <v>24MM</v>
      </c>
      <c r="H36" s="187" t="str">
        <f>Pricing!F24</f>
        <v>SUITE BEDROOM</v>
      </c>
      <c r="I36" s="216" t="str">
        <f>Pricing!E24</f>
        <v>RETRACTABLE</v>
      </c>
      <c r="J36" s="216">
        <f>Pricing!G24</f>
        <v>2845</v>
      </c>
      <c r="K36" s="216">
        <f>Pricing!H24</f>
        <v>1372</v>
      </c>
      <c r="L36" s="216">
        <f>Pricing!I24</f>
        <v>2</v>
      </c>
      <c r="M36" s="188">
        <f t="shared" si="1"/>
        <v>7.8066800000000001</v>
      </c>
      <c r="N36" s="189">
        <f>'Cost Calculation'!AS28</f>
        <v>245874.13110727511</v>
      </c>
      <c r="O36" s="95"/>
    </row>
    <row r="37" spans="2:15" s="94" customFormat="1" ht="49.9" customHeight="1" thickTop="1" thickBot="1">
      <c r="B37" s="416">
        <f>Pricing!A25</f>
        <v>22</v>
      </c>
      <c r="C37" s="417"/>
      <c r="D37" s="187" t="str">
        <f>Pricing!B25</f>
        <v>W12</v>
      </c>
      <c r="E37" s="187" t="str">
        <f>Pricing!C25</f>
        <v>M15000</v>
      </c>
      <c r="F37" s="187" t="str">
        <f>Pricing!D25</f>
        <v>SIDE HUNG WINDOW</v>
      </c>
      <c r="G37" s="187" t="str">
        <f>Pricing!N25</f>
        <v>24MM</v>
      </c>
      <c r="H37" s="187" t="str">
        <f>Pricing!F25</f>
        <v>VARIES</v>
      </c>
      <c r="I37" s="216" t="str">
        <f>Pricing!E25</f>
        <v>RETRACTABLE</v>
      </c>
      <c r="J37" s="216">
        <f>Pricing!G25</f>
        <v>711</v>
      </c>
      <c r="K37" s="216">
        <f>Pricing!H25</f>
        <v>1372</v>
      </c>
      <c r="L37" s="216">
        <f>Pricing!I25</f>
        <v>4</v>
      </c>
      <c r="M37" s="188">
        <f t="shared" si="1"/>
        <v>3.9019680000000001</v>
      </c>
      <c r="N37" s="189">
        <f>'Cost Calculation'!AS29</f>
        <v>227171.79409206854</v>
      </c>
      <c r="O37" s="95"/>
    </row>
    <row r="38" spans="2:15" s="94" customFormat="1" ht="49.9" customHeight="1" thickTop="1" thickBot="1">
      <c r="B38" s="416">
        <f>Pricing!A26</f>
        <v>23</v>
      </c>
      <c r="C38" s="417"/>
      <c r="D38" s="187" t="str">
        <f>Pricing!B26</f>
        <v>W13</v>
      </c>
      <c r="E38" s="187" t="str">
        <f>Pricing!C26</f>
        <v>M15000</v>
      </c>
      <c r="F38" s="187" t="str">
        <f>Pricing!D26</f>
        <v>2 SIDE HUNG WINDOWS WITH CENTER FIXED</v>
      </c>
      <c r="G38" s="187" t="str">
        <f>Pricing!N26</f>
        <v>24MM</v>
      </c>
      <c r="H38" s="187" t="str">
        <f>Pricing!F26</f>
        <v>VARIES</v>
      </c>
      <c r="I38" s="216" t="str">
        <f>Pricing!E26</f>
        <v>RETRACTABLE</v>
      </c>
      <c r="J38" s="216">
        <f>Pricing!G26</f>
        <v>3251</v>
      </c>
      <c r="K38" s="216">
        <f>Pricing!H26</f>
        <v>1676</v>
      </c>
      <c r="L38" s="216">
        <f>Pricing!I26</f>
        <v>2</v>
      </c>
      <c r="M38" s="188">
        <f t="shared" si="1"/>
        <v>10.897352</v>
      </c>
      <c r="N38" s="189">
        <f>'Cost Calculation'!AS30</f>
        <v>388798.08155466925</v>
      </c>
      <c r="O38" s="95"/>
    </row>
    <row r="39" spans="2:15" s="94" customFormat="1" ht="49.9" customHeight="1" thickTop="1" thickBot="1">
      <c r="B39" s="416">
        <f>Pricing!A27</f>
        <v>24</v>
      </c>
      <c r="C39" s="417"/>
      <c r="D39" s="187" t="str">
        <f>Pricing!B27</f>
        <v>W14</v>
      </c>
      <c r="E39" s="187" t="str">
        <f>Pricing!C27</f>
        <v>M15000</v>
      </c>
      <c r="F39" s="187" t="str">
        <f>Pricing!D27</f>
        <v>FRENCH CASEMENT WINDWO</v>
      </c>
      <c r="G39" s="187" t="str">
        <f>Pricing!N27</f>
        <v>24MM</v>
      </c>
      <c r="H39" s="187" t="str">
        <f>Pricing!F27</f>
        <v>VARIES</v>
      </c>
      <c r="I39" s="216" t="str">
        <f>Pricing!E27</f>
        <v>RETRACTABLE</v>
      </c>
      <c r="J39" s="216">
        <f>Pricing!G27</f>
        <v>1321</v>
      </c>
      <c r="K39" s="216">
        <f>Pricing!H27</f>
        <v>1676</v>
      </c>
      <c r="L39" s="216">
        <f>Pricing!I27</f>
        <v>2</v>
      </c>
      <c r="M39" s="188">
        <f t="shared" si="1"/>
        <v>4.4279919999999997</v>
      </c>
      <c r="N39" s="189">
        <f>'Cost Calculation'!AS31</f>
        <v>223720.14450358428</v>
      </c>
      <c r="O39" s="95"/>
    </row>
    <row r="40" spans="2:15" s="94" customFormat="1" ht="49.9" customHeight="1" thickTop="1" thickBot="1">
      <c r="B40" s="416">
        <f>Pricing!A28</f>
        <v>25</v>
      </c>
      <c r="C40" s="417"/>
      <c r="D40" s="187" t="str">
        <f>Pricing!B28</f>
        <v>V1</v>
      </c>
      <c r="E40" s="187" t="str">
        <f>Pricing!C28</f>
        <v>-</v>
      </c>
      <c r="F40" s="187" t="str">
        <f>Pricing!D28</f>
        <v>GLASS LOUVERS</v>
      </c>
      <c r="G40" s="187" t="str">
        <f>Pricing!N28</f>
        <v>6MM (A)</v>
      </c>
      <c r="H40" s="187" t="str">
        <f>Pricing!F28</f>
        <v>WORK STATION</v>
      </c>
      <c r="I40" s="216" t="str">
        <f>Pricing!E28</f>
        <v>RETRACTABLE</v>
      </c>
      <c r="J40" s="216">
        <f>Pricing!G28</f>
        <v>2350</v>
      </c>
      <c r="K40" s="216">
        <f>Pricing!H28</f>
        <v>610</v>
      </c>
      <c r="L40" s="216">
        <f>Pricing!I28</f>
        <v>1</v>
      </c>
      <c r="M40" s="188">
        <f t="shared" si="1"/>
        <v>1.4335</v>
      </c>
      <c r="N40" s="189">
        <f>'Cost Calculation'!AS32</f>
        <v>38509.235645302528</v>
      </c>
      <c r="O40" s="95"/>
    </row>
    <row r="41" spans="2:15" s="94" customFormat="1" ht="49.9" customHeight="1" thickTop="1" thickBot="1">
      <c r="B41" s="416">
        <f>Pricing!A29</f>
        <v>26</v>
      </c>
      <c r="C41" s="417"/>
      <c r="D41" s="187" t="str">
        <f>Pricing!B29</f>
        <v>V1A</v>
      </c>
      <c r="E41" s="187" t="str">
        <f>Pricing!C29</f>
        <v>-</v>
      </c>
      <c r="F41" s="187" t="str">
        <f>Pricing!D29</f>
        <v>GLASS LOUVERS</v>
      </c>
      <c r="G41" s="187" t="str">
        <f>Pricing!N29</f>
        <v>6MM (A)</v>
      </c>
      <c r="H41" s="187" t="str">
        <f>Pricing!F29</f>
        <v>NA</v>
      </c>
      <c r="I41" s="216" t="str">
        <f>Pricing!E29</f>
        <v>RETRACTABLE</v>
      </c>
      <c r="J41" s="216">
        <f>Pricing!G29</f>
        <v>2121</v>
      </c>
      <c r="K41" s="216">
        <f>Pricing!H29</f>
        <v>610</v>
      </c>
      <c r="L41" s="216">
        <f>Pricing!I29</f>
        <v>1</v>
      </c>
      <c r="M41" s="188">
        <f t="shared" si="1"/>
        <v>1.2938099999999999</v>
      </c>
      <c r="N41" s="189">
        <f>'Cost Calculation'!AS33</f>
        <v>34903.832472675975</v>
      </c>
      <c r="O41" s="95"/>
    </row>
    <row r="42" spans="2:15" s="94" customFormat="1" ht="49.9" customHeight="1" thickTop="1" thickBot="1">
      <c r="B42" s="416">
        <f>Pricing!A30</f>
        <v>27</v>
      </c>
      <c r="C42" s="417"/>
      <c r="D42" s="187" t="str">
        <f>Pricing!B30</f>
        <v>V2</v>
      </c>
      <c r="E42" s="187" t="str">
        <f>Pricing!C30</f>
        <v>-</v>
      </c>
      <c r="F42" s="187" t="str">
        <f>Pricing!D30</f>
        <v>GLASS LOUVERS</v>
      </c>
      <c r="G42" s="187" t="str">
        <f>Pricing!N30</f>
        <v>6MM (A)</v>
      </c>
      <c r="H42" s="187" t="str">
        <f>Pricing!F30</f>
        <v>SERVANTS WC</v>
      </c>
      <c r="I42" s="216" t="str">
        <f>Pricing!E30</f>
        <v>RETRACTABLE</v>
      </c>
      <c r="J42" s="216">
        <f>Pricing!G30</f>
        <v>610</v>
      </c>
      <c r="K42" s="216">
        <f>Pricing!H30</f>
        <v>610</v>
      </c>
      <c r="L42" s="216">
        <f>Pricing!I30</f>
        <v>1</v>
      </c>
      <c r="M42" s="188">
        <f t="shared" si="1"/>
        <v>0.37209999999999999</v>
      </c>
      <c r="N42" s="189">
        <f>'Cost Calculation'!AS34</f>
        <v>11109.801451451287</v>
      </c>
      <c r="O42" s="95"/>
    </row>
    <row r="43" spans="2:15" s="94" customFormat="1" ht="49.9" customHeight="1" thickTop="1" thickBot="1">
      <c r="B43" s="416">
        <f>Pricing!A31</f>
        <v>28</v>
      </c>
      <c r="C43" s="417"/>
      <c r="D43" s="187" t="str">
        <f>Pricing!B31</f>
        <v>V3</v>
      </c>
      <c r="E43" s="187" t="str">
        <f>Pricing!C31</f>
        <v>-</v>
      </c>
      <c r="F43" s="187" t="str">
        <f>Pricing!D31</f>
        <v>GLASS LOUVERS</v>
      </c>
      <c r="G43" s="187" t="str">
        <f>Pricing!N31</f>
        <v>6MM (A)</v>
      </c>
      <c r="H43" s="187" t="str">
        <f>Pricing!F31</f>
        <v>SERVANTS WC</v>
      </c>
      <c r="I43" s="216" t="str">
        <f>Pricing!E31</f>
        <v>RETRACTABLE</v>
      </c>
      <c r="J43" s="216">
        <f>Pricing!G31</f>
        <v>1334</v>
      </c>
      <c r="K43" s="216">
        <f>Pricing!H31</f>
        <v>610</v>
      </c>
      <c r="L43" s="216">
        <f>Pricing!I31</f>
        <v>1</v>
      </c>
      <c r="M43" s="188">
        <f t="shared" ref="M43:M92" si="2">J43*K43*L43/1000000</f>
        <v>0.81374000000000002</v>
      </c>
      <c r="N43" s="189">
        <f>'Cost Calculation'!AS35</f>
        <v>22510.215535238251</v>
      </c>
      <c r="O43" s="95"/>
    </row>
    <row r="44" spans="2:15" s="94" customFormat="1" ht="71.25" thickTop="1" thickBot="1">
      <c r="B44" s="416">
        <f>Pricing!A32</f>
        <v>29</v>
      </c>
      <c r="C44" s="417"/>
      <c r="D44" s="187" t="str">
        <f>Pricing!B32</f>
        <v>V4</v>
      </c>
      <c r="E44" s="187" t="str">
        <f>Pricing!C32</f>
        <v>M15000</v>
      </c>
      <c r="F44" s="187" t="str">
        <f>Pricing!D32</f>
        <v>2 SIDE HUNG WINDOWS WITH CENTER FIXED GLASS TO GLASS JOINT</v>
      </c>
      <c r="G44" s="187" t="str">
        <f>Pricing!N32</f>
        <v>6MM</v>
      </c>
      <c r="H44" s="187" t="str">
        <f>Pricing!F32</f>
        <v>WORK STATION</v>
      </c>
      <c r="I44" s="216" t="str">
        <f>Pricing!E32</f>
        <v>RETRACTABLE</v>
      </c>
      <c r="J44" s="216">
        <f>Pricing!G32</f>
        <v>4470</v>
      </c>
      <c r="K44" s="216">
        <f>Pricing!H32</f>
        <v>610</v>
      </c>
      <c r="L44" s="216">
        <f>Pricing!I32</f>
        <v>1</v>
      </c>
      <c r="M44" s="188">
        <f t="shared" si="2"/>
        <v>2.7267000000000001</v>
      </c>
      <c r="N44" s="189">
        <f>'Cost Calculation'!AS36</f>
        <v>130915.10854214401</v>
      </c>
      <c r="O44" s="95"/>
    </row>
    <row r="45" spans="2:15" s="94" customFormat="1" ht="49.9" customHeight="1" thickTop="1" thickBot="1">
      <c r="B45" s="416">
        <f>Pricing!A33</f>
        <v>30</v>
      </c>
      <c r="C45" s="417"/>
      <c r="D45" s="187" t="str">
        <f>Pricing!B33</f>
        <v>V5</v>
      </c>
      <c r="E45" s="187" t="str">
        <f>Pricing!C33</f>
        <v>M15000</v>
      </c>
      <c r="F45" s="187" t="str">
        <f>Pricing!D33</f>
        <v>SIDE HUNG WINDOW</v>
      </c>
      <c r="G45" s="187" t="str">
        <f>Pricing!N33</f>
        <v>24MM</v>
      </c>
      <c r="H45" s="187" t="str">
        <f>Pricing!F33</f>
        <v>VARIES</v>
      </c>
      <c r="I45" s="216" t="str">
        <f>Pricing!E33</f>
        <v>RETRACTABLE</v>
      </c>
      <c r="J45" s="216">
        <f>Pricing!G33</f>
        <v>914</v>
      </c>
      <c r="K45" s="216">
        <f>Pricing!H33</f>
        <v>914</v>
      </c>
      <c r="L45" s="216">
        <f>Pricing!I33</f>
        <v>7</v>
      </c>
      <c r="M45" s="188">
        <f t="shared" si="2"/>
        <v>5.847772</v>
      </c>
      <c r="N45" s="189">
        <f>'Cost Calculation'!AS37</f>
        <v>353247.40684192081</v>
      </c>
      <c r="O45" s="95"/>
    </row>
    <row r="46" spans="2:15" s="94" customFormat="1" ht="49.9" customHeight="1" thickTop="1" thickBot="1">
      <c r="B46" s="416">
        <f>Pricing!A34</f>
        <v>31</v>
      </c>
      <c r="C46" s="417"/>
      <c r="D46" s="187" t="str">
        <f>Pricing!B34</f>
        <v>V6</v>
      </c>
      <c r="E46" s="187" t="str">
        <f>Pricing!C34</f>
        <v>M15000</v>
      </c>
      <c r="F46" s="187" t="str">
        <f>Pricing!D34</f>
        <v>SIDE HUNG WINDOW</v>
      </c>
      <c r="G46" s="187" t="str">
        <f>Pricing!N34</f>
        <v>24MM</v>
      </c>
      <c r="H46" s="187" t="str">
        <f>Pricing!F34</f>
        <v>VARIES</v>
      </c>
      <c r="I46" s="216" t="str">
        <f>Pricing!E34</f>
        <v>RETRACTABLE</v>
      </c>
      <c r="J46" s="216">
        <f>Pricing!G34</f>
        <v>711</v>
      </c>
      <c r="K46" s="216">
        <f>Pricing!H34</f>
        <v>914</v>
      </c>
      <c r="L46" s="216">
        <f>Pricing!I34</f>
        <v>2</v>
      </c>
      <c r="M46" s="188">
        <f t="shared" si="2"/>
        <v>1.2997080000000001</v>
      </c>
      <c r="N46" s="189">
        <f>'Cost Calculation'!AS38</f>
        <v>87644.285140896929</v>
      </c>
      <c r="O46" s="95"/>
    </row>
    <row r="47" spans="2:15" s="94" customFormat="1" ht="49.9" customHeight="1" thickTop="1" thickBot="1">
      <c r="B47" s="416">
        <f>Pricing!A35</f>
        <v>32</v>
      </c>
      <c r="C47" s="417"/>
      <c r="D47" s="187" t="str">
        <f>Pricing!B35</f>
        <v>V7</v>
      </c>
      <c r="E47" s="187" t="str">
        <f>Pricing!C35</f>
        <v>M15000</v>
      </c>
      <c r="F47" s="187" t="str">
        <f>Pricing!D35</f>
        <v>2 SIDE HUNG WINDOWS WITH CENTER FIXED</v>
      </c>
      <c r="G47" s="187" t="str">
        <f>Pricing!N35</f>
        <v>6MM</v>
      </c>
      <c r="H47" s="187" t="str">
        <f>Pricing!F35</f>
        <v>VARIES</v>
      </c>
      <c r="I47" s="216" t="str">
        <f>Pricing!E35</f>
        <v>RETRACTABLE</v>
      </c>
      <c r="J47" s="216">
        <f>Pricing!G35</f>
        <v>2743</v>
      </c>
      <c r="K47" s="216">
        <f>Pricing!H35</f>
        <v>610</v>
      </c>
      <c r="L47" s="216">
        <f>Pricing!I35</f>
        <v>2</v>
      </c>
      <c r="M47" s="188">
        <f t="shared" si="2"/>
        <v>3.34646</v>
      </c>
      <c r="N47" s="189">
        <f>'Cost Calculation'!AS39</f>
        <v>197164.71525910564</v>
      </c>
      <c r="O47" s="95"/>
    </row>
    <row r="48" spans="2:15" s="94" customFormat="1" ht="49.9" customHeight="1" thickTop="1" thickBot="1">
      <c r="B48" s="416">
        <f>Pricing!A36</f>
        <v>33</v>
      </c>
      <c r="C48" s="417"/>
      <c r="D48" s="187" t="str">
        <f>Pricing!B36</f>
        <v>V8</v>
      </c>
      <c r="E48" s="187" t="str">
        <f>Pricing!C36</f>
        <v>M15000</v>
      </c>
      <c r="F48" s="187" t="str">
        <f>Pricing!D36</f>
        <v>2 SIDE HUNG WINDOWS WITH CENTER FIXED</v>
      </c>
      <c r="G48" s="187" t="str">
        <f>Pricing!N36</f>
        <v>6MM</v>
      </c>
      <c r="H48" s="187" t="str">
        <f>Pricing!F36</f>
        <v>STORE</v>
      </c>
      <c r="I48" s="216" t="str">
        <f>Pricing!E36</f>
        <v>RETRACTABLE</v>
      </c>
      <c r="J48" s="216">
        <f>Pricing!G36</f>
        <v>3073</v>
      </c>
      <c r="K48" s="216">
        <f>Pricing!H36</f>
        <v>610</v>
      </c>
      <c r="L48" s="216">
        <f>Pricing!I36</f>
        <v>1</v>
      </c>
      <c r="M48" s="188">
        <f t="shared" si="2"/>
        <v>1.87453</v>
      </c>
      <c r="N48" s="189">
        <f>'Cost Calculation'!AS40</f>
        <v>104759.45307009626</v>
      </c>
      <c r="O48" s="95"/>
    </row>
    <row r="49" spans="2:15" s="94" customFormat="1" ht="49.9" customHeight="1" thickTop="1" thickBot="1">
      <c r="B49" s="416">
        <f>Pricing!A37</f>
        <v>34</v>
      </c>
      <c r="C49" s="417"/>
      <c r="D49" s="187" t="str">
        <f>Pricing!B37</f>
        <v>CW1</v>
      </c>
      <c r="E49" s="187" t="str">
        <f>Pricing!C37</f>
        <v>M15000</v>
      </c>
      <c r="F49" s="187" t="str">
        <f>Pricing!D37</f>
        <v>2 SIDE HUNG WINDOWS WITH CENTER FIXED 2 NO'S</v>
      </c>
      <c r="G49" s="187" t="str">
        <f>Pricing!N37</f>
        <v>24MM</v>
      </c>
      <c r="H49" s="187" t="str">
        <f>Pricing!F37</f>
        <v>POOJA ROOM</v>
      </c>
      <c r="I49" s="216" t="str">
        <f>Pricing!E37</f>
        <v>RETRACTABLE</v>
      </c>
      <c r="J49" s="216">
        <f>Pricing!G37</f>
        <v>5385</v>
      </c>
      <c r="K49" s="216">
        <f>Pricing!H37</f>
        <v>1676</v>
      </c>
      <c r="L49" s="216">
        <f>Pricing!I37</f>
        <v>1</v>
      </c>
      <c r="M49" s="188">
        <f t="shared" si="2"/>
        <v>9.0252599999999994</v>
      </c>
      <c r="N49" s="189">
        <f>'Cost Calculation'!AS41</f>
        <v>246291.26208075148</v>
      </c>
      <c r="O49" s="95"/>
    </row>
    <row r="50" spans="2:15" s="94" customFormat="1" ht="49.9" customHeight="1" thickTop="1" thickBot="1">
      <c r="B50" s="416">
        <f>Pricing!A38</f>
        <v>35</v>
      </c>
      <c r="C50" s="417"/>
      <c r="D50" s="187" t="str">
        <f>Pricing!B38</f>
        <v>CW2</v>
      </c>
      <c r="E50" s="187" t="str">
        <f>Pricing!C38</f>
        <v>M15000</v>
      </c>
      <c r="F50" s="187" t="str">
        <f>Pricing!D38</f>
        <v>FRENCH WINDOW WITH SIDE HUNG AND CENTER FIXED</v>
      </c>
      <c r="G50" s="187" t="str">
        <f>Pricing!N38</f>
        <v>24MM</v>
      </c>
      <c r="H50" s="187" t="str">
        <f>Pricing!F38</f>
        <v>STUDY ROOM</v>
      </c>
      <c r="I50" s="216" t="str">
        <f>Pricing!E38</f>
        <v>RETRACTABLE</v>
      </c>
      <c r="J50" s="216">
        <f>Pricing!G38</f>
        <v>5791</v>
      </c>
      <c r="K50" s="216">
        <f>Pricing!H38</f>
        <v>1372</v>
      </c>
      <c r="L50" s="216">
        <f>Pricing!I38</f>
        <v>1</v>
      </c>
      <c r="M50" s="188">
        <f t="shared" si="2"/>
        <v>7.945252</v>
      </c>
      <c r="N50" s="189">
        <f>'Cost Calculation'!AS42</f>
        <v>245583.60038021242</v>
      </c>
      <c r="O50" s="95"/>
    </row>
    <row r="51" spans="2:15" s="94" customFormat="1" ht="49.9" customHeight="1" thickTop="1" thickBot="1">
      <c r="B51" s="416">
        <f>Pricing!A39</f>
        <v>36</v>
      </c>
      <c r="C51" s="417"/>
      <c r="D51" s="187" t="str">
        <f>Pricing!B39</f>
        <v>CW3</v>
      </c>
      <c r="E51" s="187" t="str">
        <f>Pricing!C39</f>
        <v>M15000</v>
      </c>
      <c r="F51" s="187" t="str">
        <f>Pricing!D39</f>
        <v>FIXED GLASS 11 NO'S</v>
      </c>
      <c r="G51" s="187" t="str">
        <f>Pricing!N39</f>
        <v>24MM</v>
      </c>
      <c r="H51" s="187" t="str">
        <f>Pricing!F39</f>
        <v>LIVING DOUBLE HEIGHT</v>
      </c>
      <c r="I51" s="216" t="str">
        <f>Pricing!E39</f>
        <v>NO</v>
      </c>
      <c r="J51" s="216">
        <f>Pricing!G39</f>
        <v>9398</v>
      </c>
      <c r="K51" s="216">
        <f>Pricing!H39</f>
        <v>3200</v>
      </c>
      <c r="L51" s="216">
        <f>Pricing!I39</f>
        <v>1</v>
      </c>
      <c r="M51" s="188">
        <f t="shared" si="2"/>
        <v>30.073599999999999</v>
      </c>
      <c r="N51" s="189">
        <f>'Cost Calculation'!AS43</f>
        <v>406948.42514496425</v>
      </c>
      <c r="O51" s="95"/>
    </row>
    <row r="52" spans="2:15" s="94" customFormat="1" ht="49.9" customHeight="1" thickTop="1" thickBot="1">
      <c r="B52" s="416">
        <f>Pricing!A40</f>
        <v>37</v>
      </c>
      <c r="C52" s="417"/>
      <c r="D52" s="187" t="str">
        <f>Pricing!B40</f>
        <v>W15</v>
      </c>
      <c r="E52" s="187" t="str">
        <f>Pricing!C40</f>
        <v>M15000</v>
      </c>
      <c r="F52" s="187" t="str">
        <f>Pricing!D40</f>
        <v>2 FRENCH CASEMENT WINDOW WITH 7 FIXED</v>
      </c>
      <c r="G52" s="187" t="str">
        <f>Pricing!N40</f>
        <v>24MM</v>
      </c>
      <c r="H52" s="187" t="str">
        <f>Pricing!F40</f>
        <v>CORRIDOR</v>
      </c>
      <c r="I52" s="216" t="str">
        <f>Pricing!E40</f>
        <v>RETRACTABLE</v>
      </c>
      <c r="J52" s="216">
        <f>Pricing!G40</f>
        <v>4762</v>
      </c>
      <c r="K52" s="216">
        <f>Pricing!H40</f>
        <v>3200</v>
      </c>
      <c r="L52" s="216">
        <f>Pricing!I40</f>
        <v>1</v>
      </c>
      <c r="M52" s="188">
        <f t="shared" si="2"/>
        <v>15.2384</v>
      </c>
      <c r="N52" s="189">
        <f>'Cost Calculation'!AS44</f>
        <v>386558.25728505926</v>
      </c>
      <c r="O52" s="95"/>
    </row>
    <row r="53" spans="2:15" s="94" customFormat="1" ht="49.9" customHeight="1" thickTop="1" thickBot="1">
      <c r="B53" s="416">
        <f>Pricing!A41</f>
        <v>38</v>
      </c>
      <c r="C53" s="417"/>
      <c r="D53" s="187" t="str">
        <f>Pricing!B41</f>
        <v>W16</v>
      </c>
      <c r="E53" s="187" t="str">
        <f>Pricing!C41</f>
        <v>M7 &amp; M15000</v>
      </c>
      <c r="F53" s="187" t="str">
        <f>Pricing!D41</f>
        <v>CURTAIN WALL WITH SHAPE WITH FRENCH DOOR AND SINGLE DOOR</v>
      </c>
      <c r="G53" s="187" t="str">
        <f>Pricing!N41</f>
        <v>24MM</v>
      </c>
      <c r="H53" s="187" t="str">
        <f>Pricing!F41</f>
        <v>HOME THEATER</v>
      </c>
      <c r="I53" s="216" t="str">
        <f>Pricing!E41</f>
        <v>RETRACTABLE</v>
      </c>
      <c r="J53" s="216">
        <f>Pricing!G41</f>
        <v>6452</v>
      </c>
      <c r="K53" s="216">
        <f>Pricing!H41</f>
        <v>4280</v>
      </c>
      <c r="L53" s="216">
        <f>Pricing!I41</f>
        <v>1</v>
      </c>
      <c r="M53" s="188">
        <f t="shared" si="2"/>
        <v>27.614560000000001</v>
      </c>
      <c r="N53" s="189">
        <f>'Cost Calculation'!AS45</f>
        <v>746970.96027536364</v>
      </c>
      <c r="O53" s="95"/>
    </row>
    <row r="54" spans="2:15" s="94" customFormat="1" ht="49.9" customHeight="1" thickTop="1" thickBot="1">
      <c r="B54" s="416">
        <f>Pricing!A42</f>
        <v>39</v>
      </c>
      <c r="C54" s="417"/>
      <c r="D54" s="187" t="str">
        <f>Pricing!B42</f>
        <v>W17</v>
      </c>
      <c r="E54" s="187" t="str">
        <f>Pricing!C42</f>
        <v>M15000</v>
      </c>
      <c r="F54" s="187" t="str">
        <f>Pricing!D42</f>
        <v>4 FRENCH WINDOWS</v>
      </c>
      <c r="G54" s="187" t="str">
        <f>Pricing!N42</f>
        <v>24MM</v>
      </c>
      <c r="H54" s="187" t="str">
        <f>Pricing!F42</f>
        <v>GYM</v>
      </c>
      <c r="I54" s="216" t="str">
        <f>Pricing!E42</f>
        <v>RETRACTABLE</v>
      </c>
      <c r="J54" s="216">
        <f>Pricing!G42</f>
        <v>5131</v>
      </c>
      <c r="K54" s="216">
        <f>Pricing!H42</f>
        <v>1676</v>
      </c>
      <c r="L54" s="216">
        <f>Pricing!I42</f>
        <v>1</v>
      </c>
      <c r="M54" s="188">
        <f t="shared" si="2"/>
        <v>8.5995559999999998</v>
      </c>
      <c r="N54" s="189">
        <f>'Cost Calculation'!AS46</f>
        <v>394229.09155710583</v>
      </c>
      <c r="O54" s="95"/>
    </row>
    <row r="55" spans="2:15" s="94" customFormat="1" ht="49.9" customHeight="1" thickTop="1" thickBot="1">
      <c r="B55" s="416">
        <f>Pricing!A43</f>
        <v>40</v>
      </c>
      <c r="C55" s="417"/>
      <c r="D55" s="187" t="str">
        <f>Pricing!B43</f>
        <v>W18</v>
      </c>
      <c r="E55" s="187" t="str">
        <f>Pricing!C43</f>
        <v>M15000</v>
      </c>
      <c r="F55" s="187" t="str">
        <f>Pricing!D43</f>
        <v>2 FRENCH WINDOWS WITH CENTER FIXED</v>
      </c>
      <c r="G55" s="187" t="str">
        <f>Pricing!N43</f>
        <v>24MM</v>
      </c>
      <c r="H55" s="187" t="str">
        <f>Pricing!F43</f>
        <v>CORRIDOR</v>
      </c>
      <c r="I55" s="216" t="str">
        <f>Pricing!E43</f>
        <v>RETRACTABLE</v>
      </c>
      <c r="J55" s="216">
        <f>Pricing!G43</f>
        <v>4648</v>
      </c>
      <c r="K55" s="216">
        <f>Pricing!H43</f>
        <v>1676</v>
      </c>
      <c r="L55" s="216">
        <f>Pricing!I43</f>
        <v>1</v>
      </c>
      <c r="M55" s="188">
        <f t="shared" si="2"/>
        <v>7.7900479999999996</v>
      </c>
      <c r="N55" s="189">
        <f>'Cost Calculation'!AS47</f>
        <v>267443.48098676145</v>
      </c>
      <c r="O55" s="95"/>
    </row>
    <row r="56" spans="2:15" s="94" customFormat="1" ht="49.9" customHeight="1" thickTop="1" thickBot="1">
      <c r="B56" s="416">
        <f>Pricing!A44</f>
        <v>41</v>
      </c>
      <c r="C56" s="417"/>
      <c r="D56" s="187" t="str">
        <f>Pricing!B44</f>
        <v>W19</v>
      </c>
      <c r="E56" s="187" t="str">
        <f>Pricing!C44</f>
        <v>M15000</v>
      </c>
      <c r="F56" s="187" t="str">
        <f>Pricing!D44</f>
        <v>FIXED GLASS 4 NO'S</v>
      </c>
      <c r="G56" s="187" t="str">
        <f>Pricing!N44</f>
        <v>24MM</v>
      </c>
      <c r="H56" s="187" t="str">
        <f>Pricing!F44</f>
        <v>COVERED TERRACE</v>
      </c>
      <c r="I56" s="216" t="str">
        <f>Pricing!E44</f>
        <v>NO</v>
      </c>
      <c r="J56" s="216">
        <f>Pricing!G44</f>
        <v>4197</v>
      </c>
      <c r="K56" s="216">
        <f>Pricing!H44</f>
        <v>1397</v>
      </c>
      <c r="L56" s="216">
        <f>Pricing!I44</f>
        <v>1</v>
      </c>
      <c r="M56" s="188">
        <f t="shared" si="2"/>
        <v>5.8632090000000003</v>
      </c>
      <c r="N56" s="189">
        <f>'Cost Calculation'!AS48</f>
        <v>79198.64288886523</v>
      </c>
      <c r="O56" s="95"/>
    </row>
    <row r="57" spans="2:15" s="94" customFormat="1" ht="49.9" customHeight="1" thickTop="1" thickBot="1">
      <c r="B57" s="416">
        <f>Pricing!A45</f>
        <v>42</v>
      </c>
      <c r="C57" s="417"/>
      <c r="D57" s="187" t="str">
        <f>Pricing!B45</f>
        <v>W20</v>
      </c>
      <c r="E57" s="187" t="str">
        <f>Pricing!C45</f>
        <v>M15000</v>
      </c>
      <c r="F57" s="187" t="str">
        <f>Pricing!D45</f>
        <v>SIDE HUNG WINDOW WITH 2 FIXED</v>
      </c>
      <c r="G57" s="187" t="str">
        <f>Pricing!N45</f>
        <v>24MM</v>
      </c>
      <c r="H57" s="187" t="str">
        <f>Pricing!F45</f>
        <v>PEEYUSH JAIN'S OFFICE</v>
      </c>
      <c r="I57" s="216" t="str">
        <f>Pricing!E45</f>
        <v>RETRACTABLE</v>
      </c>
      <c r="J57" s="216">
        <f>Pricing!G45</f>
        <v>2946</v>
      </c>
      <c r="K57" s="216">
        <f>Pricing!H45</f>
        <v>1524</v>
      </c>
      <c r="L57" s="216">
        <f>Pricing!I45</f>
        <v>1</v>
      </c>
      <c r="M57" s="188">
        <f t="shared" si="2"/>
        <v>4.4897039999999997</v>
      </c>
      <c r="N57" s="189">
        <f>'Cost Calculation'!AS49</f>
        <v>143851.59345715039</v>
      </c>
      <c r="O57" s="95"/>
    </row>
    <row r="58" spans="2:15" s="94" customFormat="1" ht="49.9" customHeight="1" thickTop="1" thickBot="1">
      <c r="B58" s="416">
        <f>Pricing!A46</f>
        <v>43</v>
      </c>
      <c r="C58" s="417"/>
      <c r="D58" s="187" t="str">
        <f>Pricing!B46</f>
        <v>W9</v>
      </c>
      <c r="E58" s="187" t="str">
        <f>Pricing!C46</f>
        <v>M15000</v>
      </c>
      <c r="F58" s="187" t="str">
        <f>Pricing!D46</f>
        <v>FIXED GLASS 3 NO'S</v>
      </c>
      <c r="G58" s="187" t="str">
        <f>Pricing!N46</f>
        <v>24MM</v>
      </c>
      <c r="H58" s="187" t="str">
        <f>Pricing!F46</f>
        <v>NORMATHAS OFFICE</v>
      </c>
      <c r="I58" s="216" t="str">
        <f>Pricing!E46</f>
        <v>NO</v>
      </c>
      <c r="J58" s="216">
        <f>Pricing!G46</f>
        <v>1778</v>
      </c>
      <c r="K58" s="216">
        <f>Pricing!H46</f>
        <v>2438</v>
      </c>
      <c r="L58" s="216">
        <f>Pricing!I46</f>
        <v>1</v>
      </c>
      <c r="M58" s="188">
        <f t="shared" si="2"/>
        <v>4.3347639999999998</v>
      </c>
      <c r="N58" s="189">
        <f>'Cost Calculation'!AS50</f>
        <v>66700.021565079966</v>
      </c>
      <c r="O58" s="95"/>
    </row>
    <row r="59" spans="2:15" s="94" customFormat="1" ht="49.9" customHeight="1" thickTop="1" thickBot="1">
      <c r="B59" s="416">
        <f>Pricing!A47</f>
        <v>44</v>
      </c>
      <c r="C59" s="417"/>
      <c r="D59" s="187" t="str">
        <f>Pricing!B47</f>
        <v>SFD1</v>
      </c>
      <c r="E59" s="187" t="str">
        <f>Pricing!C47</f>
        <v>M9800</v>
      </c>
      <c r="F59" s="187" t="str">
        <f>Pricing!D47</f>
        <v>SLIDE &amp; FOLD WITH 3 LEAFS</v>
      </c>
      <c r="G59" s="187" t="str">
        <f>Pricing!N47</f>
        <v>24MM</v>
      </c>
      <c r="H59" s="187" t="str">
        <f>Pricing!F47</f>
        <v>LIVING ROOM</v>
      </c>
      <c r="I59" s="216" t="str">
        <f>Pricing!E47</f>
        <v>RETRACTABLE</v>
      </c>
      <c r="J59" s="216">
        <f>Pricing!G47</f>
        <v>2997</v>
      </c>
      <c r="K59" s="216">
        <f>Pricing!H47</f>
        <v>2438</v>
      </c>
      <c r="L59" s="216">
        <f>Pricing!I47</f>
        <v>1</v>
      </c>
      <c r="M59" s="188">
        <f t="shared" si="2"/>
        <v>7.306686</v>
      </c>
      <c r="N59" s="189">
        <f>'Cost Calculation'!AS51</f>
        <v>261417.93540744705</v>
      </c>
      <c r="O59" s="95"/>
    </row>
    <row r="60" spans="2:15" s="94" customFormat="1" ht="49.9" customHeight="1" thickTop="1" thickBot="1">
      <c r="B60" s="416">
        <f>Pricing!A48</f>
        <v>45</v>
      </c>
      <c r="C60" s="417"/>
      <c r="D60" s="187" t="str">
        <f>Pricing!B48</f>
        <v>SFD2</v>
      </c>
      <c r="E60" s="187" t="str">
        <f>Pricing!C48</f>
        <v>M9800</v>
      </c>
      <c r="F60" s="187" t="str">
        <f>Pricing!D48</f>
        <v>SLIDE &amp; FOLD WITH 5 LEAFS</v>
      </c>
      <c r="G60" s="187" t="str">
        <f>Pricing!N48</f>
        <v>24MM</v>
      </c>
      <c r="H60" s="187" t="str">
        <f>Pricing!F48</f>
        <v>DINING ROOM</v>
      </c>
      <c r="I60" s="216" t="str">
        <f>Pricing!E48</f>
        <v>RETRACTABLE</v>
      </c>
      <c r="J60" s="216">
        <f>Pricing!G48</f>
        <v>4648</v>
      </c>
      <c r="K60" s="216">
        <f>Pricing!H48</f>
        <v>2438</v>
      </c>
      <c r="L60" s="216">
        <f>Pricing!I48</f>
        <v>1</v>
      </c>
      <c r="M60" s="188">
        <f t="shared" si="2"/>
        <v>11.331823999999999</v>
      </c>
      <c r="N60" s="189">
        <f>'Cost Calculation'!AS52</f>
        <v>405912.80966156122</v>
      </c>
      <c r="O60" s="95"/>
    </row>
    <row r="61" spans="2:15" s="94" customFormat="1" ht="49.9" customHeight="1" thickTop="1" thickBot="1">
      <c r="B61" s="416">
        <f>Pricing!A49</f>
        <v>46</v>
      </c>
      <c r="C61" s="417"/>
      <c r="D61" s="187" t="str">
        <f>Pricing!B49</f>
        <v>SFD3</v>
      </c>
      <c r="E61" s="187" t="str">
        <f>Pricing!C49</f>
        <v>M9800</v>
      </c>
      <c r="F61" s="187" t="str">
        <f>Pricing!D49</f>
        <v>SLIDE &amp; FOLD WITH 5 LEAFS</v>
      </c>
      <c r="G61" s="187" t="str">
        <f>Pricing!N49</f>
        <v>24MM</v>
      </c>
      <c r="H61" s="187" t="str">
        <f>Pricing!F49</f>
        <v>GUEST BEDROOM</v>
      </c>
      <c r="I61" s="216" t="str">
        <f>Pricing!E49</f>
        <v>RETRACTABLE</v>
      </c>
      <c r="J61" s="216">
        <f>Pricing!G49</f>
        <v>3340</v>
      </c>
      <c r="K61" s="216">
        <f>Pricing!H49</f>
        <v>2438</v>
      </c>
      <c r="L61" s="216">
        <f>Pricing!I49</f>
        <v>1</v>
      </c>
      <c r="M61" s="188">
        <f t="shared" si="2"/>
        <v>8.1429200000000002</v>
      </c>
      <c r="N61" s="189">
        <f>'Cost Calculation'!AS53</f>
        <v>338905.38773183891</v>
      </c>
      <c r="O61" s="95"/>
    </row>
    <row r="62" spans="2:15" s="94" customFormat="1" ht="49.9" customHeight="1" thickTop="1" thickBot="1">
      <c r="B62" s="416">
        <f>Pricing!A50</f>
        <v>47</v>
      </c>
      <c r="C62" s="417"/>
      <c r="D62" s="187" t="str">
        <f>Pricing!B50</f>
        <v>D1</v>
      </c>
      <c r="E62" s="187" t="str">
        <f>Pricing!C50</f>
        <v>M15000</v>
      </c>
      <c r="F62" s="187" t="str">
        <f>Pricing!D50</f>
        <v>SIDE HUNG DOOR</v>
      </c>
      <c r="G62" s="187" t="str">
        <f>Pricing!N50</f>
        <v>24MM</v>
      </c>
      <c r="H62" s="187" t="str">
        <f>Pricing!F50</f>
        <v>NA</v>
      </c>
      <c r="I62" s="216" t="str">
        <f>Pricing!E50</f>
        <v>NO</v>
      </c>
      <c r="J62" s="216">
        <f>Pricing!G50</f>
        <v>1067</v>
      </c>
      <c r="K62" s="216">
        <f>Pricing!H50</f>
        <v>2438</v>
      </c>
      <c r="L62" s="216">
        <f>Pricing!I50</f>
        <v>2</v>
      </c>
      <c r="M62" s="188">
        <f t="shared" si="2"/>
        <v>5.2026919999999999</v>
      </c>
      <c r="N62" s="189">
        <f>'Cost Calculation'!AS54</f>
        <v>137017.40944538795</v>
      </c>
      <c r="O62" s="95"/>
    </row>
    <row r="63" spans="2:15" s="94" customFormat="1" ht="49.9" customHeight="1" thickTop="1" thickBot="1">
      <c r="B63" s="416">
        <f>Pricing!A51</f>
        <v>48</v>
      </c>
      <c r="C63" s="417"/>
      <c r="D63" s="187" t="str">
        <f>Pricing!B51</f>
        <v>D2</v>
      </c>
      <c r="E63" s="187" t="str">
        <f>Pricing!C51</f>
        <v>M15000</v>
      </c>
      <c r="F63" s="187" t="str">
        <f>Pricing!D51</f>
        <v>SIDE HUNG DOOR</v>
      </c>
      <c r="G63" s="187" t="str">
        <f>Pricing!N51</f>
        <v>24MM</v>
      </c>
      <c r="H63" s="187" t="str">
        <f>Pricing!F51</f>
        <v>NA</v>
      </c>
      <c r="I63" s="216" t="str">
        <f>Pricing!E51</f>
        <v>NO</v>
      </c>
      <c r="J63" s="216">
        <f>Pricing!G51</f>
        <v>914</v>
      </c>
      <c r="K63" s="216">
        <f>Pricing!H51</f>
        <v>2438</v>
      </c>
      <c r="L63" s="216">
        <f>Pricing!I51</f>
        <v>19</v>
      </c>
      <c r="M63" s="188">
        <f t="shared" si="2"/>
        <v>42.338307999999998</v>
      </c>
      <c r="N63" s="189">
        <f>'Cost Calculation'!AS55</f>
        <v>1230851.1132549355</v>
      </c>
      <c r="O63" s="95"/>
    </row>
    <row r="64" spans="2:15" s="94" customFormat="1" ht="49.9" customHeight="1" thickTop="1" thickBot="1">
      <c r="B64" s="416">
        <f>Pricing!A52</f>
        <v>49</v>
      </c>
      <c r="C64" s="417"/>
      <c r="D64" s="187" t="str">
        <f>Pricing!B52</f>
        <v>D3</v>
      </c>
      <c r="E64" s="187" t="str">
        <f>Pricing!C52</f>
        <v>M15000</v>
      </c>
      <c r="F64" s="187" t="str">
        <f>Pricing!D52</f>
        <v>SIDE HUNG DOOR</v>
      </c>
      <c r="G64" s="187" t="str">
        <f>Pricing!N52</f>
        <v>24MM</v>
      </c>
      <c r="H64" s="187" t="str">
        <f>Pricing!F52</f>
        <v>NA</v>
      </c>
      <c r="I64" s="216" t="str">
        <f>Pricing!E52</f>
        <v>NO</v>
      </c>
      <c r="J64" s="216">
        <f>Pricing!G52</f>
        <v>762</v>
      </c>
      <c r="K64" s="216">
        <f>Pricing!H52</f>
        <v>2438</v>
      </c>
      <c r="L64" s="216">
        <f>Pricing!I52</f>
        <v>16</v>
      </c>
      <c r="M64" s="188">
        <f t="shared" si="2"/>
        <v>29.724095999999999</v>
      </c>
      <c r="N64" s="189">
        <f>'Cost Calculation'!AS56</f>
        <v>977297.27865730796</v>
      </c>
      <c r="O64" s="95"/>
    </row>
    <row r="65" spans="2:15" s="94" customFormat="1" ht="49.9" customHeight="1" thickTop="1" thickBot="1">
      <c r="B65" s="416">
        <f>Pricing!A53</f>
        <v>50</v>
      </c>
      <c r="C65" s="417"/>
      <c r="D65" s="187" t="str">
        <f>Pricing!B53</f>
        <v>DW1</v>
      </c>
      <c r="E65" s="187" t="str">
        <f>Pricing!C53</f>
        <v>M15000 &amp; M14600</v>
      </c>
      <c r="F65" s="187" t="str">
        <f>Pricing!D53</f>
        <v>3 TRACK 2 SHUTTER SLIDING DOOR WITH SINGLE DOOR AND TOP FIXED</v>
      </c>
      <c r="G65" s="187" t="str">
        <f>Pricing!N53</f>
        <v>24MM</v>
      </c>
      <c r="H65" s="187" t="str">
        <f>Pricing!F53</f>
        <v>ELECTRICAL ROOM</v>
      </c>
      <c r="I65" s="216" t="str">
        <f>Pricing!E53</f>
        <v>NO</v>
      </c>
      <c r="J65" s="216">
        <f>Pricing!G53</f>
        <v>2210</v>
      </c>
      <c r="K65" s="216">
        <f>Pricing!H53</f>
        <v>4115</v>
      </c>
      <c r="L65" s="216">
        <f>Pricing!I53</f>
        <v>1</v>
      </c>
      <c r="M65" s="188">
        <f t="shared" si="2"/>
        <v>9.0941500000000008</v>
      </c>
      <c r="N65" s="189">
        <f>'Cost Calculation'!AS57</f>
        <v>241118.82935094609</v>
      </c>
      <c r="O65" s="95"/>
    </row>
    <row r="66" spans="2:15" s="94" customFormat="1" ht="49.9" customHeight="1" thickTop="1" thickBot="1">
      <c r="B66" s="416">
        <f>Pricing!A54</f>
        <v>51</v>
      </c>
      <c r="C66" s="417"/>
      <c r="D66" s="187" t="str">
        <f>Pricing!B54</f>
        <v>MD</v>
      </c>
      <c r="E66" s="187" t="str">
        <f>Pricing!C54</f>
        <v>M15000</v>
      </c>
      <c r="F66" s="187" t="str">
        <f>Pricing!D54</f>
        <v>SIDE HUNG DOOR WITH 3 FIXED</v>
      </c>
      <c r="G66" s="187" t="str">
        <f>Pricing!N54</f>
        <v>24MM</v>
      </c>
      <c r="H66" s="187" t="str">
        <f>Pricing!F54</f>
        <v>ENTRANCE DOOR</v>
      </c>
      <c r="I66" s="229" t="str">
        <f>Pricing!E54</f>
        <v>NO</v>
      </c>
      <c r="J66" s="229">
        <f>Pricing!G54</f>
        <v>2033</v>
      </c>
      <c r="K66" s="229">
        <f>Pricing!H54</f>
        <v>4115</v>
      </c>
      <c r="L66" s="229">
        <f>Pricing!I54</f>
        <v>1</v>
      </c>
      <c r="M66" s="188">
        <f t="shared" si="2"/>
        <v>8.3657950000000003</v>
      </c>
      <c r="N66" s="189">
        <f>'Cost Calculation'!AS58</f>
        <v>143936.31060592295</v>
      </c>
      <c r="O66" s="95"/>
    </row>
    <row r="67" spans="2:15" s="94" customFormat="1" ht="49.9" customHeight="1" thickTop="1" thickBot="1">
      <c r="B67" s="416">
        <f>Pricing!A55</f>
        <v>52</v>
      </c>
      <c r="C67" s="417"/>
      <c r="D67" s="187" t="str">
        <f>Pricing!B55</f>
        <v>PD1</v>
      </c>
      <c r="E67" s="187" t="str">
        <f>Pricing!C55</f>
        <v>M14600</v>
      </c>
      <c r="F67" s="187" t="str">
        <f>Pricing!D55</f>
        <v>POCKET DOOR</v>
      </c>
      <c r="G67" s="187" t="str">
        <f>Pricing!N55</f>
        <v>24MM</v>
      </c>
      <c r="H67" s="187" t="str">
        <f>Pricing!F55</f>
        <v>FORMAL LIVING ROOM</v>
      </c>
      <c r="I67" s="229" t="str">
        <f>Pricing!E55</f>
        <v>NO</v>
      </c>
      <c r="J67" s="229">
        <f>Pricing!G55</f>
        <v>6098</v>
      </c>
      <c r="K67" s="229">
        <f>Pricing!H55</f>
        <v>2438</v>
      </c>
      <c r="L67" s="229">
        <f>Pricing!I55</f>
        <v>1</v>
      </c>
      <c r="M67" s="188">
        <f t="shared" si="2"/>
        <v>14.866923999999999</v>
      </c>
      <c r="N67" s="189">
        <f>'Cost Calculation'!AS59</f>
        <v>250463.19465851053</v>
      </c>
      <c r="O67" s="95"/>
    </row>
    <row r="68" spans="2:15" s="94" customFormat="1" ht="49.9" customHeight="1" thickTop="1" thickBot="1">
      <c r="B68" s="416">
        <f>Pricing!A56</f>
        <v>53</v>
      </c>
      <c r="C68" s="417"/>
      <c r="D68" s="187" t="str">
        <f>Pricing!B56</f>
        <v>PD2</v>
      </c>
      <c r="E68" s="187" t="str">
        <f>Pricing!C56</f>
        <v>M14600</v>
      </c>
      <c r="F68" s="187" t="str">
        <f>Pricing!D56</f>
        <v>POCKET DOOR</v>
      </c>
      <c r="G68" s="187" t="str">
        <f>Pricing!N56</f>
        <v>24MM</v>
      </c>
      <c r="H68" s="187" t="str">
        <f>Pricing!F56</f>
        <v>NORMATHAS OFFICE</v>
      </c>
      <c r="I68" s="229" t="str">
        <f>Pricing!E56</f>
        <v>NO</v>
      </c>
      <c r="J68" s="229">
        <f>Pricing!G56</f>
        <v>1981</v>
      </c>
      <c r="K68" s="229">
        <f>Pricing!H56</f>
        <v>2438</v>
      </c>
      <c r="L68" s="229">
        <f>Pricing!I56</f>
        <v>1</v>
      </c>
      <c r="M68" s="188">
        <f t="shared" si="2"/>
        <v>4.8296780000000004</v>
      </c>
      <c r="N68" s="189">
        <f>'Cost Calculation'!AS60</f>
        <v>113198.08452244404</v>
      </c>
      <c r="O68" s="95"/>
    </row>
    <row r="69" spans="2:15" s="94" customFormat="1" ht="49.9" customHeight="1" thickTop="1" thickBot="1">
      <c r="B69" s="416">
        <f>Pricing!A57</f>
        <v>54</v>
      </c>
      <c r="C69" s="417"/>
      <c r="D69" s="187" t="str">
        <f>Pricing!B57</f>
        <v>PD3</v>
      </c>
      <c r="E69" s="187" t="str">
        <f>Pricing!C57</f>
        <v>M14600</v>
      </c>
      <c r="F69" s="187" t="str">
        <f>Pricing!D57</f>
        <v>POCKET DOOR</v>
      </c>
      <c r="G69" s="187" t="str">
        <f>Pricing!N57</f>
        <v>24MM</v>
      </c>
      <c r="H69" s="187" t="str">
        <f>Pricing!F57</f>
        <v>FAMILY ROOM</v>
      </c>
      <c r="I69" s="229" t="str">
        <f>Pricing!E57</f>
        <v>NO</v>
      </c>
      <c r="J69" s="229">
        <f>Pricing!G57</f>
        <v>5182</v>
      </c>
      <c r="K69" s="229">
        <f>Pricing!H57</f>
        <v>2438</v>
      </c>
      <c r="L69" s="229">
        <f>Pricing!I57</f>
        <v>1</v>
      </c>
      <c r="M69" s="188">
        <f t="shared" si="2"/>
        <v>12.633716</v>
      </c>
      <c r="N69" s="189">
        <f>'Cost Calculation'!AS61</f>
        <v>240966.63542316214</v>
      </c>
      <c r="O69" s="95"/>
    </row>
    <row r="70" spans="2:15" s="94" customFormat="1" ht="49.9" customHeight="1" thickTop="1" thickBot="1">
      <c r="B70" s="416">
        <f>Pricing!A58</f>
        <v>55</v>
      </c>
      <c r="C70" s="417"/>
      <c r="D70" s="187" t="str">
        <f>Pricing!B58</f>
        <v>PD4</v>
      </c>
      <c r="E70" s="187" t="str">
        <f>Pricing!C58</f>
        <v>M14600</v>
      </c>
      <c r="F70" s="187" t="str">
        <f>Pricing!D58</f>
        <v>POCKET DOOR</v>
      </c>
      <c r="G70" s="187" t="str">
        <f>Pricing!N58</f>
        <v>24MM</v>
      </c>
      <c r="H70" s="187" t="str">
        <f>Pricing!F58</f>
        <v>CORRIDOR</v>
      </c>
      <c r="I70" s="229" t="str">
        <f>Pricing!E58</f>
        <v>NO</v>
      </c>
      <c r="J70" s="229">
        <f>Pricing!G58</f>
        <v>2210</v>
      </c>
      <c r="K70" s="229">
        <f>Pricing!H58</f>
        <v>2438</v>
      </c>
      <c r="L70" s="229">
        <f>Pricing!I58</f>
        <v>2</v>
      </c>
      <c r="M70" s="188">
        <f t="shared" si="2"/>
        <v>10.77596</v>
      </c>
      <c r="N70" s="189">
        <f>'Cost Calculation'!AS62</f>
        <v>238664.4068592792</v>
      </c>
      <c r="O70" s="95"/>
    </row>
    <row r="71" spans="2:15" s="94" customFormat="1" ht="49.9" customHeight="1" thickTop="1" thickBot="1">
      <c r="B71" s="416">
        <f>Pricing!A59</f>
        <v>56</v>
      </c>
      <c r="C71" s="417"/>
      <c r="D71" s="187" t="str">
        <f>Pricing!B59</f>
        <v>PD5</v>
      </c>
      <c r="E71" s="187" t="str">
        <f>Pricing!C59</f>
        <v>M14600</v>
      </c>
      <c r="F71" s="187" t="str">
        <f>Pricing!D59</f>
        <v>POCKET DOOR</v>
      </c>
      <c r="G71" s="187" t="str">
        <f>Pricing!N59</f>
        <v>24MM</v>
      </c>
      <c r="H71" s="187" t="str">
        <f>Pricing!F59</f>
        <v>NA</v>
      </c>
      <c r="I71" s="229" t="str">
        <f>Pricing!E59</f>
        <v>NO</v>
      </c>
      <c r="J71" s="229">
        <f>Pricing!G59</f>
        <v>1981</v>
      </c>
      <c r="K71" s="229">
        <f>Pricing!H59</f>
        <v>2438</v>
      </c>
      <c r="L71" s="229">
        <f>Pricing!I59</f>
        <v>4</v>
      </c>
      <c r="M71" s="188">
        <f t="shared" si="2"/>
        <v>19.318712000000001</v>
      </c>
      <c r="N71" s="189">
        <f>'Cost Calculation'!AS63</f>
        <v>452792.33808977617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9"/>
      <c r="C116" s="420"/>
      <c r="D116" s="420"/>
      <c r="E116" s="420"/>
      <c r="F116" s="420"/>
      <c r="G116" s="420"/>
      <c r="H116" s="420"/>
      <c r="I116" s="420"/>
      <c r="J116" s="420"/>
      <c r="K116" s="421"/>
      <c r="L116" s="190">
        <f>SUM(L16:L115)</f>
        <v>112</v>
      </c>
      <c r="M116" s="191">
        <f>SUM(M16:M115)</f>
        <v>512.66387599999996</v>
      </c>
      <c r="N116" s="186"/>
      <c r="O116" s="95"/>
    </row>
    <row r="117" spans="2:15" s="94" customFormat="1" ht="30" customHeight="1" thickTop="1" thickBot="1">
      <c r="B117" s="422" t="s">
        <v>181</v>
      </c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192">
        <f>ROUND(SUM(N16:N115),0.1)</f>
        <v>13947801</v>
      </c>
      <c r="O117" s="95">
        <f>N117/SUM(M116)</f>
        <v>27206.52195903891</v>
      </c>
    </row>
    <row r="118" spans="2:15" s="94" customFormat="1" ht="30" customHeight="1" thickTop="1" thickBot="1">
      <c r="B118" s="422" t="s">
        <v>111</v>
      </c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4"/>
      <c r="N118" s="192">
        <f>ROUND(N117*18%,0.1)</f>
        <v>2510604</v>
      </c>
      <c r="O118" s="95">
        <f>N118/SUM(M116)</f>
        <v>4897.1736015197612</v>
      </c>
    </row>
    <row r="119" spans="2:15" s="94" customFormat="1" ht="30" customHeight="1" thickTop="1" thickBot="1">
      <c r="B119" s="422" t="s">
        <v>182</v>
      </c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192">
        <f>ROUND(SUM(N117:N118),0.1)</f>
        <v>16458405</v>
      </c>
      <c r="O119" s="95">
        <f>N119/SUM(M116)</f>
        <v>32103.69556055867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2527.5475621552314</v>
      </c>
    </row>
    <row r="121" spans="2:15" s="139" customFormat="1" ht="30" customHeight="1" thickTop="1">
      <c r="B121" s="453" t="s">
        <v>237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0">
        <v>1</v>
      </c>
      <c r="C122" s="411"/>
      <c r="D122" s="414" t="s">
        <v>558</v>
      </c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5" t="s">
        <v>207</v>
      </c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7"/>
      <c r="O124" s="138"/>
    </row>
    <row r="125" spans="2:15" s="93" customFormat="1" ht="24.95" customHeight="1">
      <c r="B125" s="410">
        <v>1</v>
      </c>
      <c r="C125" s="411"/>
      <c r="D125" s="412" t="s">
        <v>373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551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3</v>
      </c>
      <c r="C127" s="411"/>
      <c r="D127" s="412" t="s">
        <v>552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139" customFormat="1" ht="30" customHeight="1">
      <c r="B128" s="425" t="s">
        <v>140</v>
      </c>
      <c r="C128" s="426"/>
      <c r="D128" s="426"/>
      <c r="E128" s="426"/>
      <c r="F128" s="426"/>
      <c r="G128" s="426"/>
      <c r="H128" s="426"/>
      <c r="I128" s="426"/>
      <c r="J128" s="426"/>
      <c r="K128" s="426"/>
      <c r="L128" s="426"/>
      <c r="M128" s="426"/>
      <c r="N128" s="427"/>
      <c r="O128" s="138"/>
    </row>
    <row r="129" spans="2:14" s="93" customFormat="1" ht="24.95" customHeight="1">
      <c r="B129" s="410">
        <v>1</v>
      </c>
      <c r="C129" s="411"/>
      <c r="D129" s="412" t="s">
        <v>363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0">
        <v>2</v>
      </c>
      <c r="C130" s="411"/>
      <c r="D130" s="412" t="s">
        <v>389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3</v>
      </c>
      <c r="C131" s="411"/>
      <c r="D131" s="414" t="s">
        <v>405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0">
        <v>4</v>
      </c>
      <c r="C132" s="411"/>
      <c r="D132" s="414" t="s">
        <v>406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96" t="s">
        <v>141</v>
      </c>
      <c r="C133" s="497"/>
      <c r="D133" s="497"/>
      <c r="E133" s="497"/>
      <c r="F133" s="497"/>
      <c r="G133" s="497"/>
      <c r="H133" s="497"/>
      <c r="I133" s="497"/>
      <c r="J133" s="497"/>
      <c r="K133" s="497"/>
      <c r="L133" s="497"/>
      <c r="M133" s="497"/>
      <c r="N133" s="498"/>
    </row>
    <row r="134" spans="2:14" s="93" customFormat="1" ht="24.95" customHeight="1">
      <c r="B134" s="410">
        <v>1</v>
      </c>
      <c r="C134" s="411"/>
      <c r="D134" s="412" t="s">
        <v>142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2</v>
      </c>
      <c r="C135" s="411"/>
      <c r="D135" s="412" t="s">
        <v>143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3</v>
      </c>
      <c r="C136" s="411"/>
      <c r="D136" s="412" t="s">
        <v>144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139" customFormat="1" ht="30" customHeight="1">
      <c r="B137" s="496" t="s">
        <v>145</v>
      </c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8"/>
    </row>
    <row r="138" spans="2:14" s="139" customFormat="1" ht="30" customHeight="1">
      <c r="B138" s="511" t="s">
        <v>146</v>
      </c>
      <c r="C138" s="512"/>
      <c r="D138" s="512"/>
      <c r="E138" s="512"/>
      <c r="F138" s="512"/>
      <c r="G138" s="512"/>
      <c r="H138" s="512"/>
      <c r="I138" s="512"/>
      <c r="J138" s="512"/>
      <c r="K138" s="512"/>
      <c r="L138" s="512"/>
      <c r="M138" s="512"/>
      <c r="N138" s="513"/>
    </row>
    <row r="139" spans="2:14" s="93" customFormat="1" ht="24.95" customHeight="1">
      <c r="B139" s="410">
        <v>1</v>
      </c>
      <c r="C139" s="411"/>
      <c r="D139" s="412" t="s">
        <v>147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2</v>
      </c>
      <c r="C140" s="411"/>
      <c r="D140" s="412" t="s">
        <v>402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3</v>
      </c>
      <c r="C141" s="411"/>
      <c r="D141" s="412" t="s">
        <v>148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4</v>
      </c>
      <c r="C142" s="411"/>
      <c r="D142" s="412" t="s">
        <v>149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24.95" customHeight="1">
      <c r="B143" s="410">
        <v>5</v>
      </c>
      <c r="C143" s="411"/>
      <c r="D143" s="412" t="s">
        <v>150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24.95" customHeight="1">
      <c r="B144" s="410">
        <v>6</v>
      </c>
      <c r="C144" s="411"/>
      <c r="D144" s="412" t="s">
        <v>151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140" customFormat="1" ht="30" customHeight="1">
      <c r="B145" s="496" t="s">
        <v>152</v>
      </c>
      <c r="C145" s="497"/>
      <c r="D145" s="497"/>
      <c r="E145" s="497"/>
      <c r="F145" s="497"/>
      <c r="G145" s="497"/>
      <c r="H145" s="497"/>
      <c r="I145" s="497"/>
      <c r="J145" s="497"/>
      <c r="K145" s="497"/>
      <c r="L145" s="497"/>
      <c r="M145" s="497"/>
      <c r="N145" s="498"/>
    </row>
    <row r="146" spans="2:14" s="93" customFormat="1" ht="24.95" customHeight="1">
      <c r="B146" s="410">
        <v>1</v>
      </c>
      <c r="C146" s="411"/>
      <c r="D146" s="412" t="s">
        <v>153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135" customHeight="1">
      <c r="B147" s="410">
        <v>2</v>
      </c>
      <c r="C147" s="411"/>
      <c r="D147" s="499" t="s">
        <v>154</v>
      </c>
      <c r="E147" s="500"/>
      <c r="F147" s="500"/>
      <c r="G147" s="500"/>
      <c r="H147" s="500"/>
      <c r="I147" s="500"/>
      <c r="J147" s="500"/>
      <c r="K147" s="500"/>
      <c r="L147" s="500"/>
      <c r="M147" s="500"/>
      <c r="N147" s="501"/>
    </row>
    <row r="148" spans="2:14" s="93" customFormat="1" ht="24.95" customHeight="1">
      <c r="B148" s="410">
        <v>3</v>
      </c>
      <c r="C148" s="411"/>
      <c r="D148" s="412" t="s">
        <v>155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24.95" customHeight="1">
      <c r="B149" s="410">
        <v>4</v>
      </c>
      <c r="C149" s="411"/>
      <c r="D149" s="412" t="s">
        <v>156</v>
      </c>
      <c r="E149" s="412"/>
      <c r="F149" s="412"/>
      <c r="G149" s="412"/>
      <c r="H149" s="412"/>
      <c r="I149" s="412"/>
      <c r="J149" s="412"/>
      <c r="K149" s="412"/>
      <c r="L149" s="412"/>
      <c r="M149" s="412"/>
      <c r="N149" s="413"/>
    </row>
    <row r="150" spans="2:14" s="140" customFormat="1" ht="30" customHeight="1">
      <c r="B150" s="496" t="s">
        <v>157</v>
      </c>
      <c r="C150" s="497"/>
      <c r="D150" s="497"/>
      <c r="E150" s="497"/>
      <c r="F150" s="497"/>
      <c r="G150" s="497"/>
      <c r="H150" s="497"/>
      <c r="I150" s="497"/>
      <c r="J150" s="497"/>
      <c r="K150" s="497"/>
      <c r="L150" s="497"/>
      <c r="M150" s="497"/>
      <c r="N150" s="498"/>
    </row>
    <row r="151" spans="2:14" s="93" customFormat="1" ht="24.95" customHeight="1">
      <c r="B151" s="410">
        <v>1</v>
      </c>
      <c r="C151" s="411"/>
      <c r="D151" s="412" t="s">
        <v>158</v>
      </c>
      <c r="E151" s="412"/>
      <c r="F151" s="412"/>
      <c r="G151" s="412"/>
      <c r="H151" s="412"/>
      <c r="I151" s="412"/>
      <c r="J151" s="412"/>
      <c r="K151" s="412"/>
      <c r="L151" s="412"/>
      <c r="M151" s="412"/>
      <c r="N151" s="413"/>
    </row>
    <row r="152" spans="2:14" s="93" customFormat="1" ht="55.9" customHeight="1">
      <c r="B152" s="410">
        <v>2</v>
      </c>
      <c r="C152" s="411"/>
      <c r="D152" s="499" t="s">
        <v>159</v>
      </c>
      <c r="E152" s="500"/>
      <c r="F152" s="500"/>
      <c r="G152" s="500"/>
      <c r="H152" s="500"/>
      <c r="I152" s="500"/>
      <c r="J152" s="500"/>
      <c r="K152" s="500"/>
      <c r="L152" s="500"/>
      <c r="M152" s="500"/>
      <c r="N152" s="501"/>
    </row>
    <row r="153" spans="2:14" s="140" customFormat="1" ht="30" customHeight="1">
      <c r="B153" s="496" t="s">
        <v>160</v>
      </c>
      <c r="C153" s="497"/>
      <c r="D153" s="497"/>
      <c r="E153" s="497"/>
      <c r="F153" s="497"/>
      <c r="G153" s="497"/>
      <c r="H153" s="497"/>
      <c r="I153" s="497"/>
      <c r="J153" s="497"/>
      <c r="K153" s="497"/>
      <c r="L153" s="497"/>
      <c r="M153" s="497"/>
      <c r="N153" s="498"/>
    </row>
    <row r="154" spans="2:14" s="93" customFormat="1" ht="24.95" customHeight="1">
      <c r="B154" s="410">
        <v>1</v>
      </c>
      <c r="C154" s="411"/>
      <c r="D154" s="474" t="s">
        <v>161</v>
      </c>
      <c r="E154" s="474"/>
      <c r="F154" s="474"/>
      <c r="G154" s="474"/>
      <c r="H154" s="474"/>
      <c r="I154" s="474"/>
      <c r="J154" s="474"/>
      <c r="K154" s="474"/>
      <c r="L154" s="474"/>
      <c r="M154" s="474"/>
      <c r="N154" s="475"/>
    </row>
    <row r="155" spans="2:14" s="93" customFormat="1" ht="24.95" customHeight="1">
      <c r="B155" s="410">
        <v>2</v>
      </c>
      <c r="C155" s="411"/>
      <c r="D155" s="474" t="s">
        <v>162</v>
      </c>
      <c r="E155" s="474"/>
      <c r="F155" s="474"/>
      <c r="G155" s="474"/>
      <c r="H155" s="474"/>
      <c r="I155" s="474"/>
      <c r="J155" s="474"/>
      <c r="K155" s="474"/>
      <c r="L155" s="474"/>
      <c r="M155" s="474"/>
      <c r="N155" s="475"/>
    </row>
    <row r="156" spans="2:14" s="93" customFormat="1" ht="49.9" customHeight="1">
      <c r="B156" s="410">
        <v>3</v>
      </c>
      <c r="C156" s="411"/>
      <c r="D156" s="493" t="s">
        <v>163</v>
      </c>
      <c r="E156" s="494"/>
      <c r="F156" s="494"/>
      <c r="G156" s="494"/>
      <c r="H156" s="494"/>
      <c r="I156" s="494"/>
      <c r="J156" s="494"/>
      <c r="K156" s="494"/>
      <c r="L156" s="494"/>
      <c r="M156" s="494"/>
      <c r="N156" s="495"/>
    </row>
    <row r="157" spans="2:14" s="93" customFormat="1" ht="24.95" customHeight="1">
      <c r="B157" s="410">
        <v>4</v>
      </c>
      <c r="C157" s="411"/>
      <c r="D157" s="474" t="s">
        <v>164</v>
      </c>
      <c r="E157" s="474"/>
      <c r="F157" s="474"/>
      <c r="G157" s="474"/>
      <c r="H157" s="474"/>
      <c r="I157" s="474"/>
      <c r="J157" s="474"/>
      <c r="K157" s="474"/>
      <c r="L157" s="474"/>
      <c r="M157" s="474"/>
      <c r="N157" s="475"/>
    </row>
    <row r="158" spans="2:14" s="140" customFormat="1" ht="30" customHeight="1">
      <c r="B158" s="496" t="s">
        <v>165</v>
      </c>
      <c r="C158" s="497"/>
      <c r="D158" s="497"/>
      <c r="E158" s="497"/>
      <c r="F158" s="497"/>
      <c r="G158" s="497"/>
      <c r="H158" s="497"/>
      <c r="I158" s="497"/>
      <c r="J158" s="497"/>
      <c r="K158" s="497"/>
      <c r="L158" s="497"/>
      <c r="M158" s="497"/>
      <c r="N158" s="498"/>
    </row>
    <row r="159" spans="2:14" s="93" customFormat="1" ht="24.95" customHeight="1">
      <c r="B159" s="410">
        <v>1</v>
      </c>
      <c r="C159" s="411"/>
      <c r="D159" s="474" t="s">
        <v>166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0">
        <v>2</v>
      </c>
      <c r="C160" s="411"/>
      <c r="D160" s="474" t="s">
        <v>167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10">
        <v>3</v>
      </c>
      <c r="C161" s="411"/>
      <c r="D161" s="474" t="s">
        <v>168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10">
        <v>4</v>
      </c>
      <c r="C162" s="411"/>
      <c r="D162" s="474" t="s">
        <v>401</v>
      </c>
      <c r="E162" s="474"/>
      <c r="F162" s="474"/>
      <c r="G162" s="474"/>
      <c r="H162" s="474"/>
      <c r="I162" s="474"/>
      <c r="J162" s="474"/>
      <c r="K162" s="474"/>
      <c r="L162" s="474"/>
      <c r="M162" s="474"/>
      <c r="N162" s="475"/>
    </row>
    <row r="163" spans="2:14" s="93" customFormat="1" ht="24.95" customHeight="1">
      <c r="B163" s="456" t="s">
        <v>240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24.95" customHeight="1">
      <c r="B164" s="456" t="s">
        <v>241</v>
      </c>
      <c r="C164" s="491"/>
      <c r="D164" s="491"/>
      <c r="E164" s="491"/>
      <c r="F164" s="491"/>
      <c r="G164" s="491"/>
      <c r="H164" s="491"/>
      <c r="I164" s="491"/>
      <c r="J164" s="491"/>
      <c r="K164" s="491"/>
      <c r="L164" s="491"/>
      <c r="M164" s="491"/>
      <c r="N164" s="492"/>
    </row>
    <row r="165" spans="2:14" s="93" customFormat="1" ht="41.25" customHeight="1">
      <c r="B165" s="482"/>
      <c r="C165" s="483"/>
      <c r="D165" s="483"/>
      <c r="E165" s="483"/>
      <c r="F165" s="483"/>
      <c r="G165" s="483"/>
      <c r="H165" s="483"/>
      <c r="I165" s="483"/>
      <c r="J165" s="483"/>
      <c r="K165" s="483"/>
      <c r="L165" s="483"/>
      <c r="M165" s="483"/>
      <c r="N165" s="484"/>
    </row>
    <row r="166" spans="2:14" s="93" customFormat="1" ht="39.950000000000003" customHeight="1">
      <c r="B166" s="485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487"/>
    </row>
    <row r="167" spans="2:14" s="93" customFormat="1" ht="41.25" customHeight="1">
      <c r="B167" s="485"/>
      <c r="C167" s="486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487"/>
    </row>
    <row r="168" spans="2:14" s="93" customFormat="1" ht="39.950000000000003" customHeight="1" thickBot="1">
      <c r="B168" s="488"/>
      <c r="C168" s="489"/>
      <c r="D168" s="489"/>
      <c r="E168" s="489"/>
      <c r="F168" s="489"/>
      <c r="G168" s="489"/>
      <c r="H168" s="489"/>
      <c r="I168" s="489"/>
      <c r="J168" s="489"/>
      <c r="K168" s="489"/>
      <c r="L168" s="489"/>
      <c r="M168" s="489"/>
      <c r="N168" s="490"/>
    </row>
    <row r="169" spans="2:14" s="93" customFormat="1" ht="30" customHeight="1" thickTop="1">
      <c r="B169" s="470" t="s">
        <v>110</v>
      </c>
      <c r="C169" s="471"/>
      <c r="D169" s="471"/>
      <c r="E169" s="476"/>
      <c r="F169" s="477"/>
      <c r="G169" s="477"/>
      <c r="H169" s="477"/>
      <c r="I169" s="477"/>
      <c r="J169" s="477"/>
      <c r="K169" s="477"/>
      <c r="L169" s="478"/>
      <c r="M169" s="471" t="s">
        <v>205</v>
      </c>
      <c r="N169" s="472"/>
    </row>
    <row r="170" spans="2:14" s="93" customFormat="1" ht="33" customHeight="1" thickBot="1">
      <c r="B170" s="473" t="s">
        <v>107</v>
      </c>
      <c r="C170" s="468"/>
      <c r="D170" s="468"/>
      <c r="E170" s="479"/>
      <c r="F170" s="480"/>
      <c r="G170" s="480"/>
      <c r="H170" s="480"/>
      <c r="I170" s="480"/>
      <c r="J170" s="480"/>
      <c r="K170" s="480"/>
      <c r="L170" s="481"/>
      <c r="M170" s="468" t="s">
        <v>108</v>
      </c>
      <c r="N170" s="469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13:C113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27:C127"/>
    <mergeCell ref="D127:N127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D125:N125"/>
    <mergeCell ref="B126:C126"/>
    <mergeCell ref="D126:N126"/>
    <mergeCell ref="B114:C114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42:C42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30:C130"/>
    <mergeCell ref="D130:N130"/>
    <mergeCell ref="B131:C131"/>
    <mergeCell ref="D131:N131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J25" sqref="J2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43664</v>
      </c>
      <c r="F2" s="518" t="s">
        <v>245</v>
      </c>
      <c r="G2" s="518"/>
    </row>
    <row r="3" spans="3:13">
      <c r="C3" s="297" t="s">
        <v>126</v>
      </c>
      <c r="D3" s="519" t="str">
        <f>QUOTATION!F7</f>
        <v>Mr. Peeyush Jain</v>
      </c>
      <c r="E3" s="519"/>
      <c r="F3" s="522" t="s">
        <v>246</v>
      </c>
      <c r="G3" s="523">
        <f>QUOTATION!N8</f>
        <v>43664</v>
      </c>
    </row>
    <row r="4" spans="3:13">
      <c r="C4" s="297" t="s">
        <v>243</v>
      </c>
      <c r="D4" s="520" t="str">
        <f>QUOTATION!M6</f>
        <v>ABPL-DE-19.20-2115-OP-2</v>
      </c>
      <c r="E4" s="520"/>
      <c r="F4" s="522"/>
      <c r="G4" s="524"/>
    </row>
    <row r="5" spans="3:13">
      <c r="C5" s="297" t="s">
        <v>127</v>
      </c>
      <c r="D5" s="519" t="str">
        <f>QUOTATION!F8</f>
        <v>Bangalore</v>
      </c>
      <c r="E5" s="519"/>
      <c r="F5" s="522"/>
      <c r="G5" s="524"/>
    </row>
    <row r="6" spans="3:13">
      <c r="C6" s="297" t="s">
        <v>169</v>
      </c>
      <c r="D6" s="519" t="str">
        <f>QUOTATION!F9</f>
        <v>Mr. Prasanth : 9591855724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177</v>
      </c>
      <c r="D8" s="519" t="str">
        <f>QUOTATION!F10</f>
        <v>Wood Effect</v>
      </c>
      <c r="E8" s="519"/>
      <c r="F8" s="522"/>
      <c r="G8" s="524"/>
    </row>
    <row r="9" spans="3:13">
      <c r="C9" s="297" t="s">
        <v>178</v>
      </c>
      <c r="D9" s="519" t="str">
        <f>QUOTATION!I10</f>
        <v>Black</v>
      </c>
      <c r="E9" s="519"/>
      <c r="F9" s="522"/>
      <c r="G9" s="524"/>
    </row>
    <row r="10" spans="3:13">
      <c r="C10" s="297" t="s">
        <v>180</v>
      </c>
      <c r="D10" s="519" t="str">
        <f>QUOTATION!I8</f>
        <v>1.5Kpa</v>
      </c>
      <c r="E10" s="519"/>
      <c r="F10" s="522"/>
      <c r="G10" s="524"/>
    </row>
    <row r="11" spans="3:13">
      <c r="C11" s="297" t="s">
        <v>242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244</v>
      </c>
      <c r="D12" s="521">
        <f>QUOTATION!M7</f>
        <v>43664</v>
      </c>
      <c r="E12" s="521"/>
      <c r="F12" s="522"/>
      <c r="G12" s="525"/>
    </row>
    <row r="13" spans="3:13">
      <c r="C13" s="193" t="s">
        <v>236</v>
      </c>
      <c r="D13" s="514" t="s">
        <v>232</v>
      </c>
      <c r="E13" s="515"/>
      <c r="F13" s="516" t="s">
        <v>233</v>
      </c>
      <c r="G13" s="517"/>
    </row>
    <row r="14" spans="3:13">
      <c r="C14" s="194" t="s">
        <v>234</v>
      </c>
      <c r="D14" s="296"/>
      <c r="E14" s="244">
        <f>Pricing!L104</f>
        <v>39598.78</v>
      </c>
      <c r="F14" s="205"/>
      <c r="G14" s="206">
        <f>E14</f>
        <v>39598.78</v>
      </c>
    </row>
    <row r="15" spans="3:13">
      <c r="C15" s="194" t="s">
        <v>235</v>
      </c>
      <c r="D15" s="296">
        <f>'Changable Values'!D4</f>
        <v>83</v>
      </c>
      <c r="E15" s="199">
        <f>E14*D15</f>
        <v>3286698.7399999998</v>
      </c>
      <c r="F15" s="205"/>
      <c r="G15" s="207">
        <f>E15</f>
        <v>3286698.7399999998</v>
      </c>
    </row>
    <row r="16" spans="3:13">
      <c r="C16" s="195" t="s">
        <v>97</v>
      </c>
      <c r="D16" s="200">
        <f>'Changable Values'!D5</f>
        <v>0.1</v>
      </c>
      <c r="E16" s="199">
        <f>E15*D16</f>
        <v>328669.87400000001</v>
      </c>
      <c r="F16" s="208">
        <f>'Changable Values'!D5</f>
        <v>0.1</v>
      </c>
      <c r="G16" s="207">
        <f>G15*F16</f>
        <v>328669.87400000001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397690.54753999994</v>
      </c>
      <c r="F17" s="208">
        <f>'Changable Values'!D6</f>
        <v>0.11</v>
      </c>
      <c r="G17" s="207">
        <f>SUM(G15:G16)*F17</f>
        <v>397690.54753999994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20065.2958077</v>
      </c>
      <c r="F18" s="208">
        <f>'Changable Values'!D7</f>
        <v>5.0000000000000001E-3</v>
      </c>
      <c r="G18" s="207">
        <f>SUM(G15:G17)*F18</f>
        <v>20065.2958077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40331.244573477001</v>
      </c>
      <c r="F19" s="208">
        <f>'Changable Values'!D8</f>
        <v>0.01</v>
      </c>
      <c r="G19" s="207">
        <f>SUM(G15:G18)*F19</f>
        <v>40331.244573477001</v>
      </c>
    </row>
    <row r="20" spans="3:7">
      <c r="C20" s="195" t="s">
        <v>99</v>
      </c>
      <c r="D20" s="201"/>
      <c r="E20" s="199">
        <f>SUM(E15:E19)</f>
        <v>4073455.7019211771</v>
      </c>
      <c r="F20" s="208"/>
      <c r="G20" s="207">
        <f>SUM(G15:G19)</f>
        <v>4073455.7019211771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61101.835528817654</v>
      </c>
      <c r="F21" s="208">
        <f>'Changable Values'!D9</f>
        <v>1.4999999999999999E-2</v>
      </c>
      <c r="G21" s="207">
        <f>G20*F21</f>
        <v>61101.835528817654</v>
      </c>
    </row>
    <row r="22" spans="3:7">
      <c r="C22" s="195" t="s">
        <v>190</v>
      </c>
      <c r="D22" s="198"/>
      <c r="E22" s="199">
        <f>'Cost Calculation'!AB109</f>
        <v>74706.919499999989</v>
      </c>
      <c r="F22" s="209"/>
      <c r="G22" s="207">
        <f t="shared" ref="G22:G28" si="0">E22</f>
        <v>74706.919499999989</v>
      </c>
    </row>
    <row r="23" spans="3:7">
      <c r="C23" s="195" t="s">
        <v>229</v>
      </c>
      <c r="D23" s="198"/>
      <c r="E23" s="199">
        <f>'Cost Calculation'!AD109</f>
        <v>1416637.0776599997</v>
      </c>
      <c r="F23" s="209"/>
      <c r="G23" s="207">
        <f t="shared" si="0"/>
        <v>1416637.0776599997</v>
      </c>
    </row>
    <row r="24" spans="3:7">
      <c r="C24" s="195" t="s">
        <v>230</v>
      </c>
      <c r="D24" s="198"/>
      <c r="E24" s="199">
        <f>'Cost Calculation'!AH111</f>
        <v>121445.63478688525</v>
      </c>
      <c r="F24" s="209"/>
      <c r="G24" s="207">
        <f t="shared" si="0"/>
        <v>121445.63478688525</v>
      </c>
    </row>
    <row r="25" spans="3:7">
      <c r="C25" s="196" t="s">
        <v>238</v>
      </c>
      <c r="D25" s="198"/>
      <c r="E25" s="199">
        <f>'Cost Calculation'!AJ109</f>
        <v>36340.495401599997</v>
      </c>
      <c r="F25" s="209"/>
      <c r="G25" s="207">
        <f t="shared" si="0"/>
        <v>36340.495401599997</v>
      </c>
    </row>
    <row r="26" spans="3:7">
      <c r="C26" s="196" t="s">
        <v>239</v>
      </c>
      <c r="D26" s="198"/>
      <c r="E26" s="199">
        <f>'Cost Calculation'!AK109</f>
        <v>1795629.3653376</v>
      </c>
      <c r="F26" s="209"/>
      <c r="G26" s="207">
        <f t="shared" si="0"/>
        <v>1795629.3653376</v>
      </c>
    </row>
    <row r="27" spans="3:7">
      <c r="C27" s="195" t="s">
        <v>86</v>
      </c>
      <c r="D27" s="198"/>
      <c r="E27" s="199">
        <f>'Cost Calculation'!AL109</f>
        <v>551831.39612639998</v>
      </c>
      <c r="F27" s="209"/>
      <c r="G27" s="207">
        <f t="shared" si="0"/>
        <v>551831.39612639998</v>
      </c>
    </row>
    <row r="28" spans="3:7">
      <c r="C28" s="195" t="s">
        <v>88</v>
      </c>
      <c r="D28" s="198"/>
      <c r="E28" s="199">
        <f>'Cost Calculation'!AN109</f>
        <v>496648.25651375996</v>
      </c>
      <c r="F28" s="209"/>
      <c r="G28" s="207">
        <f t="shared" si="0"/>
        <v>496648.25651375996</v>
      </c>
    </row>
    <row r="29" spans="3:7">
      <c r="C29" s="293" t="s">
        <v>379</v>
      </c>
      <c r="D29" s="294"/>
      <c r="E29" s="295">
        <f>SUM(E20:E28)</f>
        <v>8627796.6827762406</v>
      </c>
      <c r="F29" s="209"/>
      <c r="G29" s="207">
        <f>SUM(G20:G21,G24)</f>
        <v>4256003.1722368803</v>
      </c>
    </row>
    <row r="30" spans="3:7">
      <c r="C30" s="293" t="s">
        <v>380</v>
      </c>
      <c r="D30" s="294"/>
      <c r="E30" s="295">
        <f>E29/E33</f>
        <v>1563.4841988584494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5320003.9652961008</v>
      </c>
      <c r="F31" s="214">
        <f>'Changable Values'!D23</f>
        <v>1.25</v>
      </c>
      <c r="G31" s="207">
        <f>G29*F31</f>
        <v>5320003.9652961008</v>
      </c>
    </row>
    <row r="32" spans="3:7">
      <c r="C32" s="290" t="s">
        <v>5</v>
      </c>
      <c r="D32" s="291"/>
      <c r="E32" s="292">
        <f>E31+E29</f>
        <v>13947800.648072341</v>
      </c>
      <c r="F32" s="205"/>
      <c r="G32" s="207">
        <f>SUM(G25:G31,G22:G23)</f>
        <v>13947800.648072341</v>
      </c>
    </row>
    <row r="33" spans="3:7">
      <c r="C33" s="300" t="s">
        <v>231</v>
      </c>
      <c r="D33" s="301"/>
      <c r="E33" s="308">
        <f>'Cost Calculation'!K109</f>
        <v>5518.3139612639998</v>
      </c>
      <c r="F33" s="210"/>
      <c r="G33" s="211">
        <f>E33</f>
        <v>5518.3139612639998</v>
      </c>
    </row>
    <row r="34" spans="3:7">
      <c r="C34" s="302" t="s">
        <v>9</v>
      </c>
      <c r="D34" s="303"/>
      <c r="E34" s="304">
        <f>QUOTATION!L116</f>
        <v>112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2527.5474983807412</v>
      </c>
      <c r="F35" s="212"/>
      <c r="G35" s="213">
        <f>G32/(G33)</f>
        <v>2527.5474983807412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2019-07-19T05:01:19Z</cp:lastPrinted>
  <dcterms:created xsi:type="dcterms:W3CDTF">2010-12-18T06:34:46Z</dcterms:created>
  <dcterms:modified xsi:type="dcterms:W3CDTF">2019-07-23T04:26:51Z</dcterms:modified>
</cp:coreProperties>
</file>