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Drawings!$C$2:$O$414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14" i="158" l="1"/>
  <c r="R8" i="158"/>
  <c r="Q18" i="158"/>
  <c r="Q10" i="158"/>
  <c r="Q6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AH56" i="159" s="1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5" i="160" l="1"/>
  <c r="M36" i="160"/>
  <c r="AH10" i="159"/>
  <c r="M52" i="160"/>
  <c r="M34" i="160"/>
  <c r="AH48" i="159"/>
  <c r="AH13" i="159"/>
  <c r="AH32" i="159"/>
  <c r="AH45" i="159"/>
  <c r="AH50" i="159"/>
  <c r="AH53" i="159"/>
  <c r="AH47" i="159"/>
  <c r="AH43" i="159"/>
  <c r="AH46" i="159"/>
  <c r="AH54" i="159"/>
  <c r="AH57" i="159"/>
  <c r="M26" i="160"/>
  <c r="AH51" i="159"/>
  <c r="AH52" i="159"/>
  <c r="AH55" i="159"/>
  <c r="AH49" i="159"/>
  <c r="AH44" i="159"/>
  <c r="M51" i="160"/>
  <c r="AH42" i="159"/>
  <c r="M50" i="160"/>
  <c r="AH41" i="159"/>
  <c r="AH40" i="159"/>
  <c r="AH39" i="159"/>
  <c r="AH38" i="159"/>
  <c r="AH37" i="159"/>
  <c r="AH36" i="159"/>
  <c r="AH35" i="159"/>
  <c r="AH34" i="159"/>
  <c r="M42" i="160"/>
  <c r="AH33" i="159"/>
  <c r="M41" i="160"/>
  <c r="M40" i="160"/>
  <c r="AH31" i="159"/>
  <c r="AH30" i="159"/>
  <c r="M38" i="160"/>
  <c r="AH29" i="159"/>
  <c r="M37" i="160"/>
  <c r="AH28" i="159"/>
  <c r="AH27" i="159"/>
  <c r="M35" i="160"/>
  <c r="AH26" i="159"/>
  <c r="AH25" i="159"/>
  <c r="AH24" i="159"/>
  <c r="AH23" i="159"/>
  <c r="M31" i="160"/>
  <c r="AH22" i="159"/>
  <c r="M30" i="160"/>
  <c r="AH21" i="159"/>
  <c r="AH20" i="159"/>
  <c r="AH19" i="159"/>
  <c r="AH18" i="159"/>
  <c r="AH17" i="159"/>
  <c r="AH16" i="159"/>
  <c r="AH15" i="159"/>
  <c r="AH14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S81" i="159" s="1"/>
  <c r="T18" i="159"/>
  <c r="U18" i="159" s="1"/>
  <c r="V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<sst xmlns="http://schemas.openxmlformats.org/spreadsheetml/2006/main" count="2138" uniqueCount="514">
  <si>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</si>
  <si>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</si>
  <si>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</si>
  <si>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</si>
  <si>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</si>
  <si>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</si>
  <si>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</si>
  <si>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</si>
  <si>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</si>
  <si>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</si>
  <si>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</si>
  <si>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</si>
  <si>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</si>
  <si>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</si>
  <si>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</si>
  <si>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</si>
  <si>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</si>
  <si>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</si>
  <si>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</si>
  <si>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</si>
  <si>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</si>
  <si>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</si>
  <si>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</si>
  <si>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</si>
  <si>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</si>
  <si>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</si>
  <si>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</si>
  <si>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</si>
  <si>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</si>
  <si>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</si>
  <si>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</si>
  <si>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</si>
  <si>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</si>
  <si>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</si>
  <si>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</si>
  <si>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</si>
  <si>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</si>
  <si>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</si>
  <si>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</si>
  <si>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</si>
  <si>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</si>
  <si>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</si>
  <si>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</si>
  <si>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</si>
  <si>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</si>
  <si>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</si>
  <si>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</si>
  <si>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</si>
  <si>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</si>
  <si>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</si>
  <si>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</si>
  <si>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</si>
  <si>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</si>
  <si>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</si>
  <si>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</si>
  <si>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</si>
  <si>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</si>
  <si>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</si>
  <si>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</si>
  <si>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</si>
  <si>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</si>
  <si>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</si>
  <si>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</si>
  <si>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</si>
  <si>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</si>
  <si>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</si>
  <si>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</si>
  <si>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</si>
  <si>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</si>
  <si>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</si>
  <si>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</si>
  <si>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</si>
  <si>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</si>
  <si>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</si>
  <si>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</si>
  <si>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</si>
  <si>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</si>
  <si>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</si>
  <si>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</si>
  <si>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</si>
  <si>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</si>
  <si>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</si>
  <si>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</si>
  <si>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</si>
  <si>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</si>
  <si>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</si>
  <si>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</si>
  <si>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</si>
  <si>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</si>
  <si>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</si>
  <si>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</si>
  <si>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</si>
  <si>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</si>
  <si>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</si>
  <si>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</si>
  <si>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</si>
  <si>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</si>
  <si>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</si>
  <si>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</si>
  <si>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</si>
  <si>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</si>
  <si>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</si>
  <si>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</si>
  <si>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</si>
  <si>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</si>
  <si>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</si>
  <si>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</si>
  <si>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</si>
  <si>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</si>
  <si>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</si>
  <si>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</si>
  <si>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</si>
  <si>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</si>
  <si>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</si>
  <si>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</si>
  <si>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</si>
  <si>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</si>
  <si>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</si>
  <si>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</si>
  <si>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</si>
  <si>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</si>
  <si>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</si>
  <si>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</si>
  <si>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</si>
  <si>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</si>
  <si>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</si>
  <si>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</si>
  <si>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</si>
  <si>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</si>
  <si>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</si>
  <si>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</si>
  <si>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</si>
  <si>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</si>
  <si>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</si>
  <si>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</si>
  <si>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</si>
  <si>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</si>
  <si>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</si>
  <si>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</si>
  <si>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</si>
  <si>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</si>
  <si>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</si>
  <si>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</si>
  <si>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</si>
  <si>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</si>
  <si>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</si>
  <si>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</si>
  <si>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</si>
  <si>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</si>
  <si>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</si>
  <si>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</si>
  <si>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</si>
  <si>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</si>
  <si>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</si>
  <si>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</si>
  <si>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</si>
  <si>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</si>
  <si>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</si>
  <si>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</si>
  <si>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</si>
  <si>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</si>
  <si>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</si>
  <si>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</si>
  <si>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</si>
  <si>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</si>
  <si>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</si>
  <si>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</si>
  <si>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</si>
  <si>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</si>
  <si>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</si>
  <si>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</si>
  <si>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</si>
  <si>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</si>
  <si>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</si>
  <si>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</si>
  <si>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</si>
  <si>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</si>
  <si>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</si>
  <si>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</si>
  <si>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</si>
  <si>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</si>
  <si>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</si>
  <si>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</si>
  <si>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</si>
  <si>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</si>
  <si>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</si>
  <si>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</si>
  <si>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</si>
  <si>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</si>
  <si>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</si>
  <si>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</si>
  <si>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</si>
  <si>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</si>
  <si>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</si>
  <si>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</si>
  <si>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</si>
  <si>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</si>
  <si>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</si>
  <si>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</si>
  <si>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</si>
  <si>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</si>
  <si>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</si>
  <si>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</si>
  <si>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</si>
  <si>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</si>
  <si>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</si>
  <si>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</si>
  <si>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</si>
  <si>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</si>
  <si>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</si>
  <si>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</si>
  <si>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</si>
  <si>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</si>
  <si>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</si>
  <si>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</si>
  <si>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</si>
  <si>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</si>
  <si>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</si>
  <si>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</si>
  <si>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</si>
  <si>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</si>
  <si>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</si>
  <si>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</si>
  <si>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</si>
  <si>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</si>
  <si>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</si>
  <si>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</si>
  <si>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</si>
  <si>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</si>
  <si>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</si>
  <si>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</si>
  <si>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</si>
  <si>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</si>
  <si>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</si>
  <si>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</si>
  <si>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</si>
  <si>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</si>
  <si>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</si>
  <si>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</si>
  <si>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</si>
  <si>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</si>
  <si>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</si>
  <si>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</si>
  <si>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</si>
  <si>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</si>
  <si>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</si>
  <si>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</si>
  <si>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</si>
  <si>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</si>
  <si>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</si>
  <si>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</si>
  <si>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</si>
  <si>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</si>
  <si>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</si>
  <si>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</si>
  <si>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</si>
  <si>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</si>
  <si>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</si>
  <si>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</si>
  <si>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</si>
  <si>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</si>
  <si>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</si>
  <si>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</si>
  <si>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</si>
  <si>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</si>
  <si>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</si>
  <si>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</si>
  <si>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</si>
  <si>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</si>
  <si>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</si>
  <si>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</si>
  <si>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</si>
  <si>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</si>
  <si>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</si>
  <si>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</si>
  <si>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</si>
  <si>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</si>
  <si>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</si>
  <si>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</si>
  <si>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</si>
  <si>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</si>
  <si>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</si>
  <si>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</si>
  <si>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</si>
  <si>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</si>
  <si>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</si>
  <si>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</si>
  <si>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</si>
  <si>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</si>
  <si>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</si>
  <si>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</si>
  <si>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</si>
  <si>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</si>
  <si>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</si>
  <si>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</si>
  <si>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</si>
  <si>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</si>
  <si>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</si>
  <si>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</si>
  <si>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</si>
  <si>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</si>
  <si>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</si>
  <si>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</si>
  <si>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</si>
  <si>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</si>
  <si>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</si>
  <si>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</si>
  <si>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</si>
  <si>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</si>
  <si>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</si>
  <si>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</si>
  <si>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</si>
  <si>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</si>
  <si>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</si>
  <si>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</si>
  <si>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</si>
  <si>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</si>
  <si>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</si>
  <si>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</si>
  <si>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</si>
  <si>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</si>
  <si>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</si>
  <si>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</si>
  <si>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</si>
  <si>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</si>
  <si>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</si>
  <si>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</si>
  <si>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</si>
  <si>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</si>
  <si>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</si>
  <si>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</si>
  <si>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</si>
  <si>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</si>
  <si>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</si>
  <si>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</si>
  <si>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</si>
  <si>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</si>
  <si>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</si>
  <si>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</si>
  <si>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</si>
  <si>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</si>
  <si>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</si>
  <si>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</si>
  <si>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</si>
  <si>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</si>
  <si>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</si>
  <si>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</si>
  <si>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</si>
  <si>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</si>
  <si>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</si>
  <si>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</si>
  <si>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</si>
  <si>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</si>
  <si>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</si>
  <si>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</si>
  <si>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</si>
  <si>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</si>
  <si>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</si>
  <si>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</si>
  <si>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</si>
  <si>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</si>
  <si>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</si>
  <si>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</si>
  <si>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</si>
  <si>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</si>
  <si>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</si>
  <si>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</si>
  <si>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</si>
  <si>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</si>
  <si>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</si>
  <si>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</si>
  <si>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</si>
  <si>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</si>
  <si>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</si>
  <si>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</si>
  <si>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</si>
  <si>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</si>
  <si>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</si>
  <si>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</si>
  <si>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</si>
  <si>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</si>
  <si>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</si>
  <si>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</si>
  <si>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</si>
  <si>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</si>
  <si>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</si>
  <si>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</si>
  <si>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</si>
  <si>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</si>
  <si>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</si>
  <si>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</si>
  <si>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</si>
  <si>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</si>
  <si>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</si>
  <si>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</si>
  <si>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</si>
  <si>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</si>
  <si>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</si>
  <si>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</si>
  <si>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</si>
  <si>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</si>
  <si>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</si>
  <si>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</si>
  <si>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</si>
  <si>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</si>
  <si>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</si>
  <si>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</si>
  <si>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</si>
  <si>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</si>
  <si>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</si>
  <si>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</si>
  <si>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</si>
  <si>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</si>
  <si>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</si>
  <si>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</si>
  <si>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</si>
  <si>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</si>
  <si>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</si>
  <si>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</si>
  <si>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</si>
  <si>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ABPL-DE-19.20-2116</t>
  </si>
  <si>
    <t>Mr. Balaji residence</t>
  </si>
  <si>
    <t>Hyderabad</t>
  </si>
  <si>
    <t>Anodised</t>
  </si>
  <si>
    <t>W1</t>
  </si>
  <si>
    <t>M15000</t>
  </si>
  <si>
    <t>FIXED GLASS 2 NO'S</t>
  </si>
  <si>
    <t>NO</t>
  </si>
  <si>
    <t>GF - DRAWING</t>
  </si>
  <si>
    <t>W2</t>
  </si>
  <si>
    <t>GF - DRAWING OPEN TO SKY</t>
  </si>
  <si>
    <t>W3</t>
  </si>
  <si>
    <t>M14600</t>
  </si>
  <si>
    <t>3 TRACK 2 SHUTTER SLIDING WINDOW</t>
  </si>
  <si>
    <t>SS</t>
  </si>
  <si>
    <t>GF - WET KITCHEN</t>
  </si>
  <si>
    <t>W4</t>
  </si>
  <si>
    <t>FIXED GLASS</t>
  </si>
  <si>
    <t>GF - OPEN KITCHEN</t>
  </si>
  <si>
    <t>W4A</t>
  </si>
  <si>
    <t>2 TRACK 4 SHUTTER SLIDING DOOR</t>
  </si>
  <si>
    <t>RETRACTABLE</t>
  </si>
  <si>
    <t>GF - OPEN KITCHEN / DINING</t>
  </si>
  <si>
    <t>W5</t>
  </si>
  <si>
    <t>TOP HUNG WINDOW</t>
  </si>
  <si>
    <t>12MM (F)</t>
  </si>
  <si>
    <t>GF - TOILET</t>
  </si>
  <si>
    <t>W6</t>
  </si>
  <si>
    <t>GF - BEDROOM</t>
  </si>
  <si>
    <t>W7</t>
  </si>
  <si>
    <t>GF - POWDER ROOM</t>
  </si>
  <si>
    <t>W8</t>
  </si>
  <si>
    <t>FIXED GLASS 3 NO'S</t>
  </si>
  <si>
    <t>GF - WIDE PASSAGE</t>
  </si>
  <si>
    <t>W9</t>
  </si>
  <si>
    <t>FIXED GLASS 3 NO'S CORNOR WINDOW</t>
  </si>
  <si>
    <t>1F - BALCONY</t>
  </si>
  <si>
    <t>W9A</t>
  </si>
  <si>
    <t>2 TRACK 2 SHUTTER SLIDING DOOR</t>
  </si>
  <si>
    <t>W10</t>
  </si>
  <si>
    <t>1F - POOJA ROOM</t>
  </si>
  <si>
    <t>W11</t>
  </si>
  <si>
    <t>1F - PRANEETH BEDROOM</t>
  </si>
  <si>
    <t>W12</t>
  </si>
  <si>
    <t>TOP HUNG WINDOW WITH TOP FIXED</t>
  </si>
  <si>
    <t>1F - PRANEETH BEDROOM TOILET</t>
  </si>
  <si>
    <t>W13</t>
  </si>
  <si>
    <t>3 TRACK 2 SHUTTER SLIDING DOOR</t>
  </si>
  <si>
    <t>1F - MASTER BEDROOM</t>
  </si>
  <si>
    <t>W14</t>
  </si>
  <si>
    <t>W15</t>
  </si>
  <si>
    <t>1F - MASTER TOILET</t>
  </si>
  <si>
    <t>W16</t>
  </si>
  <si>
    <t>1F - MASTER DRESSING</t>
  </si>
  <si>
    <t>W17</t>
  </si>
  <si>
    <t>1F - GBR TOILET</t>
  </si>
  <si>
    <t>W18</t>
  </si>
  <si>
    <t>1F - GUEST BEDROOM</t>
  </si>
  <si>
    <t>W19</t>
  </si>
  <si>
    <t>W20</t>
  </si>
  <si>
    <t>1F - LOUNGE</t>
  </si>
  <si>
    <t>W21</t>
  </si>
  <si>
    <t>SF85</t>
  </si>
  <si>
    <t>4 LEAF SLIDE &amp; FOLD DOOR</t>
  </si>
  <si>
    <t>2F - OPEN BALCONY</t>
  </si>
  <si>
    <t>W22</t>
  </si>
  <si>
    <t>FIXED GLASS 4 NO'S</t>
  </si>
  <si>
    <t>2F - BILLARDS</t>
  </si>
  <si>
    <t>W23</t>
  </si>
  <si>
    <t>2F - HOME THEATER</t>
  </si>
  <si>
    <t>W24</t>
  </si>
  <si>
    <t>2F - BEDROOM</t>
  </si>
  <si>
    <t>W25</t>
  </si>
  <si>
    <t>2F - SON'S BEDROOM</t>
  </si>
  <si>
    <t>W26</t>
  </si>
  <si>
    <t>2F - BATHROOM</t>
  </si>
  <si>
    <t>W27</t>
  </si>
  <si>
    <t>W28</t>
  </si>
  <si>
    <t>2F - DRESSING</t>
  </si>
  <si>
    <t>W29</t>
  </si>
  <si>
    <t>2F - PW. ROOM</t>
  </si>
  <si>
    <t>W30</t>
  </si>
  <si>
    <t>2F - STORE</t>
  </si>
  <si>
    <t>W31</t>
  </si>
  <si>
    <t>2F - GYM</t>
  </si>
  <si>
    <t>W32</t>
  </si>
  <si>
    <t>W33</t>
  </si>
  <si>
    <t>POOL AREA DRESS</t>
  </si>
  <si>
    <t>W34</t>
  </si>
  <si>
    <t>POOL AREA</t>
  </si>
  <si>
    <t>W35</t>
  </si>
  <si>
    <t>10mm :- 10mm Clear Toughened Glass</t>
  </si>
  <si>
    <t>12mm :- 12mm Clear Toughened Glass</t>
  </si>
  <si>
    <t>12mm (F) :- 12mm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</si>
</sst>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2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124240</xdr:colOff>
      <xdr:row>9</xdr:row>
      <xdr:rowOff>314739</xdr:rowOff>
    </xdr:from>
    <xdr:to>
      <xdr:col>10</xdr:col>
      <xdr:colOff>391774</xdr:colOff>
      <xdr:row>14</xdr:row>
      <xdr:rowOff>24847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370" y="2103782"/>
          <a:ext cx="5949404" cy="1283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438977</xdr:colOff>
      <xdr:row>19</xdr:row>
      <xdr:rowOff>57977</xdr:rowOff>
    </xdr:from>
    <xdr:to>
      <xdr:col>8</xdr:col>
      <xdr:colOff>107673</xdr:colOff>
      <xdr:row>27</xdr:row>
      <xdr:rowOff>208702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8" y="4845325"/>
          <a:ext cx="2998305" cy="2668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31</xdr:row>
      <xdr:rowOff>273326</xdr:rowOff>
    </xdr:from>
    <xdr:to>
      <xdr:col>6</xdr:col>
      <xdr:colOff>198783</xdr:colOff>
      <xdr:row>36</xdr:row>
      <xdr:rowOff>78581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9" y="8688456"/>
          <a:ext cx="2020957" cy="1378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314738</xdr:colOff>
      <xdr:row>41</xdr:row>
      <xdr:rowOff>132521</xdr:rowOff>
    </xdr:from>
    <xdr:to>
      <xdr:col>6</xdr:col>
      <xdr:colOff>49695</xdr:colOff>
      <xdr:row>49</xdr:row>
      <xdr:rowOff>219916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8" y="11545956"/>
          <a:ext cx="1714500" cy="2605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182217</xdr:colOff>
      <xdr:row>52</xdr:row>
      <xdr:rowOff>91109</xdr:rowOff>
    </xdr:from>
    <xdr:to>
      <xdr:col>8</xdr:col>
      <xdr:colOff>149087</xdr:colOff>
      <xdr:row>60</xdr:row>
      <xdr:rowOff>202430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478" y="14817587"/>
          <a:ext cx="3296479" cy="26292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530086</xdr:colOff>
      <xdr:row>64</xdr:row>
      <xdr:rowOff>57979</xdr:rowOff>
    </xdr:from>
    <xdr:to>
      <xdr:col>5</xdr:col>
      <xdr:colOff>1731065</xdr:colOff>
      <xdr:row>70</xdr:row>
      <xdr:rowOff>10174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6" y="18412240"/>
          <a:ext cx="1200979" cy="1840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380998</xdr:colOff>
      <xdr:row>74</xdr:row>
      <xdr:rowOff>107672</xdr:rowOff>
    </xdr:from>
    <xdr:to>
      <xdr:col>6</xdr:col>
      <xdr:colOff>8282</xdr:colOff>
      <xdr:row>82</xdr:row>
      <xdr:rowOff>238146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8" y="21460237"/>
          <a:ext cx="1606827" cy="2648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496956</xdr:colOff>
      <xdr:row>87</xdr:row>
      <xdr:rowOff>207064</xdr:rowOff>
    </xdr:from>
    <xdr:to>
      <xdr:col>8</xdr:col>
      <xdr:colOff>64640</xdr:colOff>
      <xdr:row>90</xdr:row>
      <xdr:rowOff>124238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152" y="25502151"/>
          <a:ext cx="3485358" cy="861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207063</xdr:colOff>
      <xdr:row>96</xdr:row>
      <xdr:rowOff>132521</xdr:rowOff>
    </xdr:from>
    <xdr:to>
      <xdr:col>9</xdr:col>
      <xdr:colOff>190499</xdr:colOff>
      <xdr:row>104</xdr:row>
      <xdr:rowOff>211280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259" y="28111173"/>
          <a:ext cx="4489175" cy="2596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240195</xdr:colOff>
      <xdr:row>107</xdr:row>
      <xdr:rowOff>132522</xdr:rowOff>
    </xdr:from>
    <xdr:to>
      <xdr:col>6</xdr:col>
      <xdr:colOff>339587</xdr:colOff>
      <xdr:row>115</xdr:row>
      <xdr:rowOff>208581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5" y="31424218"/>
          <a:ext cx="2078935" cy="2593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298172</xdr:colOff>
      <xdr:row>118</xdr:row>
      <xdr:rowOff>157369</xdr:rowOff>
    </xdr:from>
    <xdr:to>
      <xdr:col>5</xdr:col>
      <xdr:colOff>1904999</xdr:colOff>
      <xdr:row>126</xdr:row>
      <xdr:rowOff>167249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6172" y="34762108"/>
          <a:ext cx="1606827" cy="25277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637759</xdr:colOff>
      <xdr:row>129</xdr:row>
      <xdr:rowOff>91109</xdr:rowOff>
    </xdr:from>
    <xdr:to>
      <xdr:col>5</xdr:col>
      <xdr:colOff>1656520</xdr:colOff>
      <xdr:row>137</xdr:row>
      <xdr:rowOff>192579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759" y="38008892"/>
          <a:ext cx="1018761" cy="2619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530087</xdr:colOff>
      <xdr:row>140</xdr:row>
      <xdr:rowOff>132520</xdr:rowOff>
    </xdr:from>
    <xdr:to>
      <xdr:col>5</xdr:col>
      <xdr:colOff>1822174</xdr:colOff>
      <xdr:row>148</xdr:row>
      <xdr:rowOff>146188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7" y="41363346"/>
          <a:ext cx="1292087" cy="25315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621196</xdr:colOff>
      <xdr:row>151</xdr:row>
      <xdr:rowOff>165651</xdr:rowOff>
    </xdr:from>
    <xdr:to>
      <xdr:col>5</xdr:col>
      <xdr:colOff>1863588</xdr:colOff>
      <xdr:row>159</xdr:row>
      <xdr:rowOff>135291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196" y="44709521"/>
          <a:ext cx="1242392" cy="2487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215348</xdr:colOff>
      <xdr:row>162</xdr:row>
      <xdr:rowOff>49695</xdr:rowOff>
    </xdr:from>
    <xdr:to>
      <xdr:col>5</xdr:col>
      <xdr:colOff>1863588</xdr:colOff>
      <xdr:row>170</xdr:row>
      <xdr:rowOff>250444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8" y="47906608"/>
          <a:ext cx="1648240" cy="2718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621196</xdr:colOff>
      <xdr:row>173</xdr:row>
      <xdr:rowOff>157368</xdr:rowOff>
    </xdr:from>
    <xdr:to>
      <xdr:col>5</xdr:col>
      <xdr:colOff>1590262</xdr:colOff>
      <xdr:row>181</xdr:row>
      <xdr:rowOff>241186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196" y="51327325"/>
          <a:ext cx="969066" cy="26017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828260</xdr:colOff>
      <xdr:row>184</xdr:row>
      <xdr:rowOff>107674</xdr:rowOff>
    </xdr:from>
    <xdr:to>
      <xdr:col>5</xdr:col>
      <xdr:colOff>1416326</xdr:colOff>
      <xdr:row>192</xdr:row>
      <xdr:rowOff>261625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60" y="54590674"/>
          <a:ext cx="588066" cy="26718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588064</xdr:colOff>
      <xdr:row>195</xdr:row>
      <xdr:rowOff>74545</xdr:rowOff>
    </xdr:from>
    <xdr:to>
      <xdr:col>5</xdr:col>
      <xdr:colOff>1581977</xdr:colOff>
      <xdr:row>203</xdr:row>
      <xdr:rowOff>225073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064" y="57870588"/>
          <a:ext cx="993913" cy="2668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480390</xdr:colOff>
      <xdr:row>207</xdr:row>
      <xdr:rowOff>198782</xdr:rowOff>
    </xdr:from>
    <xdr:to>
      <xdr:col>5</xdr:col>
      <xdr:colOff>1664803</xdr:colOff>
      <xdr:row>211</xdr:row>
      <xdr:rowOff>260000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8390" y="61622608"/>
          <a:ext cx="1184413" cy="132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405847</xdr:colOff>
      <xdr:row>217</xdr:row>
      <xdr:rowOff>140804</xdr:rowOff>
    </xdr:from>
    <xdr:to>
      <xdr:col>5</xdr:col>
      <xdr:colOff>1673087</xdr:colOff>
      <xdr:row>225</xdr:row>
      <xdr:rowOff>105793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7" y="64562934"/>
          <a:ext cx="1267240" cy="2482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223630</xdr:colOff>
      <xdr:row>228</xdr:row>
      <xdr:rowOff>115955</xdr:rowOff>
    </xdr:from>
    <xdr:to>
      <xdr:col>8</xdr:col>
      <xdr:colOff>99391</xdr:colOff>
      <xdr:row>236</xdr:row>
      <xdr:rowOff>214303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1" y="67851129"/>
          <a:ext cx="3205370" cy="2616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472108</xdr:colOff>
      <xdr:row>239</xdr:row>
      <xdr:rowOff>273325</xdr:rowOff>
    </xdr:from>
    <xdr:to>
      <xdr:col>10</xdr:col>
      <xdr:colOff>331305</xdr:colOff>
      <xdr:row>247</xdr:row>
      <xdr:rowOff>153655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8238" y="71321542"/>
          <a:ext cx="5541067" cy="2398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571500</xdr:colOff>
      <xdr:row>250</xdr:row>
      <xdr:rowOff>57978</xdr:rowOff>
    </xdr:from>
    <xdr:to>
      <xdr:col>8</xdr:col>
      <xdr:colOff>207065</xdr:colOff>
      <xdr:row>258</xdr:row>
      <xdr:rowOff>234178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1" y="74419239"/>
          <a:ext cx="2965174" cy="2694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223629</xdr:colOff>
      <xdr:row>261</xdr:row>
      <xdr:rowOff>74545</xdr:rowOff>
    </xdr:from>
    <xdr:to>
      <xdr:col>9</xdr:col>
      <xdr:colOff>422412</xdr:colOff>
      <xdr:row>269</xdr:row>
      <xdr:rowOff>239854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5" y="77748849"/>
          <a:ext cx="4704522" cy="2683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</xdr:colOff>
      <xdr:row>272</xdr:row>
      <xdr:rowOff>91109</xdr:rowOff>
    </xdr:from>
    <xdr:to>
      <xdr:col>9</xdr:col>
      <xdr:colOff>115956</xdr:colOff>
      <xdr:row>280</xdr:row>
      <xdr:rowOff>190080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543" y="81078457"/>
          <a:ext cx="4025348" cy="2616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283</xdr:row>
      <xdr:rowOff>82826</xdr:rowOff>
    </xdr:from>
    <xdr:to>
      <xdr:col>6</xdr:col>
      <xdr:colOff>331305</xdr:colOff>
      <xdr:row>291</xdr:row>
      <xdr:rowOff>203293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84383217"/>
          <a:ext cx="2377109" cy="2638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786848</xdr:colOff>
      <xdr:row>294</xdr:row>
      <xdr:rowOff>66261</xdr:rowOff>
    </xdr:from>
    <xdr:to>
      <xdr:col>5</xdr:col>
      <xdr:colOff>1308652</xdr:colOff>
      <xdr:row>302</xdr:row>
      <xdr:rowOff>228388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4848" y="87679696"/>
          <a:ext cx="521804" cy="268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737152</xdr:colOff>
      <xdr:row>305</xdr:row>
      <xdr:rowOff>66261</xdr:rowOff>
    </xdr:from>
    <xdr:to>
      <xdr:col>5</xdr:col>
      <xdr:colOff>1408044</xdr:colOff>
      <xdr:row>313</xdr:row>
      <xdr:rowOff>281203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2" y="90992739"/>
          <a:ext cx="670892" cy="2732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646042</xdr:colOff>
      <xdr:row>316</xdr:row>
      <xdr:rowOff>107673</xdr:rowOff>
    </xdr:from>
    <xdr:to>
      <xdr:col>5</xdr:col>
      <xdr:colOff>1358347</xdr:colOff>
      <xdr:row>324</xdr:row>
      <xdr:rowOff>219287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4042" y="94347195"/>
          <a:ext cx="712305" cy="2629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496955</xdr:colOff>
      <xdr:row>327</xdr:row>
      <xdr:rowOff>107674</xdr:rowOff>
    </xdr:from>
    <xdr:to>
      <xdr:col>5</xdr:col>
      <xdr:colOff>1482586</xdr:colOff>
      <xdr:row>335</xdr:row>
      <xdr:rowOff>235967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955" y="97660239"/>
          <a:ext cx="985631" cy="2646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298174</xdr:colOff>
      <xdr:row>339</xdr:row>
      <xdr:rowOff>173935</xdr:rowOff>
    </xdr:from>
    <xdr:to>
      <xdr:col>5</xdr:col>
      <xdr:colOff>1681370</xdr:colOff>
      <xdr:row>344</xdr:row>
      <xdr:rowOff>141984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6174" y="101354283"/>
          <a:ext cx="1383196" cy="1541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349</xdr:row>
      <xdr:rowOff>223630</xdr:rowOff>
    </xdr:from>
    <xdr:to>
      <xdr:col>5</xdr:col>
      <xdr:colOff>1731065</xdr:colOff>
      <xdr:row>356</xdr:row>
      <xdr:rowOff>227061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104402282"/>
          <a:ext cx="1441174" cy="2206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530086</xdr:colOff>
      <xdr:row>360</xdr:row>
      <xdr:rowOff>107674</xdr:rowOff>
    </xdr:from>
    <xdr:to>
      <xdr:col>6</xdr:col>
      <xdr:colOff>323022</xdr:colOff>
      <xdr:row>368</xdr:row>
      <xdr:rowOff>219987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7" y="107599370"/>
          <a:ext cx="2468218" cy="26302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371</xdr:row>
      <xdr:rowOff>82825</xdr:rowOff>
    </xdr:from>
    <xdr:to>
      <xdr:col>8</xdr:col>
      <xdr:colOff>57978</xdr:colOff>
      <xdr:row>379</xdr:row>
      <xdr:rowOff>240195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110887564"/>
          <a:ext cx="2832653" cy="2675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695737</xdr:colOff>
      <xdr:row>383</xdr:row>
      <xdr:rowOff>207064</xdr:rowOff>
    </xdr:from>
    <xdr:to>
      <xdr:col>5</xdr:col>
      <xdr:colOff>1548846</xdr:colOff>
      <xdr:row>388</xdr:row>
      <xdr:rowOff>97166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737" y="114639586"/>
          <a:ext cx="853109" cy="1463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393</xdr:row>
      <xdr:rowOff>57977</xdr:rowOff>
    </xdr:from>
    <xdr:to>
      <xdr:col>8</xdr:col>
      <xdr:colOff>306456</xdr:colOff>
      <xdr:row>401</xdr:row>
      <xdr:rowOff>212163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1" y="117488803"/>
          <a:ext cx="3031435" cy="2672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</xdr:colOff>
      <xdr:row>404</xdr:row>
      <xdr:rowOff>99392</xdr:rowOff>
    </xdr:from>
    <xdr:to>
      <xdr:col>6</xdr:col>
      <xdr:colOff>372717</xdr:colOff>
      <xdr:row>412</xdr:row>
      <xdr:rowOff>139470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0" y="120843262"/>
          <a:ext cx="2286000" cy="2557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1" sqref="Q1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ABPL-DE-19.20-2116</v>
      </c>
      <c r="O2" s="538"/>
      <c r="P2" s="219" t="s">
        <v>257</v>
      </c>
    </row>
    <row r="3" spans="2:16">
      <c r="B3" s="218"/>
      <c r="C3" s="536" t="s">
        <v>126</v>
      </c>
      <c r="D3" s="536"/>
      <c r="E3" s="536"/>
      <c r="F3" s="538" t="str">
        <f>QUOTATION!F7</f>
        <v>Mr. Balaji residence</v>
      </c>
      <c r="G3" s="538"/>
      <c r="H3" s="538"/>
      <c r="I3" s="538"/>
      <c r="J3" s="538"/>
      <c r="K3" s="538"/>
      <c r="L3" s="538"/>
      <c r="M3" s="284" t="s">
        <v>104</v>
      </c>
      <c r="N3" s="543">
        <f>QUOTATION!M7</f>
        <v>43664</v>
      </c>
      <c r="O3" s="544"/>
      <c r="P3" s="219" t="s">
        <v>256</v>
      </c>
    </row>
    <row r="4" spans="2:16">
      <c r="B4" s="218"/>
      <c r="C4" s="536" t="s">
        <v>127</v>
      </c>
      <c r="D4" s="536"/>
      <c r="E4" s="536"/>
      <c r="F4" s="285" t="str">
        <f>QUOTATION!F8</f>
        <v>Hyderabad</v>
      </c>
      <c r="G4" s="536"/>
      <c r="H4" s="536"/>
      <c r="I4" s="539" t="s">
        <v>180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43664</v>
      </c>
    </row>
    <row r="5" spans="2:16">
      <c r="B5" s="218"/>
      <c r="C5" s="536" t="s">
        <v>169</v>
      </c>
      <c r="D5" s="536"/>
      <c r="E5" s="536"/>
      <c r="F5" s="538" t="str">
        <f>QUOTATION!F9</f>
        <v>Mr.  Ranjith : 8008103068</v>
      </c>
      <c r="G5" s="538"/>
      <c r="H5" s="538"/>
      <c r="I5" s="538"/>
      <c r="J5" s="538"/>
      <c r="K5" s="538"/>
      <c r="L5" s="538"/>
      <c r="M5" s="284" t="s">
        <v>179</v>
      </c>
      <c r="N5" s="538" t="str">
        <f>QUOTATION!M9</f>
        <v>Mahesh</v>
      </c>
      <c r="O5" s="538"/>
    </row>
    <row r="6" spans="2:16">
      <c r="B6" s="218"/>
      <c r="C6" s="536" t="s">
        <v>177</v>
      </c>
      <c r="D6" s="536"/>
      <c r="E6" s="536"/>
      <c r="F6" s="285" t="str">
        <f>QUOTATION!F10</f>
        <v>Anodised</v>
      </c>
      <c r="G6" s="536"/>
      <c r="H6" s="536"/>
      <c r="I6" s="539" t="s">
        <v>178</v>
      </c>
      <c r="J6" s="539"/>
      <c r="K6" s="538" t="str">
        <f>QUOTATION!I10</f>
        <v>Silver</v>
      </c>
      <c r="L6" s="538"/>
      <c r="M6" s="284"/>
      <c r="N6" s="539"/>
      <c r="O6" s="539"/>
    </row>
    <row r="7" spans="2:16"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</row>
    <row r="8" spans="2:16" ht="25.15" customHeight="1">
      <c r="C8" s="535" t="s">
        <v>254</v>
      </c>
      <c r="D8" s="536"/>
      <c r="E8" s="286" t="str">
        <f>'BD Team'!B9</f>
        <v>W1</v>
      </c>
      <c r="F8" s="288" t="s">
        <v>255</v>
      </c>
      <c r="G8" s="538" t="str">
        <f>'BD Team'!D9</f>
        <v>FIXED GLASS 2 NO'S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5" t="s">
        <v>127</v>
      </c>
      <c r="M9" s="536"/>
      <c r="N9" s="541" t="str">
        <f>'BD Team'!G9</f>
        <v>GF - DRAWING</v>
      </c>
      <c r="O9" s="541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5" t="s">
        <v>247</v>
      </c>
      <c r="M10" s="536"/>
      <c r="N10" s="538" t="str">
        <f>$F$6</f>
        <v>Anodised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5" t="s">
        <v>178</v>
      </c>
      <c r="M11" s="536"/>
      <c r="N11" s="538" t="str">
        <f>$K$6</f>
        <v>Silver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5" t="s">
        <v>248</v>
      </c>
      <c r="M12" s="536"/>
      <c r="N12" s="545" t="s">
        <v>256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5" t="s">
        <v>249</v>
      </c>
      <c r="M13" s="536"/>
      <c r="N13" s="538" t="str">
        <f>CONCATENATE('BD Team'!H9," X ",'BD Team'!I9)</f>
        <v>7392 X 1220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5" t="s">
        <v>250</v>
      </c>
      <c r="M14" s="536"/>
      <c r="N14" s="537">
        <f>'BD Team'!J9</f>
        <v>1</v>
      </c>
      <c r="O14" s="537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5" t="s">
        <v>251</v>
      </c>
      <c r="M15" s="536"/>
      <c r="N15" s="538" t="str">
        <f>'BD Team'!C9</f>
        <v>M15000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5" t="s">
        <v>252</v>
      </c>
      <c r="M16" s="536"/>
      <c r="N16" s="538" t="str">
        <f>'BD Team'!E9</f>
        <v>12MM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5" t="s">
        <v>253</v>
      </c>
      <c r="M17" s="536"/>
      <c r="N17" s="538" t="str">
        <f>'BD Team'!F9</f>
        <v>NO</v>
      </c>
      <c r="O17" s="538"/>
    </row>
    <row r="18" spans="3:15">
      <c r="C18" s="534"/>
      <c r="D18" s="534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</row>
    <row r="19" spans="3:15" ht="25.15" customHeight="1">
      <c r="C19" s="535" t="s">
        <v>254</v>
      </c>
      <c r="D19" s="536"/>
      <c r="E19" s="286" t="str">
        <f>'BD Team'!B10</f>
        <v>W2</v>
      </c>
      <c r="F19" s="288" t="s">
        <v>255</v>
      </c>
      <c r="G19" s="538" t="str">
        <f>'BD Team'!D10</f>
        <v>FIXED GLASS 2 NO'S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5" t="s">
        <v>127</v>
      </c>
      <c r="M20" s="536"/>
      <c r="N20" s="541" t="str">
        <f>'BD Team'!G10</f>
        <v>GF - DRAWING OPEN TO SKY</v>
      </c>
      <c r="O20" s="541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5" t="s">
        <v>247</v>
      </c>
      <c r="M21" s="536"/>
      <c r="N21" s="538" t="str">
        <f>$F$6</f>
        <v>Anodised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5" t="s">
        <v>178</v>
      </c>
      <c r="M22" s="536"/>
      <c r="N22" s="538" t="str">
        <f>$K$6</f>
        <v>Silver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5" t="s">
        <v>248</v>
      </c>
      <c r="M23" s="536"/>
      <c r="N23" s="541" t="s">
        <v>256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5" t="s">
        <v>249</v>
      </c>
      <c r="M24" s="536"/>
      <c r="N24" s="538" t="str">
        <f>CONCATENATE('BD Team'!H10," X ",'BD Team'!I10)</f>
        <v>4192 X 3506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5" t="s">
        <v>250</v>
      </c>
      <c r="M25" s="536"/>
      <c r="N25" s="537">
        <f>'BD Team'!J10</f>
        <v>1</v>
      </c>
      <c r="O25" s="537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5" t="s">
        <v>251</v>
      </c>
      <c r="M26" s="536"/>
      <c r="N26" s="538" t="str">
        <f>'BD Team'!C10</f>
        <v>M15000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5" t="s">
        <v>252</v>
      </c>
      <c r="M27" s="536"/>
      <c r="N27" s="538" t="str">
        <f>'BD Team'!E10</f>
        <v>12MM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5" t="s">
        <v>253</v>
      </c>
      <c r="M28" s="536"/>
      <c r="N28" s="538" t="str">
        <f>'BD Team'!F10</f>
        <v>NO</v>
      </c>
      <c r="O28" s="538"/>
    </row>
    <row r="29" spans="3:15"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</row>
    <row r="30" spans="3:15" ht="25.15" customHeight="1">
      <c r="C30" s="535" t="s">
        <v>254</v>
      </c>
      <c r="D30" s="536"/>
      <c r="E30" s="286" t="str">
        <f>'BD Team'!B11</f>
        <v>W3</v>
      </c>
      <c r="F30" s="288" t="s">
        <v>255</v>
      </c>
      <c r="G30" s="538" t="str">
        <f>'BD Team'!D11</f>
        <v>3 TRACK 2 SHUTTER SLIDING WINDOW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5" t="s">
        <v>127</v>
      </c>
      <c r="M31" s="536"/>
      <c r="N31" s="541" t="str">
        <f>'BD Team'!G11</f>
        <v>GF - WET KITCHEN</v>
      </c>
      <c r="O31" s="541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5" t="s">
        <v>247</v>
      </c>
      <c r="M32" s="536"/>
      <c r="N32" s="538" t="str">
        <f>$F$6</f>
        <v>Anodised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5" t="s">
        <v>178</v>
      </c>
      <c r="M33" s="536"/>
      <c r="N33" s="538" t="str">
        <f>$K$6</f>
        <v>Silver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5" t="s">
        <v>248</v>
      </c>
      <c r="M34" s="536"/>
      <c r="N34" s="541" t="s">
        <v>256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5" t="s">
        <v>249</v>
      </c>
      <c r="M35" s="536"/>
      <c r="N35" s="538" t="str">
        <f>CONCATENATE('BD Team'!H11," X ",'BD Team'!I11)</f>
        <v>1830 X 610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5" t="s">
        <v>250</v>
      </c>
      <c r="M36" s="536"/>
      <c r="N36" s="537">
        <f>'BD Team'!J11</f>
        <v>1</v>
      </c>
      <c r="O36" s="537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5" t="s">
        <v>251</v>
      </c>
      <c r="M37" s="536"/>
      <c r="N37" s="538" t="str">
        <f>'BD Team'!C11</f>
        <v>M14600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5" t="s">
        <v>252</v>
      </c>
      <c r="M38" s="536"/>
      <c r="N38" s="538" t="str">
        <f>'BD Team'!E11</f>
        <v>10MM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5" t="s">
        <v>253</v>
      </c>
      <c r="M39" s="536"/>
      <c r="N39" s="538" t="str">
        <f>'BD Team'!F11</f>
        <v>SS</v>
      </c>
      <c r="O39" s="538"/>
    </row>
    <row r="40" spans="3:15"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</row>
    <row r="41" spans="3:15" ht="25.15" customHeight="1">
      <c r="C41" s="535" t="s">
        <v>254</v>
      </c>
      <c r="D41" s="536"/>
      <c r="E41" s="286" t="str">
        <f>'BD Team'!B12</f>
        <v>W4</v>
      </c>
      <c r="F41" s="288" t="s">
        <v>255</v>
      </c>
      <c r="G41" s="538" t="str">
        <f>'BD Team'!D12</f>
        <v>FIXED GLASS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5" t="s">
        <v>127</v>
      </c>
      <c r="M42" s="536"/>
      <c r="N42" s="541" t="str">
        <f>'BD Team'!G12</f>
        <v>GF - OPEN KITCHEN</v>
      </c>
      <c r="O42" s="541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5" t="s">
        <v>247</v>
      </c>
      <c r="M43" s="536"/>
      <c r="N43" s="538" t="str">
        <f>$F$6</f>
        <v>Anodised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5" t="s">
        <v>178</v>
      </c>
      <c r="M44" s="536"/>
      <c r="N44" s="538" t="str">
        <f>$K$6</f>
        <v>Silver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5" t="s">
        <v>248</v>
      </c>
      <c r="M45" s="536"/>
      <c r="N45" s="541" t="s">
        <v>256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5" t="s">
        <v>249</v>
      </c>
      <c r="M46" s="536"/>
      <c r="N46" s="538" t="str">
        <f>CONCATENATE('BD Team'!H12," X ",'BD Team'!I12)</f>
        <v>1830 X 2896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5" t="s">
        <v>250</v>
      </c>
      <c r="M47" s="536"/>
      <c r="N47" s="537">
        <f>'BD Team'!J12</f>
        <v>1</v>
      </c>
      <c r="O47" s="537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5" t="s">
        <v>251</v>
      </c>
      <c r="M48" s="536"/>
      <c r="N48" s="538" t="str">
        <f>'BD Team'!C12</f>
        <v>M15000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5" t="s">
        <v>252</v>
      </c>
      <c r="M49" s="536"/>
      <c r="N49" s="538" t="str">
        <f>'BD Team'!E12</f>
        <v>12MM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5" t="s">
        <v>253</v>
      </c>
      <c r="M50" s="536"/>
      <c r="N50" s="538" t="str">
        <f>'BD Team'!F12</f>
        <v>NO</v>
      </c>
      <c r="O50" s="538"/>
    </row>
    <row r="51" spans="3:15"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</row>
    <row r="52" spans="3:15" ht="25.15" customHeight="1">
      <c r="C52" s="535" t="s">
        <v>254</v>
      </c>
      <c r="D52" s="536"/>
      <c r="E52" s="286" t="str">
        <f>'BD Team'!B13</f>
        <v>W4A</v>
      </c>
      <c r="F52" s="288" t="s">
        <v>255</v>
      </c>
      <c r="G52" s="538" t="str">
        <f>'BD Team'!D13</f>
        <v>2 TRACK 4 SHUTTER SLIDING DOOR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5" t="s">
        <v>127</v>
      </c>
      <c r="M53" s="536"/>
      <c r="N53" s="541" t="str">
        <f>'BD Team'!G13</f>
        <v>GF - OPEN KITCHEN / DINING</v>
      </c>
      <c r="O53" s="541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5" t="s">
        <v>247</v>
      </c>
      <c r="M54" s="536"/>
      <c r="N54" s="538" t="str">
        <f>$F$6</f>
        <v>Anodised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5" t="s">
        <v>178</v>
      </c>
      <c r="M55" s="536"/>
      <c r="N55" s="538" t="str">
        <f>$K$6</f>
        <v>Silver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5" t="s">
        <v>248</v>
      </c>
      <c r="M56" s="536"/>
      <c r="N56" s="541" t="s">
        <v>256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5" t="s">
        <v>249</v>
      </c>
      <c r="M57" s="536"/>
      <c r="N57" s="538" t="str">
        <f>CONCATENATE('BD Team'!H13," X ",'BD Team'!I13)</f>
        <v>4268 X 2896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5" t="s">
        <v>250</v>
      </c>
      <c r="M58" s="536"/>
      <c r="N58" s="537">
        <f>'BD Team'!J13</f>
        <v>1</v>
      </c>
      <c r="O58" s="537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5" t="s">
        <v>251</v>
      </c>
      <c r="M59" s="536"/>
      <c r="N59" s="538" t="str">
        <f>'BD Team'!C13</f>
        <v>M14600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5" t="s">
        <v>252</v>
      </c>
      <c r="M60" s="536"/>
      <c r="N60" s="538" t="str">
        <f>'BD Team'!E13</f>
        <v>10MM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5" t="s">
        <v>253</v>
      </c>
      <c r="M61" s="536"/>
      <c r="N61" s="538" t="str">
        <f>'BD Team'!F13</f>
        <v>RETRACTABLE</v>
      </c>
      <c r="O61" s="538"/>
    </row>
    <row r="62" spans="3:15">
      <c r="C62" s="534"/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</row>
    <row r="63" spans="3:15" ht="25.15" customHeight="1">
      <c r="C63" s="535" t="s">
        <v>254</v>
      </c>
      <c r="D63" s="536"/>
      <c r="E63" s="286" t="str">
        <f>'BD Team'!B14</f>
        <v>W5</v>
      </c>
      <c r="F63" s="288" t="s">
        <v>255</v>
      </c>
      <c r="G63" s="538" t="str">
        <f>'BD Team'!D14</f>
        <v>TOP HUNG WINDOW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5" t="s">
        <v>127</v>
      </c>
      <c r="M64" s="536"/>
      <c r="N64" s="541" t="str">
        <f>'BD Team'!G14</f>
        <v>GF - TOILET</v>
      </c>
      <c r="O64" s="541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5" t="s">
        <v>247</v>
      </c>
      <c r="M65" s="536"/>
      <c r="N65" s="538" t="str">
        <f>$F$6</f>
        <v>Anodised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5" t="s">
        <v>178</v>
      </c>
      <c r="M66" s="536"/>
      <c r="N66" s="538" t="str">
        <f>$K$6</f>
        <v>Silver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5" t="s">
        <v>248</v>
      </c>
      <c r="M67" s="536"/>
      <c r="N67" s="541" t="s">
        <v>256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5" t="s">
        <v>249</v>
      </c>
      <c r="M68" s="536"/>
      <c r="N68" s="538" t="str">
        <f>CONCATENATE('BD Team'!H14," X ",'BD Team'!I14)</f>
        <v>610 X 1068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5" t="s">
        <v>250</v>
      </c>
      <c r="M69" s="536"/>
      <c r="N69" s="537">
        <f>'BD Team'!J14</f>
        <v>1</v>
      </c>
      <c r="O69" s="537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5" t="s">
        <v>251</v>
      </c>
      <c r="M70" s="536"/>
      <c r="N70" s="538" t="str">
        <f>'BD Team'!C14</f>
        <v>M15000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5" t="s">
        <v>252</v>
      </c>
      <c r="M71" s="536"/>
      <c r="N71" s="538" t="str">
        <f>'BD Team'!E14</f>
        <v>12MM (F)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5" t="s">
        <v>253</v>
      </c>
      <c r="M72" s="536"/>
      <c r="N72" s="538" t="str">
        <f>'BD Team'!F14</f>
        <v>NO</v>
      </c>
      <c r="O72" s="538"/>
    </row>
    <row r="73" spans="3:15">
      <c r="C73" s="534"/>
      <c r="D73" s="534"/>
      <c r="E73" s="534"/>
      <c r="F73" s="534"/>
      <c r="G73" s="534"/>
      <c r="H73" s="534"/>
      <c r="I73" s="534"/>
      <c r="J73" s="534"/>
      <c r="K73" s="534"/>
      <c r="L73" s="534"/>
      <c r="M73" s="534"/>
      <c r="N73" s="534"/>
      <c r="O73" s="534"/>
    </row>
    <row r="74" spans="3:15" ht="25.15" customHeight="1">
      <c r="C74" s="535" t="s">
        <v>254</v>
      </c>
      <c r="D74" s="536"/>
      <c r="E74" s="286" t="str">
        <f>'BD Team'!B15</f>
        <v>W6</v>
      </c>
      <c r="F74" s="288" t="s">
        <v>255</v>
      </c>
      <c r="G74" s="538" t="str">
        <f>'BD Team'!D15</f>
        <v>3 TRACK 2 SHUTTER SLIDING WINDOW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5" t="s">
        <v>127</v>
      </c>
      <c r="M75" s="536"/>
      <c r="N75" s="541" t="str">
        <f>'BD Team'!G15</f>
        <v>GF - BEDROOM</v>
      </c>
      <c r="O75" s="541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5" t="s">
        <v>247</v>
      </c>
      <c r="M76" s="536"/>
      <c r="N76" s="538" t="str">
        <f>$F$6</f>
        <v>Anodised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5" t="s">
        <v>178</v>
      </c>
      <c r="M77" s="536"/>
      <c r="N77" s="538" t="str">
        <f>$K$6</f>
        <v>Silver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5" t="s">
        <v>248</v>
      </c>
      <c r="M78" s="536"/>
      <c r="N78" s="541" t="s">
        <v>256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5" t="s">
        <v>249</v>
      </c>
      <c r="M79" s="536"/>
      <c r="N79" s="538" t="str">
        <f>CONCATENATE('BD Team'!H15," X ",'BD Team'!I15)</f>
        <v>1830 X 2592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5" t="s">
        <v>250</v>
      </c>
      <c r="M80" s="536"/>
      <c r="N80" s="537">
        <f>'BD Team'!J15</f>
        <v>1</v>
      </c>
      <c r="O80" s="537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5" t="s">
        <v>251</v>
      </c>
      <c r="M81" s="536"/>
      <c r="N81" s="538" t="str">
        <f>'BD Team'!C15</f>
        <v>M14600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5" t="s">
        <v>252</v>
      </c>
      <c r="M82" s="536"/>
      <c r="N82" s="538" t="str">
        <f>'BD Team'!E15</f>
        <v>10MM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5" t="s">
        <v>253</v>
      </c>
      <c r="M83" s="536"/>
      <c r="N83" s="538" t="str">
        <f>'BD Team'!F15</f>
        <v>SS</v>
      </c>
      <c r="O83" s="538"/>
    </row>
    <row r="84" spans="3:15"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  <c r="O84" s="534"/>
    </row>
    <row r="85" spans="3:15" ht="25.15" customHeight="1">
      <c r="C85" s="535" t="s">
        <v>254</v>
      </c>
      <c r="D85" s="536"/>
      <c r="E85" s="286" t="str">
        <f>'BD Team'!B16</f>
        <v>W7</v>
      </c>
      <c r="F85" s="288" t="s">
        <v>255</v>
      </c>
      <c r="G85" s="538" t="str">
        <f>'BD Team'!D16</f>
        <v>FIXED GLASS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5" t="s">
        <v>127</v>
      </c>
      <c r="M86" s="536"/>
      <c r="N86" s="541" t="str">
        <f>'BD Team'!G16</f>
        <v>GF - POWDER ROOM</v>
      </c>
      <c r="O86" s="541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5" t="s">
        <v>247</v>
      </c>
      <c r="M87" s="536"/>
      <c r="N87" s="538" t="str">
        <f>$F$6</f>
        <v>Anodised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5" t="s">
        <v>178</v>
      </c>
      <c r="M88" s="536"/>
      <c r="N88" s="538" t="str">
        <f>$K$6</f>
        <v>Silver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5" t="s">
        <v>248</v>
      </c>
      <c r="M89" s="536"/>
      <c r="N89" s="541" t="s">
        <v>256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5" t="s">
        <v>249</v>
      </c>
      <c r="M90" s="536"/>
      <c r="N90" s="538" t="str">
        <f>CONCATENATE('BD Team'!H16," X ",'BD Team'!I16)</f>
        <v>3202 X 610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5" t="s">
        <v>250</v>
      </c>
      <c r="M91" s="536"/>
      <c r="N91" s="537">
        <f>'BD Team'!J16</f>
        <v>1</v>
      </c>
      <c r="O91" s="537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5" t="s">
        <v>251</v>
      </c>
      <c r="M92" s="536"/>
      <c r="N92" s="538" t="str">
        <f>'BD Team'!C16</f>
        <v>M15000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5" t="s">
        <v>252</v>
      </c>
      <c r="M93" s="536"/>
      <c r="N93" s="538" t="str">
        <f>'BD Team'!E16</f>
        <v>12MM (F)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5" t="s">
        <v>253</v>
      </c>
      <c r="M94" s="536"/>
      <c r="N94" s="538" t="str">
        <f>'BD Team'!F16</f>
        <v>NO</v>
      </c>
      <c r="O94" s="538"/>
    </row>
    <row r="95" spans="3:15">
      <c r="C95" s="534"/>
      <c r="D95" s="534"/>
      <c r="E95" s="534"/>
      <c r="F95" s="534"/>
      <c r="G95" s="534"/>
      <c r="H95" s="534"/>
      <c r="I95" s="534"/>
      <c r="J95" s="534"/>
      <c r="K95" s="534"/>
      <c r="L95" s="534"/>
      <c r="M95" s="534"/>
      <c r="N95" s="534"/>
      <c r="O95" s="534"/>
    </row>
    <row r="96" spans="3:15" ht="25.15" customHeight="1">
      <c r="C96" s="535" t="s">
        <v>254</v>
      </c>
      <c r="D96" s="536"/>
      <c r="E96" s="286" t="str">
        <f>'BD Team'!B17</f>
        <v>W8</v>
      </c>
      <c r="F96" s="288" t="s">
        <v>255</v>
      </c>
      <c r="G96" s="538" t="str">
        <f>'BD Team'!D17</f>
        <v>FIXED GLASS 3 NO'S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5" t="s">
        <v>127</v>
      </c>
      <c r="M97" s="536"/>
      <c r="N97" s="541" t="str">
        <f>'BD Team'!G17</f>
        <v>GF - WIDE PASSAGE</v>
      </c>
      <c r="O97" s="541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5" t="s">
        <v>247</v>
      </c>
      <c r="M98" s="536"/>
      <c r="N98" s="538" t="str">
        <f>$F$6</f>
        <v>Anodised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5" t="s">
        <v>178</v>
      </c>
      <c r="M99" s="536"/>
      <c r="N99" s="538" t="str">
        <f>$K$6</f>
        <v>Silver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5" t="s">
        <v>248</v>
      </c>
      <c r="M100" s="536"/>
      <c r="N100" s="541" t="s">
        <v>256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5" t="s">
        <v>249</v>
      </c>
      <c r="M101" s="536"/>
      <c r="N101" s="538" t="str">
        <f>CONCATENATE('BD Team'!H17," X ",'BD Team'!I17)</f>
        <v>6326 X 3354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5" t="s">
        <v>250</v>
      </c>
      <c r="M102" s="536"/>
      <c r="N102" s="537">
        <f>'BD Team'!J17</f>
        <v>1</v>
      </c>
      <c r="O102" s="537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5" t="s">
        <v>251</v>
      </c>
      <c r="M103" s="536"/>
      <c r="N103" s="538" t="str">
        <f>'BD Team'!C17</f>
        <v>M15000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5" t="s">
        <v>252</v>
      </c>
      <c r="M104" s="536"/>
      <c r="N104" s="538" t="str">
        <f>'BD Team'!E17</f>
        <v>12MM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5" t="s">
        <v>253</v>
      </c>
      <c r="M105" s="536"/>
      <c r="N105" s="538" t="str">
        <f>'BD Team'!F17</f>
        <v>NO</v>
      </c>
      <c r="O105" s="538"/>
    </row>
    <row r="106" spans="3:15">
      <c r="C106" s="534"/>
      <c r="D106" s="534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</row>
    <row r="107" spans="3:15" ht="25.15" customHeight="1">
      <c r="C107" s="535" t="s">
        <v>254</v>
      </c>
      <c r="D107" s="536"/>
      <c r="E107" s="286" t="str">
        <f>'BD Team'!B18</f>
        <v>W9</v>
      </c>
      <c r="F107" s="288" t="s">
        <v>255</v>
      </c>
      <c r="G107" s="538" t="str">
        <f>'BD Team'!D18</f>
        <v>FIXED GLASS 3 NO'S CORNOR WINDOW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5" t="s">
        <v>127</v>
      </c>
      <c r="M108" s="536"/>
      <c r="N108" s="541" t="str">
        <f>'BD Team'!G18</f>
        <v>1F - BALCONY</v>
      </c>
      <c r="O108" s="541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5" t="s">
        <v>247</v>
      </c>
      <c r="M109" s="536"/>
      <c r="N109" s="538" t="str">
        <f>$F$6</f>
        <v>Anodised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5" t="s">
        <v>178</v>
      </c>
      <c r="M110" s="536"/>
      <c r="N110" s="538" t="str">
        <f>$K$6</f>
        <v>Silver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5" t="s">
        <v>248</v>
      </c>
      <c r="M111" s="536"/>
      <c r="N111" s="541" t="s">
        <v>256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5" t="s">
        <v>249</v>
      </c>
      <c r="M112" s="536"/>
      <c r="N112" s="538" t="str">
        <f>CONCATENATE('BD Team'!H18," X ",'BD Team'!I18)</f>
        <v>2706 X 3048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5" t="s">
        <v>250</v>
      </c>
      <c r="M113" s="536"/>
      <c r="N113" s="537">
        <f>'BD Team'!J18</f>
        <v>1</v>
      </c>
      <c r="O113" s="537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5" t="s">
        <v>251</v>
      </c>
      <c r="M114" s="536"/>
      <c r="N114" s="538" t="str">
        <f>'BD Team'!C18</f>
        <v>M15000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5" t="s">
        <v>252</v>
      </c>
      <c r="M115" s="536"/>
      <c r="N115" s="538" t="str">
        <f>'BD Team'!E18</f>
        <v>12MM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5" t="s">
        <v>253</v>
      </c>
      <c r="M116" s="536"/>
      <c r="N116" s="538" t="str">
        <f>'BD Team'!F18</f>
        <v>NO</v>
      </c>
      <c r="O116" s="538"/>
    </row>
    <row r="117" spans="3:15">
      <c r="C117" s="534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</row>
    <row r="118" spans="3:15" ht="25.15" customHeight="1">
      <c r="C118" s="535" t="s">
        <v>254</v>
      </c>
      <c r="D118" s="536"/>
      <c r="E118" s="286" t="str">
        <f>'BD Team'!B19</f>
        <v>W9A</v>
      </c>
      <c r="F118" s="288" t="s">
        <v>255</v>
      </c>
      <c r="G118" s="538" t="str">
        <f>'BD Team'!D19</f>
        <v>2 TRACK 2 SHUTTER SLIDING DOOR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5" t="s">
        <v>127</v>
      </c>
      <c r="M119" s="536"/>
      <c r="N119" s="541" t="str">
        <f>'BD Team'!G19</f>
        <v>1F - BALCONY</v>
      </c>
      <c r="O119" s="541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5" t="s">
        <v>247</v>
      </c>
      <c r="M120" s="536"/>
      <c r="N120" s="538" t="str">
        <f>$F$6</f>
        <v>Anodised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5" t="s">
        <v>178</v>
      </c>
      <c r="M121" s="536"/>
      <c r="N121" s="538" t="str">
        <f>$K$6</f>
        <v>Silver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5" t="s">
        <v>248</v>
      </c>
      <c r="M122" s="536"/>
      <c r="N122" s="541" t="s">
        <v>256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5" t="s">
        <v>249</v>
      </c>
      <c r="M123" s="536"/>
      <c r="N123" s="538" t="str">
        <f>CONCATENATE('BD Team'!H19," X ",'BD Team'!I19)</f>
        <v>2134 X 3048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5" t="s">
        <v>250</v>
      </c>
      <c r="M124" s="536"/>
      <c r="N124" s="537">
        <f>'BD Team'!J19</f>
        <v>1</v>
      </c>
      <c r="O124" s="537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5" t="s">
        <v>251</v>
      </c>
      <c r="M125" s="536"/>
      <c r="N125" s="538" t="str">
        <f>'BD Team'!C19</f>
        <v>M14600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5" t="s">
        <v>252</v>
      </c>
      <c r="M126" s="536"/>
      <c r="N126" s="538" t="str">
        <f>'BD Team'!E19</f>
        <v>10MM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5" t="s">
        <v>253</v>
      </c>
      <c r="M127" s="536"/>
      <c r="N127" s="538" t="str">
        <f>'BD Team'!F19</f>
        <v>RETRACTABLE</v>
      </c>
      <c r="O127" s="538"/>
    </row>
    <row r="128" spans="3:15"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</row>
    <row r="129" spans="3:15" ht="25.15" customHeight="1">
      <c r="C129" s="535" t="s">
        <v>254</v>
      </c>
      <c r="D129" s="536"/>
      <c r="E129" s="286" t="str">
        <f>'BD Team'!B20</f>
        <v>W10</v>
      </c>
      <c r="F129" s="288" t="s">
        <v>255</v>
      </c>
      <c r="G129" s="538" t="str">
        <f>'BD Team'!D20</f>
        <v>FIXED GLASS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5" t="s">
        <v>127</v>
      </c>
      <c r="M130" s="536"/>
      <c r="N130" s="541" t="str">
        <f>'BD Team'!G20</f>
        <v>1F - POOJA ROOM</v>
      </c>
      <c r="O130" s="541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5" t="s">
        <v>247</v>
      </c>
      <c r="M131" s="536"/>
      <c r="N131" s="538" t="str">
        <f>$F$6</f>
        <v>Anodised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5" t="s">
        <v>178</v>
      </c>
      <c r="M132" s="536"/>
      <c r="N132" s="538" t="str">
        <f>$K$6</f>
        <v>Silver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5" t="s">
        <v>248</v>
      </c>
      <c r="M133" s="536"/>
      <c r="N133" s="541" t="s">
        <v>256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5" t="s">
        <v>249</v>
      </c>
      <c r="M134" s="536"/>
      <c r="N134" s="538" t="str">
        <f>CONCATENATE('BD Team'!H20," X ",'BD Team'!I20)</f>
        <v>916 X 2744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5" t="s">
        <v>250</v>
      </c>
      <c r="M135" s="536"/>
      <c r="N135" s="537">
        <f>'BD Team'!J20</f>
        <v>1</v>
      </c>
      <c r="O135" s="537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5" t="s">
        <v>251</v>
      </c>
      <c r="M136" s="536"/>
      <c r="N136" s="538" t="str">
        <f>'BD Team'!C20</f>
        <v>M15000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5" t="s">
        <v>252</v>
      </c>
      <c r="M137" s="536"/>
      <c r="N137" s="538" t="str">
        <f>'BD Team'!E20</f>
        <v>12MM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5" t="s">
        <v>253</v>
      </c>
      <c r="M138" s="536"/>
      <c r="N138" s="538" t="str">
        <f>'BD Team'!F20</f>
        <v>NO</v>
      </c>
      <c r="O138" s="538"/>
    </row>
    <row r="139" spans="3:15"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  <c r="M139" s="534"/>
      <c r="N139" s="534"/>
      <c r="O139" s="534"/>
    </row>
    <row r="140" spans="3:15" ht="25.15" customHeight="1">
      <c r="C140" s="535" t="s">
        <v>254</v>
      </c>
      <c r="D140" s="536"/>
      <c r="E140" s="286" t="str">
        <f>'BD Team'!B21</f>
        <v>W11</v>
      </c>
      <c r="F140" s="288" t="s">
        <v>255</v>
      </c>
      <c r="G140" s="538" t="str">
        <f>'BD Team'!D21</f>
        <v>FIXED GLASS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5" t="s">
        <v>127</v>
      </c>
      <c r="M141" s="536"/>
      <c r="N141" s="541" t="str">
        <f>'BD Team'!G21</f>
        <v>1F - PRANEETH BEDROOM</v>
      </c>
      <c r="O141" s="541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5" t="s">
        <v>247</v>
      </c>
      <c r="M142" s="536"/>
      <c r="N142" s="538" t="str">
        <f>$F$6</f>
        <v>Anodised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5" t="s">
        <v>178</v>
      </c>
      <c r="M143" s="536"/>
      <c r="N143" s="538" t="str">
        <f>$K$6</f>
        <v>Silver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5" t="s">
        <v>248</v>
      </c>
      <c r="M144" s="536"/>
      <c r="N144" s="541" t="s">
        <v>256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5" t="s">
        <v>249</v>
      </c>
      <c r="M145" s="536"/>
      <c r="N145" s="538" t="str">
        <f>CONCATENATE('BD Team'!H21," X ",'BD Team'!I21)</f>
        <v>1000 X 2200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5" t="s">
        <v>250</v>
      </c>
      <c r="M146" s="536"/>
      <c r="N146" s="537">
        <f>'BD Team'!J21</f>
        <v>2</v>
      </c>
      <c r="O146" s="537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5" t="s">
        <v>251</v>
      </c>
      <c r="M147" s="536"/>
      <c r="N147" s="538" t="str">
        <f>'BD Team'!C21</f>
        <v>M15000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5" t="s">
        <v>252</v>
      </c>
      <c r="M148" s="536"/>
      <c r="N148" s="538" t="str">
        <f>'BD Team'!E21</f>
        <v>12MM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5" t="s">
        <v>253</v>
      </c>
      <c r="M149" s="536"/>
      <c r="N149" s="538" t="str">
        <f>'BD Team'!F21</f>
        <v>NO</v>
      </c>
      <c r="O149" s="538"/>
    </row>
    <row r="150" spans="3:15"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</row>
    <row r="151" spans="3:15" ht="25.15" customHeight="1">
      <c r="C151" s="535" t="s">
        <v>254</v>
      </c>
      <c r="D151" s="536"/>
      <c r="E151" s="286" t="str">
        <f>'BD Team'!B22</f>
        <v>W12</v>
      </c>
      <c r="F151" s="288" t="s">
        <v>255</v>
      </c>
      <c r="G151" s="538" t="str">
        <f>'BD Team'!D22</f>
        <v>TOP HUNG WINDOW WITH TOP FIXED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5" t="s">
        <v>127</v>
      </c>
      <c r="M152" s="536"/>
      <c r="N152" s="541" t="str">
        <f>'BD Team'!G22</f>
        <v>1F - PRANEETH BEDROOM TOILET</v>
      </c>
      <c r="O152" s="541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5" t="s">
        <v>247</v>
      </c>
      <c r="M153" s="536"/>
      <c r="N153" s="538" t="str">
        <f>$F$6</f>
        <v>Anodised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5" t="s">
        <v>178</v>
      </c>
      <c r="M154" s="536"/>
      <c r="N154" s="538" t="str">
        <f>$K$6</f>
        <v>Silver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5" t="s">
        <v>248</v>
      </c>
      <c r="M155" s="536"/>
      <c r="N155" s="541" t="s">
        <v>256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5" t="s">
        <v>249</v>
      </c>
      <c r="M156" s="536"/>
      <c r="N156" s="538" t="str">
        <f>CONCATENATE('BD Team'!H22," X ",'BD Team'!I22)</f>
        <v>610 X 1830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5" t="s">
        <v>250</v>
      </c>
      <c r="M157" s="536"/>
      <c r="N157" s="537">
        <f>'BD Team'!J22</f>
        <v>1</v>
      </c>
      <c r="O157" s="537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5" t="s">
        <v>251</v>
      </c>
      <c r="M158" s="536"/>
      <c r="N158" s="538" t="str">
        <f>'BD Team'!C22</f>
        <v>M15000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5" t="s">
        <v>252</v>
      </c>
      <c r="M159" s="536"/>
      <c r="N159" s="538" t="str">
        <f>'BD Team'!E22</f>
        <v>12MM (F)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5" t="s">
        <v>253</v>
      </c>
      <c r="M160" s="536"/>
      <c r="N160" s="538" t="str">
        <f>'BD Team'!F22</f>
        <v>NO</v>
      </c>
      <c r="O160" s="538"/>
    </row>
    <row r="161" spans="3:15">
      <c r="C161" s="534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</row>
    <row r="162" spans="3:15" ht="25.15" customHeight="1">
      <c r="C162" s="535" t="s">
        <v>254</v>
      </c>
      <c r="D162" s="536"/>
      <c r="E162" s="286" t="str">
        <f>'BD Team'!B23</f>
        <v>W13</v>
      </c>
      <c r="F162" s="288" t="s">
        <v>255</v>
      </c>
      <c r="G162" s="538" t="str">
        <f>'BD Team'!D23</f>
        <v>3 TRACK 2 SHUTTER SLIDING DOOR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5" t="s">
        <v>127</v>
      </c>
      <c r="M163" s="536"/>
      <c r="N163" s="541" t="str">
        <f>'BD Team'!G23</f>
        <v>1F - MASTER BEDROOM</v>
      </c>
      <c r="O163" s="541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5" t="s">
        <v>247</v>
      </c>
      <c r="M164" s="536"/>
      <c r="N164" s="538" t="str">
        <f>$F$6</f>
        <v>Anodised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5" t="s">
        <v>178</v>
      </c>
      <c r="M165" s="536"/>
      <c r="N165" s="538" t="str">
        <f>$K$6</f>
        <v>Silver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5" t="s">
        <v>248</v>
      </c>
      <c r="M166" s="536"/>
      <c r="N166" s="541" t="s">
        <v>256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5" t="s">
        <v>249</v>
      </c>
      <c r="M167" s="536"/>
      <c r="N167" s="538" t="str">
        <f>CONCATENATE('BD Team'!H23," X ",'BD Team'!I23)</f>
        <v>1906 X 2744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5" t="s">
        <v>250</v>
      </c>
      <c r="M168" s="536"/>
      <c r="N168" s="537">
        <f>'BD Team'!J23</f>
        <v>1</v>
      </c>
      <c r="O168" s="537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5" t="s">
        <v>251</v>
      </c>
      <c r="M169" s="536"/>
      <c r="N169" s="538" t="str">
        <f>'BD Team'!C23</f>
        <v>M14600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5" t="s">
        <v>252</v>
      </c>
      <c r="M170" s="536"/>
      <c r="N170" s="538" t="str">
        <f>'BD Team'!E23</f>
        <v>10MM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5" t="s">
        <v>253</v>
      </c>
      <c r="M171" s="536"/>
      <c r="N171" s="538" t="str">
        <f>'BD Team'!F23</f>
        <v>SS</v>
      </c>
      <c r="O171" s="538"/>
    </row>
    <row r="172" spans="3:15"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</row>
    <row r="173" spans="3:15" ht="25.15" customHeight="1">
      <c r="C173" s="535" t="s">
        <v>254</v>
      </c>
      <c r="D173" s="536"/>
      <c r="E173" s="286" t="str">
        <f>'BD Team'!B24</f>
        <v>W14</v>
      </c>
      <c r="F173" s="288" t="s">
        <v>255</v>
      </c>
      <c r="G173" s="538" t="str">
        <f>'BD Team'!D24</f>
        <v>FIXED GLASS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5" t="s">
        <v>127</v>
      </c>
      <c r="M174" s="536"/>
      <c r="N174" s="541" t="str">
        <f>'BD Team'!G24</f>
        <v>1F - MASTER BEDROOM</v>
      </c>
      <c r="O174" s="541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5" t="s">
        <v>247</v>
      </c>
      <c r="M175" s="536"/>
      <c r="N175" s="538" t="str">
        <f>$F$6</f>
        <v>Anodised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5" t="s">
        <v>178</v>
      </c>
      <c r="M176" s="536"/>
      <c r="N176" s="538" t="str">
        <f>$K$6</f>
        <v>Silver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5" t="s">
        <v>248</v>
      </c>
      <c r="M177" s="536"/>
      <c r="N177" s="541" t="s">
        <v>256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5" t="s">
        <v>249</v>
      </c>
      <c r="M178" s="536"/>
      <c r="N178" s="538" t="str">
        <f>CONCATENATE('BD Team'!H24," X ",'BD Team'!I24)</f>
        <v>916 X 2896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5" t="s">
        <v>250</v>
      </c>
      <c r="M179" s="536"/>
      <c r="N179" s="537">
        <f>'BD Team'!J24</f>
        <v>2</v>
      </c>
      <c r="O179" s="537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5" t="s">
        <v>251</v>
      </c>
      <c r="M180" s="536"/>
      <c r="N180" s="538" t="str">
        <f>'BD Team'!C24</f>
        <v>M15000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5" t="s">
        <v>252</v>
      </c>
      <c r="M181" s="536"/>
      <c r="N181" s="538" t="str">
        <f>'BD Team'!E24</f>
        <v>12MM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5" t="s">
        <v>253</v>
      </c>
      <c r="M182" s="536"/>
      <c r="N182" s="538" t="str">
        <f>'BD Team'!F24</f>
        <v>NO</v>
      </c>
      <c r="O182" s="538"/>
    </row>
    <row r="183" spans="3:15">
      <c r="C183" s="534"/>
      <c r="D183" s="534"/>
      <c r="E183" s="534"/>
      <c r="F183" s="534"/>
      <c r="G183" s="534"/>
      <c r="H183" s="534"/>
      <c r="I183" s="534"/>
      <c r="J183" s="534"/>
      <c r="K183" s="534"/>
      <c r="L183" s="534"/>
      <c r="M183" s="534"/>
      <c r="N183" s="534"/>
      <c r="O183" s="534"/>
    </row>
    <row r="184" spans="3:15" ht="25.15" customHeight="1">
      <c r="C184" s="535" t="s">
        <v>254</v>
      </c>
      <c r="D184" s="536"/>
      <c r="E184" s="286" t="str">
        <f>'BD Team'!B25</f>
        <v>W15</v>
      </c>
      <c r="F184" s="288" t="s">
        <v>255</v>
      </c>
      <c r="G184" s="538" t="str">
        <f>'BD Team'!D25</f>
        <v>FIXED GLASS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5" t="s">
        <v>127</v>
      </c>
      <c r="M185" s="536"/>
      <c r="N185" s="541" t="str">
        <f>'BD Team'!G25</f>
        <v>1F - MASTER TOILET</v>
      </c>
      <c r="O185" s="541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5" t="s">
        <v>247</v>
      </c>
      <c r="M186" s="536"/>
      <c r="N186" s="538" t="str">
        <f>$F$6</f>
        <v>Anodised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5" t="s">
        <v>178</v>
      </c>
      <c r="M187" s="536"/>
      <c r="N187" s="538" t="str">
        <f>$K$6</f>
        <v>Silver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5" t="s">
        <v>248</v>
      </c>
      <c r="M188" s="536"/>
      <c r="N188" s="541" t="s">
        <v>256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5" t="s">
        <v>249</v>
      </c>
      <c r="M189" s="536"/>
      <c r="N189" s="538" t="str">
        <f>CONCATENATE('BD Team'!H25," X ",'BD Team'!I25)</f>
        <v>458 X 2896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5" t="s">
        <v>250</v>
      </c>
      <c r="M190" s="536"/>
      <c r="N190" s="537">
        <f>'BD Team'!J25</f>
        <v>4</v>
      </c>
      <c r="O190" s="537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5" t="s">
        <v>251</v>
      </c>
      <c r="M191" s="536"/>
      <c r="N191" s="538" t="str">
        <f>'BD Team'!C25</f>
        <v>M15000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5" t="s">
        <v>252</v>
      </c>
      <c r="M192" s="536"/>
      <c r="N192" s="538" t="str">
        <f>'BD Team'!E25</f>
        <v>12MM (F)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5" t="s">
        <v>253</v>
      </c>
      <c r="M193" s="536"/>
      <c r="N193" s="538" t="str">
        <f>'BD Team'!F25</f>
        <v>NO</v>
      </c>
      <c r="O193" s="538"/>
    </row>
    <row r="194" spans="3:15"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</row>
    <row r="195" spans="3:15" ht="25.15" customHeight="1">
      <c r="C195" s="535" t="s">
        <v>254</v>
      </c>
      <c r="D195" s="536"/>
      <c r="E195" s="286" t="str">
        <f>'BD Team'!B26</f>
        <v>W16</v>
      </c>
      <c r="F195" s="288" t="s">
        <v>255</v>
      </c>
      <c r="G195" s="538" t="str">
        <f>'BD Team'!D26</f>
        <v>FIXED GLASS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5" t="s">
        <v>127</v>
      </c>
      <c r="M196" s="536"/>
      <c r="N196" s="541" t="str">
        <f>'BD Team'!G26</f>
        <v>1F - MASTER DRESSING</v>
      </c>
      <c r="O196" s="541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5" t="s">
        <v>247</v>
      </c>
      <c r="M197" s="536"/>
      <c r="N197" s="538" t="str">
        <f>$F$6</f>
        <v>Anodised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5" t="s">
        <v>178</v>
      </c>
      <c r="M198" s="536"/>
      <c r="N198" s="538" t="str">
        <f>$K$6</f>
        <v>Silver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5" t="s">
        <v>248</v>
      </c>
      <c r="M199" s="536"/>
      <c r="N199" s="541" t="s">
        <v>256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5" t="s">
        <v>249</v>
      </c>
      <c r="M200" s="536"/>
      <c r="N200" s="538" t="str">
        <f>CONCATENATE('BD Team'!H26," X ",'BD Team'!I26)</f>
        <v>916 X 2896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5" t="s">
        <v>250</v>
      </c>
      <c r="M201" s="536"/>
      <c r="N201" s="537">
        <f>'BD Team'!J26</f>
        <v>1</v>
      </c>
      <c r="O201" s="537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5" t="s">
        <v>251</v>
      </c>
      <c r="M202" s="536"/>
      <c r="N202" s="538" t="str">
        <f>'BD Team'!C26</f>
        <v>M15000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5" t="s">
        <v>252</v>
      </c>
      <c r="M203" s="536"/>
      <c r="N203" s="538" t="str">
        <f>'BD Team'!E26</f>
        <v>12MM (F)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5" t="s">
        <v>253</v>
      </c>
      <c r="M204" s="536"/>
      <c r="N204" s="538" t="str">
        <f>'BD Team'!F26</f>
        <v>NO</v>
      </c>
      <c r="O204" s="538"/>
    </row>
    <row r="205" spans="3:15">
      <c r="C205" s="534"/>
      <c r="D205" s="534"/>
      <c r="E205" s="534"/>
      <c r="F205" s="534"/>
      <c r="G205" s="534"/>
      <c r="H205" s="534"/>
      <c r="I205" s="534"/>
      <c r="J205" s="534"/>
      <c r="K205" s="534"/>
      <c r="L205" s="534"/>
      <c r="M205" s="534"/>
      <c r="N205" s="534"/>
      <c r="O205" s="534"/>
    </row>
    <row r="206" spans="3:15" ht="25.15" customHeight="1">
      <c r="C206" s="535" t="s">
        <v>254</v>
      </c>
      <c r="D206" s="536"/>
      <c r="E206" s="286" t="str">
        <f>'BD Team'!B27</f>
        <v>W17</v>
      </c>
      <c r="F206" s="288" t="s">
        <v>255</v>
      </c>
      <c r="G206" s="538" t="str">
        <f>'BD Team'!D27</f>
        <v>TOP HUNG WINDOW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5" t="s">
        <v>127</v>
      </c>
      <c r="M207" s="536"/>
      <c r="N207" s="541" t="str">
        <f>'BD Team'!G27</f>
        <v>1F - GBR TOILET</v>
      </c>
      <c r="O207" s="541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5" t="s">
        <v>247</v>
      </c>
      <c r="M208" s="536"/>
      <c r="N208" s="538" t="str">
        <f>$F$6</f>
        <v>Anodised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5" t="s">
        <v>178</v>
      </c>
      <c r="M209" s="536"/>
      <c r="N209" s="538" t="str">
        <f>$K$6</f>
        <v>Silver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5" t="s">
        <v>248</v>
      </c>
      <c r="M210" s="536"/>
      <c r="N210" s="541" t="s">
        <v>256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5" t="s">
        <v>249</v>
      </c>
      <c r="M211" s="536"/>
      <c r="N211" s="538" t="str">
        <f>CONCATENATE('BD Team'!H27," X ",'BD Team'!I27)</f>
        <v>916 X 1068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5" t="s">
        <v>250</v>
      </c>
      <c r="M212" s="536"/>
      <c r="N212" s="537">
        <f>'BD Team'!J27</f>
        <v>1</v>
      </c>
      <c r="O212" s="537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5" t="s">
        <v>251</v>
      </c>
      <c r="M213" s="536"/>
      <c r="N213" s="538" t="str">
        <f>'BD Team'!C27</f>
        <v>M15000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5" t="s">
        <v>252</v>
      </c>
      <c r="M214" s="536"/>
      <c r="N214" s="538" t="str">
        <f>'BD Team'!E27</f>
        <v>12MM (F)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5" t="s">
        <v>253</v>
      </c>
      <c r="M215" s="536"/>
      <c r="N215" s="538" t="str">
        <f>'BD Team'!F27</f>
        <v>NO</v>
      </c>
      <c r="O215" s="538"/>
    </row>
    <row r="216" spans="3:15">
      <c r="C216" s="534"/>
      <c r="D216" s="534"/>
      <c r="E216" s="534"/>
      <c r="F216" s="534"/>
      <c r="G216" s="534"/>
      <c r="H216" s="534"/>
      <c r="I216" s="534"/>
      <c r="J216" s="534"/>
      <c r="K216" s="534"/>
      <c r="L216" s="534"/>
      <c r="M216" s="534"/>
      <c r="N216" s="534"/>
      <c r="O216" s="534"/>
    </row>
    <row r="217" spans="3:15" ht="25.15" customHeight="1">
      <c r="C217" s="535" t="s">
        <v>254</v>
      </c>
      <c r="D217" s="536"/>
      <c r="E217" s="286" t="str">
        <f>'BD Team'!B28</f>
        <v>W18</v>
      </c>
      <c r="F217" s="288" t="s">
        <v>255</v>
      </c>
      <c r="G217" s="538" t="str">
        <f>'BD Team'!D28</f>
        <v>FIXED GLASS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5" t="s">
        <v>127</v>
      </c>
      <c r="M218" s="536"/>
      <c r="N218" s="541" t="str">
        <f>'BD Team'!G28</f>
        <v>1F - GUEST BEDROOM</v>
      </c>
      <c r="O218" s="541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5" t="s">
        <v>247</v>
      </c>
      <c r="M219" s="536"/>
      <c r="N219" s="538" t="str">
        <f>$F$6</f>
        <v>Anodised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5" t="s">
        <v>178</v>
      </c>
      <c r="M220" s="536"/>
      <c r="N220" s="538" t="str">
        <f>$K$6</f>
        <v>Silver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5" t="s">
        <v>248</v>
      </c>
      <c r="M221" s="536"/>
      <c r="N221" s="541" t="s">
        <v>256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5" t="s">
        <v>249</v>
      </c>
      <c r="M222" s="536"/>
      <c r="N222" s="538" t="str">
        <f>CONCATENATE('BD Team'!H28," X ",'BD Team'!I28)</f>
        <v>1000 X 2200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5" t="s">
        <v>250</v>
      </c>
      <c r="M223" s="536"/>
      <c r="N223" s="537">
        <f>'BD Team'!J28</f>
        <v>1</v>
      </c>
      <c r="O223" s="537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5" t="s">
        <v>251</v>
      </c>
      <c r="M224" s="536"/>
      <c r="N224" s="538" t="str">
        <f>'BD Team'!C28</f>
        <v>M15000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5" t="s">
        <v>252</v>
      </c>
      <c r="M225" s="536"/>
      <c r="N225" s="538" t="str">
        <f>'BD Team'!E28</f>
        <v>12MM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5" t="s">
        <v>253</v>
      </c>
      <c r="M226" s="536"/>
      <c r="N226" s="538" t="str">
        <f>'BD Team'!F28</f>
        <v>NO</v>
      </c>
      <c r="O226" s="538"/>
    </row>
    <row r="227" spans="3:15">
      <c r="C227" s="534"/>
      <c r="D227" s="534"/>
      <c r="E227" s="534"/>
      <c r="F227" s="534"/>
      <c r="G227" s="534"/>
      <c r="H227" s="534"/>
      <c r="I227" s="534"/>
      <c r="J227" s="534"/>
      <c r="K227" s="534"/>
      <c r="L227" s="534"/>
      <c r="M227" s="534"/>
      <c r="N227" s="534"/>
      <c r="O227" s="534"/>
    </row>
    <row r="228" spans="3:15" ht="25.15" customHeight="1">
      <c r="C228" s="535" t="s">
        <v>254</v>
      </c>
      <c r="D228" s="536"/>
      <c r="E228" s="286" t="str">
        <f>'BD Team'!B29</f>
        <v>W19</v>
      </c>
      <c r="F228" s="288" t="s">
        <v>255</v>
      </c>
      <c r="G228" s="538" t="str">
        <f>'BD Team'!D29</f>
        <v>FIXED GLASS 2 NO'S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5" t="s">
        <v>127</v>
      </c>
      <c r="M229" s="536"/>
      <c r="N229" s="541" t="str">
        <f>'BD Team'!G29</f>
        <v>1F - GUEST BEDROOM</v>
      </c>
      <c r="O229" s="541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5" t="s">
        <v>247</v>
      </c>
      <c r="M230" s="536"/>
      <c r="N230" s="538" t="str">
        <f>$F$6</f>
        <v>Anodised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5" t="s">
        <v>178</v>
      </c>
      <c r="M231" s="536"/>
      <c r="N231" s="538" t="str">
        <f>$K$6</f>
        <v>Silver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5" t="s">
        <v>248</v>
      </c>
      <c r="M232" s="536"/>
      <c r="N232" s="541" t="s">
        <v>256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5" t="s">
        <v>249</v>
      </c>
      <c r="M233" s="536"/>
      <c r="N233" s="538" t="str">
        <f>CONCATENATE('BD Team'!H29," X ",'BD Team'!I29)</f>
        <v>3278 X 2440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5" t="s">
        <v>250</v>
      </c>
      <c r="M234" s="536"/>
      <c r="N234" s="537">
        <f>'BD Team'!J29</f>
        <v>1</v>
      </c>
      <c r="O234" s="537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5" t="s">
        <v>251</v>
      </c>
      <c r="M235" s="536"/>
      <c r="N235" s="538" t="str">
        <f>'BD Team'!C29</f>
        <v>M15000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5" t="s">
        <v>252</v>
      </c>
      <c r="M236" s="536"/>
      <c r="N236" s="538" t="str">
        <f>'BD Team'!E29</f>
        <v>12MM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5" t="s">
        <v>253</v>
      </c>
      <c r="M237" s="536"/>
      <c r="N237" s="538" t="str">
        <f>'BD Team'!F29</f>
        <v>NO</v>
      </c>
      <c r="O237" s="538"/>
    </row>
    <row r="238" spans="3:15">
      <c r="C238" s="534"/>
      <c r="D238" s="534"/>
      <c r="E238" s="534"/>
      <c r="F238" s="534"/>
      <c r="G238" s="534"/>
      <c r="H238" s="534"/>
      <c r="I238" s="534"/>
      <c r="J238" s="534"/>
      <c r="K238" s="534"/>
      <c r="L238" s="534"/>
      <c r="M238" s="534"/>
      <c r="N238" s="534"/>
      <c r="O238" s="534"/>
    </row>
    <row r="239" spans="3:15" ht="25.15" customHeight="1">
      <c r="C239" s="535" t="s">
        <v>254</v>
      </c>
      <c r="D239" s="536"/>
      <c r="E239" s="286" t="str">
        <f>'BD Team'!B30</f>
        <v>W20</v>
      </c>
      <c r="F239" s="288" t="s">
        <v>255</v>
      </c>
      <c r="G239" s="538" t="str">
        <f>'BD Team'!D30</f>
        <v>FIXED GLASS 3 NO'S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5" t="s">
        <v>127</v>
      </c>
      <c r="M240" s="536"/>
      <c r="N240" s="541" t="str">
        <f>'BD Team'!G30</f>
        <v>1F - LOUNGE</v>
      </c>
      <c r="O240" s="541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5" t="s">
        <v>247</v>
      </c>
      <c r="M241" s="536"/>
      <c r="N241" s="538" t="str">
        <f>$F$6</f>
        <v>Anodised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5" t="s">
        <v>178</v>
      </c>
      <c r="M242" s="536"/>
      <c r="N242" s="538" t="str">
        <f>$K$6</f>
        <v>Silver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5" t="s">
        <v>248</v>
      </c>
      <c r="M243" s="536"/>
      <c r="N243" s="541" t="s">
        <v>256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5" t="s">
        <v>249</v>
      </c>
      <c r="M244" s="536"/>
      <c r="N244" s="538" t="str">
        <f>CONCATENATE('BD Team'!H30," X ",'BD Team'!I30)</f>
        <v>6326 X 2400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5" t="s">
        <v>250</v>
      </c>
      <c r="M245" s="536"/>
      <c r="N245" s="537">
        <f>'BD Team'!J30</f>
        <v>1</v>
      </c>
      <c r="O245" s="537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5" t="s">
        <v>251</v>
      </c>
      <c r="M246" s="536"/>
      <c r="N246" s="538" t="str">
        <f>'BD Team'!C30</f>
        <v>M15000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5" t="s">
        <v>252</v>
      </c>
      <c r="M247" s="536"/>
      <c r="N247" s="538" t="str">
        <f>'BD Team'!E30</f>
        <v>12MM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5" t="s">
        <v>253</v>
      </c>
      <c r="M248" s="536"/>
      <c r="N248" s="538" t="str">
        <f>'BD Team'!F30</f>
        <v>NO</v>
      </c>
      <c r="O248" s="538"/>
    </row>
    <row r="249" spans="3:15">
      <c r="C249" s="534"/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</row>
    <row r="250" spans="3:15" ht="25.15" customHeight="1">
      <c r="C250" s="535" t="s">
        <v>254</v>
      </c>
      <c r="D250" s="536"/>
      <c r="E250" s="286" t="str">
        <f>'BD Team'!B31</f>
        <v>W21</v>
      </c>
      <c r="F250" s="288" t="s">
        <v>255</v>
      </c>
      <c r="G250" s="538" t="str">
        <f>'BD Team'!D31</f>
        <v>4 LEAF SLIDE &amp; FOLD DOOR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5" t="s">
        <v>127</v>
      </c>
      <c r="M251" s="536"/>
      <c r="N251" s="541" t="str">
        <f>'BD Team'!G31</f>
        <v>2F - OPEN BALCONY</v>
      </c>
      <c r="O251" s="541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5" t="s">
        <v>247</v>
      </c>
      <c r="M252" s="536"/>
      <c r="N252" s="538" t="str">
        <f>$F$6</f>
        <v>Anodised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5" t="s">
        <v>178</v>
      </c>
      <c r="M253" s="536"/>
      <c r="N253" s="538" t="str">
        <f>$K$6</f>
        <v>Silver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5" t="s">
        <v>248</v>
      </c>
      <c r="M254" s="536"/>
      <c r="N254" s="541" t="s">
        <v>256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5" t="s">
        <v>249</v>
      </c>
      <c r="M255" s="536"/>
      <c r="N255" s="538" t="str">
        <f>CONCATENATE('BD Team'!H31," X ",'BD Team'!I31)</f>
        <v>3658 X 3302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5" t="s">
        <v>250</v>
      </c>
      <c r="M256" s="536"/>
      <c r="N256" s="537">
        <f>'BD Team'!J31</f>
        <v>1</v>
      </c>
      <c r="O256" s="537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5" t="s">
        <v>251</v>
      </c>
      <c r="M257" s="536"/>
      <c r="N257" s="538" t="str">
        <f>'BD Team'!C31</f>
        <v>SF85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5" t="s">
        <v>252</v>
      </c>
      <c r="M258" s="536"/>
      <c r="N258" s="538" t="str">
        <f>'BD Team'!E31</f>
        <v>24MM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5" t="s">
        <v>253</v>
      </c>
      <c r="M259" s="536"/>
      <c r="N259" s="538" t="str">
        <f>'BD Team'!F31</f>
        <v>NO</v>
      </c>
      <c r="O259" s="538"/>
    </row>
    <row r="260" spans="3:15">
      <c r="C260" s="534"/>
      <c r="D260" s="534"/>
      <c r="E260" s="534"/>
      <c r="F260" s="534"/>
      <c r="G260" s="534"/>
      <c r="H260" s="534"/>
      <c r="I260" s="534"/>
      <c r="J260" s="534"/>
      <c r="K260" s="534"/>
      <c r="L260" s="534"/>
      <c r="M260" s="534"/>
      <c r="N260" s="534"/>
      <c r="O260" s="534"/>
    </row>
    <row r="261" spans="3:15" ht="25.15" customHeight="1">
      <c r="C261" s="535" t="s">
        <v>254</v>
      </c>
      <c r="D261" s="536"/>
      <c r="E261" s="286" t="str">
        <f>'BD Team'!B32</f>
        <v>W22</v>
      </c>
      <c r="F261" s="288" t="s">
        <v>255</v>
      </c>
      <c r="G261" s="538" t="str">
        <f>'BD Team'!D32</f>
        <v>FIXED GLASS 4 NO'S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5" t="s">
        <v>127</v>
      </c>
      <c r="M262" s="536"/>
      <c r="N262" s="541" t="str">
        <f>'BD Team'!G32</f>
        <v>2F - BILLARDS</v>
      </c>
      <c r="O262" s="541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5" t="s">
        <v>247</v>
      </c>
      <c r="M263" s="536"/>
      <c r="N263" s="538" t="str">
        <f>$F$6</f>
        <v>Anodised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5" t="s">
        <v>178</v>
      </c>
      <c r="M264" s="536"/>
      <c r="N264" s="538" t="str">
        <f>$K$6</f>
        <v>Silver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5" t="s">
        <v>248</v>
      </c>
      <c r="M265" s="536"/>
      <c r="N265" s="541" t="s">
        <v>256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5" t="s">
        <v>249</v>
      </c>
      <c r="M266" s="536"/>
      <c r="N266" s="538" t="str">
        <f>CONCATENATE('BD Team'!H32," X ",'BD Team'!I32)</f>
        <v>6326 X 3302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5" t="s">
        <v>250</v>
      </c>
      <c r="M267" s="536"/>
      <c r="N267" s="537">
        <f>'BD Team'!J32</f>
        <v>1</v>
      </c>
      <c r="O267" s="537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5" t="s">
        <v>251</v>
      </c>
      <c r="M268" s="536"/>
      <c r="N268" s="538" t="str">
        <f>'BD Team'!C32</f>
        <v>M15000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5" t="s">
        <v>252</v>
      </c>
      <c r="M269" s="536"/>
      <c r="N269" s="538" t="str">
        <f>'BD Team'!E32</f>
        <v>12MM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5" t="s">
        <v>253</v>
      </c>
      <c r="M270" s="536"/>
      <c r="N270" s="538" t="str">
        <f>'BD Team'!F32</f>
        <v>NO</v>
      </c>
      <c r="O270" s="538"/>
    </row>
    <row r="271" spans="3:15">
      <c r="C271" s="534"/>
      <c r="D271" s="534"/>
      <c r="E271" s="534"/>
      <c r="F271" s="534"/>
      <c r="G271" s="534"/>
      <c r="H271" s="534"/>
      <c r="I271" s="534"/>
      <c r="J271" s="534"/>
      <c r="K271" s="534"/>
      <c r="L271" s="534"/>
      <c r="M271" s="534"/>
      <c r="N271" s="534"/>
      <c r="O271" s="534"/>
    </row>
    <row r="272" spans="3:15" ht="25.15" customHeight="1">
      <c r="C272" s="535" t="s">
        <v>254</v>
      </c>
      <c r="D272" s="536"/>
      <c r="E272" s="286" t="str">
        <f>'BD Team'!B33</f>
        <v>W23</v>
      </c>
      <c r="F272" s="288" t="s">
        <v>255</v>
      </c>
      <c r="G272" s="538" t="str">
        <f>'BD Team'!D33</f>
        <v>FIXED GLASS 3 NO'S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5" t="s">
        <v>127</v>
      </c>
      <c r="M273" s="536"/>
      <c r="N273" s="541" t="str">
        <f>'BD Team'!G33</f>
        <v>2F - HOME THEATER</v>
      </c>
      <c r="O273" s="541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5" t="s">
        <v>247</v>
      </c>
      <c r="M274" s="536"/>
      <c r="N274" s="538" t="str">
        <f>$F$6</f>
        <v>Anodised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5" t="s">
        <v>178</v>
      </c>
      <c r="M275" s="536"/>
      <c r="N275" s="538" t="str">
        <f>$K$6</f>
        <v>Silver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5" t="s">
        <v>248</v>
      </c>
      <c r="M276" s="536"/>
      <c r="N276" s="541" t="s">
        <v>256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5" t="s">
        <v>249</v>
      </c>
      <c r="M277" s="536"/>
      <c r="N277" s="538" t="str">
        <f>CONCATENATE('BD Team'!H33," X ",'BD Team'!I33)</f>
        <v>4878 X 2896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5" t="s">
        <v>250</v>
      </c>
      <c r="M278" s="536"/>
      <c r="N278" s="537">
        <f>'BD Team'!J33</f>
        <v>1</v>
      </c>
      <c r="O278" s="537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5" t="s">
        <v>251</v>
      </c>
      <c r="M279" s="536"/>
      <c r="N279" s="538" t="str">
        <f>'BD Team'!C33</f>
        <v>M15000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5" t="s">
        <v>252</v>
      </c>
      <c r="M280" s="536"/>
      <c r="N280" s="538" t="str">
        <f>'BD Team'!E33</f>
        <v>12MM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5" t="s">
        <v>253</v>
      </c>
      <c r="M281" s="536"/>
      <c r="N281" s="538" t="str">
        <f>'BD Team'!F33</f>
        <v>NO</v>
      </c>
      <c r="O281" s="538"/>
    </row>
    <row r="282" spans="3:15">
      <c r="C282" s="534"/>
      <c r="D282" s="534"/>
      <c r="E282" s="534"/>
      <c r="F282" s="534"/>
      <c r="G282" s="534"/>
      <c r="H282" s="534"/>
      <c r="I282" s="534"/>
      <c r="J282" s="534"/>
      <c r="K282" s="534"/>
      <c r="L282" s="534"/>
      <c r="M282" s="534"/>
      <c r="N282" s="534"/>
      <c r="O282" s="534"/>
    </row>
    <row r="283" spans="3:15" ht="25.15" customHeight="1">
      <c r="C283" s="535" t="s">
        <v>254</v>
      </c>
      <c r="D283" s="536"/>
      <c r="E283" s="286" t="str">
        <f>'BD Team'!B34</f>
        <v>W24</v>
      </c>
      <c r="F283" s="288" t="s">
        <v>255</v>
      </c>
      <c r="G283" s="538" t="str">
        <f>'BD Team'!D34</f>
        <v>FIXED GLASS 2 NO'S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5" t="s">
        <v>127</v>
      </c>
      <c r="M284" s="536"/>
      <c r="N284" s="541" t="str">
        <f>'BD Team'!G34</f>
        <v>2F - BEDROOM</v>
      </c>
      <c r="O284" s="541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5" t="s">
        <v>247</v>
      </c>
      <c r="M285" s="536"/>
      <c r="N285" s="538" t="str">
        <f>$F$6</f>
        <v>Anodised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5" t="s">
        <v>178</v>
      </c>
      <c r="M286" s="536"/>
      <c r="N286" s="538" t="str">
        <f>$K$6</f>
        <v>Silver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5" t="s">
        <v>248</v>
      </c>
      <c r="M287" s="536"/>
      <c r="N287" s="541" t="s">
        <v>256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5" t="s">
        <v>249</v>
      </c>
      <c r="M288" s="536"/>
      <c r="N288" s="538" t="str">
        <f>CONCATENATE('BD Team'!H34," X ",'BD Team'!I34)</f>
        <v>2744 X 2896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5" t="s">
        <v>250</v>
      </c>
      <c r="M289" s="536"/>
      <c r="N289" s="537">
        <f>'BD Team'!J34</f>
        <v>1</v>
      </c>
      <c r="O289" s="537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5" t="s">
        <v>251</v>
      </c>
      <c r="M290" s="536"/>
      <c r="N290" s="538" t="str">
        <f>'BD Team'!C34</f>
        <v>M15000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5" t="s">
        <v>252</v>
      </c>
      <c r="M291" s="536"/>
      <c r="N291" s="538" t="str">
        <f>'BD Team'!E34</f>
        <v>12MM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5" t="s">
        <v>253</v>
      </c>
      <c r="M292" s="536"/>
      <c r="N292" s="538" t="str">
        <f>'BD Team'!F34</f>
        <v>NO</v>
      </c>
      <c r="O292" s="538"/>
    </row>
    <row r="293" spans="3:15">
      <c r="C293" s="534"/>
      <c r="D293" s="534"/>
      <c r="E293" s="534"/>
      <c r="F293" s="534"/>
      <c r="G293" s="534"/>
      <c r="H293" s="534"/>
      <c r="I293" s="534"/>
      <c r="J293" s="534"/>
      <c r="K293" s="534"/>
      <c r="L293" s="534"/>
      <c r="M293" s="534"/>
      <c r="N293" s="534"/>
      <c r="O293" s="534"/>
    </row>
    <row r="294" spans="3:15" ht="25.15" customHeight="1">
      <c r="C294" s="535" t="s">
        <v>254</v>
      </c>
      <c r="D294" s="536"/>
      <c r="E294" s="286" t="str">
        <f>'BD Team'!B35</f>
        <v>W25</v>
      </c>
      <c r="F294" s="288" t="s">
        <v>255</v>
      </c>
      <c r="G294" s="538" t="str">
        <f>'BD Team'!D35</f>
        <v>FIXED GLASS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5" t="s">
        <v>127</v>
      </c>
      <c r="M295" s="536"/>
      <c r="N295" s="541" t="str">
        <f>'BD Team'!G35</f>
        <v>2F - SON'S BEDROOM</v>
      </c>
      <c r="O295" s="541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5" t="s">
        <v>247</v>
      </c>
      <c r="M296" s="536"/>
      <c r="N296" s="538" t="str">
        <f>$F$6</f>
        <v>Anodised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5" t="s">
        <v>178</v>
      </c>
      <c r="M297" s="536"/>
      <c r="N297" s="538" t="str">
        <f>$K$6</f>
        <v>Silver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5" t="s">
        <v>248</v>
      </c>
      <c r="M298" s="536"/>
      <c r="N298" s="541" t="s">
        <v>256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5" t="s">
        <v>249</v>
      </c>
      <c r="M299" s="536"/>
      <c r="N299" s="538" t="str">
        <f>CONCATENATE('BD Team'!H35," X ",'BD Team'!I35)</f>
        <v>382 X 2896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5" t="s">
        <v>250</v>
      </c>
      <c r="M300" s="536"/>
      <c r="N300" s="537">
        <f>'BD Team'!J35</f>
        <v>3</v>
      </c>
      <c r="O300" s="537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5" t="s">
        <v>251</v>
      </c>
      <c r="M301" s="536"/>
      <c r="N301" s="538" t="str">
        <f>'BD Team'!C35</f>
        <v>M15000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5" t="s">
        <v>252</v>
      </c>
      <c r="M302" s="536"/>
      <c r="N302" s="538" t="str">
        <f>'BD Team'!E35</f>
        <v>12MM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5" t="s">
        <v>253</v>
      </c>
      <c r="M303" s="536"/>
      <c r="N303" s="538" t="str">
        <f>'BD Team'!F35</f>
        <v>NO</v>
      </c>
      <c r="O303" s="538"/>
    </row>
    <row r="304" spans="3:15">
      <c r="C304" s="534"/>
      <c r="D304" s="534"/>
      <c r="E304" s="534"/>
      <c r="F304" s="534"/>
      <c r="G304" s="534"/>
      <c r="H304" s="534"/>
      <c r="I304" s="534"/>
      <c r="J304" s="534"/>
      <c r="K304" s="534"/>
      <c r="L304" s="534"/>
      <c r="M304" s="534"/>
      <c r="N304" s="534"/>
      <c r="O304" s="534"/>
    </row>
    <row r="305" spans="3:15" ht="25.15" customHeight="1">
      <c r="C305" s="535" t="s">
        <v>254</v>
      </c>
      <c r="D305" s="536"/>
      <c r="E305" s="286" t="str">
        <f>'BD Team'!B36</f>
        <v>W26</v>
      </c>
      <c r="F305" s="288" t="s">
        <v>255</v>
      </c>
      <c r="G305" s="538" t="str">
        <f>'BD Team'!D36</f>
        <v>FIXED GLASS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5" t="s">
        <v>127</v>
      </c>
      <c r="M306" s="536"/>
      <c r="N306" s="541" t="str">
        <f>'BD Team'!G36</f>
        <v>2F - BATHROOM</v>
      </c>
      <c r="O306" s="541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5" t="s">
        <v>247</v>
      </c>
      <c r="M307" s="536"/>
      <c r="N307" s="538" t="str">
        <f>$F$6</f>
        <v>Anodised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5" t="s">
        <v>178</v>
      </c>
      <c r="M308" s="536"/>
      <c r="N308" s="538" t="str">
        <f>$K$6</f>
        <v>Silver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5" t="s">
        <v>248</v>
      </c>
      <c r="M309" s="536"/>
      <c r="N309" s="541" t="s">
        <v>256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5" t="s">
        <v>249</v>
      </c>
      <c r="M310" s="536"/>
      <c r="N310" s="538" t="str">
        <f>CONCATENATE('BD Team'!H36," X ",'BD Team'!I36)</f>
        <v>534 X 2896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5" t="s">
        <v>250</v>
      </c>
      <c r="M311" s="536"/>
      <c r="N311" s="537">
        <f>'BD Team'!J36</f>
        <v>1</v>
      </c>
      <c r="O311" s="537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5" t="s">
        <v>251</v>
      </c>
      <c r="M312" s="536"/>
      <c r="N312" s="538" t="str">
        <f>'BD Team'!C36</f>
        <v>M15000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5" t="s">
        <v>252</v>
      </c>
      <c r="M313" s="536"/>
      <c r="N313" s="538" t="str">
        <f>'BD Team'!E36</f>
        <v>12MM (F)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5" t="s">
        <v>253</v>
      </c>
      <c r="M314" s="536"/>
      <c r="N314" s="538" t="str">
        <f>'BD Team'!F36</f>
        <v>NO</v>
      </c>
      <c r="O314" s="538"/>
    </row>
    <row r="315" spans="3:15">
      <c r="C315" s="534"/>
      <c r="D315" s="534"/>
      <c r="E315" s="534"/>
      <c r="F315" s="534"/>
      <c r="G315" s="534"/>
      <c r="H315" s="534"/>
      <c r="I315" s="534"/>
      <c r="J315" s="534"/>
      <c r="K315" s="534"/>
      <c r="L315" s="534"/>
      <c r="M315" s="534"/>
      <c r="N315" s="534"/>
      <c r="O315" s="534"/>
    </row>
    <row r="316" spans="3:15" ht="25.15" customHeight="1">
      <c r="C316" s="535" t="s">
        <v>254</v>
      </c>
      <c r="D316" s="536"/>
      <c r="E316" s="286" t="str">
        <f>'BD Team'!B37</f>
        <v>W27</v>
      </c>
      <c r="F316" s="288" t="s">
        <v>255</v>
      </c>
      <c r="G316" s="538" t="str">
        <f>'BD Team'!D37</f>
        <v>FIXED GLASS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5" t="s">
        <v>127</v>
      </c>
      <c r="M317" s="536"/>
      <c r="N317" s="541" t="str">
        <f>'BD Team'!G37</f>
        <v>2F - BATHROOM</v>
      </c>
      <c r="O317" s="541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5" t="s">
        <v>247</v>
      </c>
      <c r="M318" s="536"/>
      <c r="N318" s="538" t="str">
        <f>$F$6</f>
        <v>Anodised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5" t="s">
        <v>178</v>
      </c>
      <c r="M319" s="536"/>
      <c r="N319" s="538" t="str">
        <f>$K$6</f>
        <v>Silver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5" t="s">
        <v>248</v>
      </c>
      <c r="M320" s="536"/>
      <c r="N320" s="541" t="s">
        <v>256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5" t="s">
        <v>249</v>
      </c>
      <c r="M321" s="536"/>
      <c r="N321" s="538" t="str">
        <f>CONCATENATE('BD Team'!H37," X ",'BD Team'!I37)</f>
        <v>610 X 2896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5" t="s">
        <v>250</v>
      </c>
      <c r="M322" s="536"/>
      <c r="N322" s="537">
        <f>'BD Team'!J37</f>
        <v>1</v>
      </c>
      <c r="O322" s="537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5" t="s">
        <v>251</v>
      </c>
      <c r="M323" s="536"/>
      <c r="N323" s="538" t="str">
        <f>'BD Team'!C37</f>
        <v>M15000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5" t="s">
        <v>252</v>
      </c>
      <c r="M324" s="536"/>
      <c r="N324" s="538" t="str">
        <f>'BD Team'!E37</f>
        <v>12MM (F)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5" t="s">
        <v>253</v>
      </c>
      <c r="M325" s="536"/>
      <c r="N325" s="538" t="str">
        <f>'BD Team'!F37</f>
        <v>NO</v>
      </c>
      <c r="O325" s="538"/>
    </row>
    <row r="326" spans="3:15">
      <c r="C326" s="534"/>
      <c r="D326" s="534"/>
      <c r="E326" s="534"/>
      <c r="F326" s="534"/>
      <c r="G326" s="534"/>
      <c r="H326" s="534"/>
      <c r="I326" s="534"/>
      <c r="J326" s="534"/>
      <c r="K326" s="534"/>
      <c r="L326" s="534"/>
      <c r="M326" s="534"/>
      <c r="N326" s="534"/>
      <c r="O326" s="534"/>
    </row>
    <row r="327" spans="3:15" ht="25.15" customHeight="1">
      <c r="C327" s="535" t="s">
        <v>254</v>
      </c>
      <c r="D327" s="536"/>
      <c r="E327" s="286" t="str">
        <f>'BD Team'!B38</f>
        <v>W28</v>
      </c>
      <c r="F327" s="288" t="s">
        <v>255</v>
      </c>
      <c r="G327" s="538" t="str">
        <f>'BD Team'!D38</f>
        <v>FIXED GLASS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5" t="s">
        <v>127</v>
      </c>
      <c r="M328" s="536"/>
      <c r="N328" s="541" t="str">
        <f>'BD Team'!G38</f>
        <v>2F - DRESSING</v>
      </c>
      <c r="O328" s="541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5" t="s">
        <v>247</v>
      </c>
      <c r="M329" s="536"/>
      <c r="N329" s="538" t="str">
        <f>$F$6</f>
        <v>Anodised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5" t="s">
        <v>178</v>
      </c>
      <c r="M330" s="536"/>
      <c r="N330" s="538" t="str">
        <f>$K$6</f>
        <v>Silver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5" t="s">
        <v>248</v>
      </c>
      <c r="M331" s="536"/>
      <c r="N331" s="541" t="s">
        <v>256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5" t="s">
        <v>249</v>
      </c>
      <c r="M332" s="536"/>
      <c r="N332" s="538" t="str">
        <f>CONCATENATE('BD Team'!H38," X ",'BD Team'!I38)</f>
        <v>916 X 2896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5" t="s">
        <v>250</v>
      </c>
      <c r="M333" s="536"/>
      <c r="N333" s="537">
        <f>'BD Team'!J38</f>
        <v>1</v>
      </c>
      <c r="O333" s="537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5" t="s">
        <v>251</v>
      </c>
      <c r="M334" s="536"/>
      <c r="N334" s="538" t="str">
        <f>'BD Team'!C38</f>
        <v>M15000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5" t="s">
        <v>252</v>
      </c>
      <c r="M335" s="536"/>
      <c r="N335" s="538" t="str">
        <f>'BD Team'!E38</f>
        <v>12MM (F)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5" t="s">
        <v>253</v>
      </c>
      <c r="M336" s="536"/>
      <c r="N336" s="538" t="str">
        <f>'BD Team'!F38</f>
        <v>NO</v>
      </c>
      <c r="O336" s="538"/>
    </row>
    <row r="337" spans="3:15">
      <c r="C337" s="534"/>
      <c r="D337" s="534"/>
      <c r="E337" s="534"/>
      <c r="F337" s="534"/>
      <c r="G337" s="534"/>
      <c r="H337" s="534"/>
      <c r="I337" s="534"/>
      <c r="J337" s="534"/>
      <c r="K337" s="534"/>
      <c r="L337" s="534"/>
      <c r="M337" s="534"/>
      <c r="N337" s="534"/>
      <c r="O337" s="534"/>
    </row>
    <row r="338" spans="3:15" ht="25.15" customHeight="1">
      <c r="C338" s="535" t="s">
        <v>254</v>
      </c>
      <c r="D338" s="536"/>
      <c r="E338" s="286" t="str">
        <f>'BD Team'!B39</f>
        <v>W29</v>
      </c>
      <c r="F338" s="288" t="s">
        <v>255</v>
      </c>
      <c r="G338" s="538" t="str">
        <f>'BD Team'!D39</f>
        <v>TOP HUNG WINDOW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5" t="s">
        <v>127</v>
      </c>
      <c r="M339" s="536"/>
      <c r="N339" s="541" t="str">
        <f>'BD Team'!G39</f>
        <v>2F - PW. ROOM</v>
      </c>
      <c r="O339" s="541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5" t="s">
        <v>247</v>
      </c>
      <c r="M340" s="536"/>
      <c r="N340" s="538" t="str">
        <f>$F$6</f>
        <v>Anodised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5" t="s">
        <v>178</v>
      </c>
      <c r="M341" s="536"/>
      <c r="N341" s="538" t="str">
        <f>$K$6</f>
        <v>Silver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5" t="s">
        <v>248</v>
      </c>
      <c r="M342" s="536"/>
      <c r="N342" s="541" t="s">
        <v>256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5" t="s">
        <v>249</v>
      </c>
      <c r="M343" s="536"/>
      <c r="N343" s="538" t="str">
        <f>CONCATENATE('BD Team'!H39," X ",'BD Team'!I39)</f>
        <v>916 X 1068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5" t="s">
        <v>250</v>
      </c>
      <c r="M344" s="536"/>
      <c r="N344" s="537">
        <f>'BD Team'!J39</f>
        <v>1</v>
      </c>
      <c r="O344" s="537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5" t="s">
        <v>251</v>
      </c>
      <c r="M345" s="536"/>
      <c r="N345" s="538" t="str">
        <f>'BD Team'!C39</f>
        <v>M15000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5" t="s">
        <v>252</v>
      </c>
      <c r="M346" s="536"/>
      <c r="N346" s="538" t="str">
        <f>'BD Team'!E39</f>
        <v>12MM (F)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5" t="s">
        <v>253</v>
      </c>
      <c r="M347" s="536"/>
      <c r="N347" s="538" t="str">
        <f>'BD Team'!F39</f>
        <v>NO</v>
      </c>
      <c r="O347" s="538"/>
    </row>
    <row r="348" spans="3:15">
      <c r="C348" s="534"/>
      <c r="D348" s="534"/>
      <c r="E348" s="534"/>
      <c r="F348" s="534"/>
      <c r="G348" s="534"/>
      <c r="H348" s="534"/>
      <c r="I348" s="534"/>
      <c r="J348" s="534"/>
      <c r="K348" s="534"/>
      <c r="L348" s="534"/>
      <c r="M348" s="534"/>
      <c r="N348" s="534"/>
      <c r="O348" s="534"/>
    </row>
    <row r="349" spans="3:15" ht="25.15" customHeight="1">
      <c r="C349" s="535" t="s">
        <v>254</v>
      </c>
      <c r="D349" s="536"/>
      <c r="E349" s="286" t="str">
        <f>'BD Team'!B40</f>
        <v>W30</v>
      </c>
      <c r="F349" s="288" t="s">
        <v>255</v>
      </c>
      <c r="G349" s="538" t="str">
        <f>'BD Team'!D40</f>
        <v>TOP HUNG WINDOW WITH TOP FIXED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5" t="s">
        <v>127</v>
      </c>
      <c r="M350" s="536"/>
      <c r="N350" s="541" t="str">
        <f>'BD Team'!G40</f>
        <v>2F - STORE</v>
      </c>
      <c r="O350" s="541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5" t="s">
        <v>247</v>
      </c>
      <c r="M351" s="536"/>
      <c r="N351" s="538" t="str">
        <f>$F$6</f>
        <v>Anodised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5" t="s">
        <v>178</v>
      </c>
      <c r="M352" s="536"/>
      <c r="N352" s="538" t="str">
        <f>$K$6</f>
        <v>Silver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5" t="s">
        <v>248</v>
      </c>
      <c r="M353" s="536"/>
      <c r="N353" s="541" t="s">
        <v>256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5" t="s">
        <v>249</v>
      </c>
      <c r="M354" s="536"/>
      <c r="N354" s="538" t="str">
        <f>CONCATENATE('BD Team'!H40," X ",'BD Team'!I40)</f>
        <v>916 X 1830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5" t="s">
        <v>250</v>
      </c>
      <c r="M355" s="536"/>
      <c r="N355" s="537">
        <f>'BD Team'!J40</f>
        <v>1</v>
      </c>
      <c r="O355" s="537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5" t="s">
        <v>251</v>
      </c>
      <c r="M356" s="536"/>
      <c r="N356" s="538" t="str">
        <f>'BD Team'!C40</f>
        <v>M15000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5" t="s">
        <v>252</v>
      </c>
      <c r="M357" s="536"/>
      <c r="N357" s="538" t="str">
        <f>'BD Team'!E40</f>
        <v>12MM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5" t="s">
        <v>253</v>
      </c>
      <c r="M358" s="536"/>
      <c r="N358" s="538" t="str">
        <f>'BD Team'!F40</f>
        <v>NO</v>
      </c>
      <c r="O358" s="538"/>
    </row>
    <row r="359" spans="3:15">
      <c r="C359" s="534"/>
      <c r="D359" s="534"/>
      <c r="E359" s="534"/>
      <c r="F359" s="534"/>
      <c r="G359" s="534"/>
      <c r="H359" s="534"/>
      <c r="I359" s="534"/>
      <c r="J359" s="534"/>
      <c r="K359" s="534"/>
      <c r="L359" s="534"/>
      <c r="M359" s="534"/>
      <c r="N359" s="534"/>
      <c r="O359" s="534"/>
    </row>
    <row r="360" spans="3:15" ht="25.15" customHeight="1">
      <c r="C360" s="535" t="s">
        <v>254</v>
      </c>
      <c r="D360" s="536"/>
      <c r="E360" s="286" t="str">
        <f>'BD Team'!B41</f>
        <v>W31</v>
      </c>
      <c r="F360" s="288" t="s">
        <v>255</v>
      </c>
      <c r="G360" s="538" t="str">
        <f>'BD Team'!D41</f>
        <v>FIXED GLASS 2 NO'S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5" t="s">
        <v>127</v>
      </c>
      <c r="M361" s="536"/>
      <c r="N361" s="541" t="str">
        <f>'BD Team'!G41</f>
        <v>2F - GYM</v>
      </c>
      <c r="O361" s="541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5" t="s">
        <v>247</v>
      </c>
      <c r="M362" s="536"/>
      <c r="N362" s="538" t="str">
        <f>$F$6</f>
        <v>Anodised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5" t="s">
        <v>178</v>
      </c>
      <c r="M363" s="536"/>
      <c r="N363" s="538" t="str">
        <f>$K$6</f>
        <v>Silver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5" t="s">
        <v>248</v>
      </c>
      <c r="M364" s="536"/>
      <c r="N364" s="541" t="s">
        <v>256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5" t="s">
        <v>249</v>
      </c>
      <c r="M365" s="536"/>
      <c r="N365" s="538" t="str">
        <f>CONCATENATE('BD Team'!H41," X ",'BD Team'!I41)</f>
        <v>3278 X 3302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5" t="s">
        <v>250</v>
      </c>
      <c r="M366" s="536"/>
      <c r="N366" s="537">
        <f>'BD Team'!J41</f>
        <v>1</v>
      </c>
      <c r="O366" s="537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5" t="s">
        <v>251</v>
      </c>
      <c r="M367" s="536"/>
      <c r="N367" s="538" t="str">
        <f>'BD Team'!C41</f>
        <v>M15000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5" t="s">
        <v>252</v>
      </c>
      <c r="M368" s="536"/>
      <c r="N368" s="538" t="str">
        <f>'BD Team'!E41</f>
        <v>12MM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5" t="s">
        <v>253</v>
      </c>
      <c r="M369" s="536"/>
      <c r="N369" s="538" t="str">
        <f>'BD Team'!F41</f>
        <v>NO</v>
      </c>
      <c r="O369" s="538"/>
    </row>
    <row r="370" spans="3:15">
      <c r="C370" s="534"/>
      <c r="D370" s="534"/>
      <c r="E370" s="534"/>
      <c r="F370" s="534"/>
      <c r="G370" s="534"/>
      <c r="H370" s="534"/>
      <c r="I370" s="534"/>
      <c r="J370" s="534"/>
      <c r="K370" s="534"/>
      <c r="L370" s="534"/>
      <c r="M370" s="534"/>
      <c r="N370" s="534"/>
      <c r="O370" s="534"/>
    </row>
    <row r="371" spans="3:15" ht="25.15" customHeight="1">
      <c r="C371" s="535" t="s">
        <v>254</v>
      </c>
      <c r="D371" s="536"/>
      <c r="E371" s="286" t="str">
        <f>'BD Team'!B42</f>
        <v>W32</v>
      </c>
      <c r="F371" s="288" t="s">
        <v>255</v>
      </c>
      <c r="G371" s="538" t="str">
        <f>'BD Team'!D42</f>
        <v>FIXED GLASS 2 NO'S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5" t="s">
        <v>127</v>
      </c>
      <c r="M372" s="536"/>
      <c r="N372" s="541" t="str">
        <f>'BD Team'!G42</f>
        <v>2F - GYM</v>
      </c>
      <c r="O372" s="541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5" t="s">
        <v>247</v>
      </c>
      <c r="M373" s="536"/>
      <c r="N373" s="538" t="str">
        <f>$F$6</f>
        <v>Anodised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5" t="s">
        <v>178</v>
      </c>
      <c r="M374" s="536"/>
      <c r="N374" s="538" t="str">
        <f>$K$6</f>
        <v>Silver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5" t="s">
        <v>248</v>
      </c>
      <c r="M375" s="536"/>
      <c r="N375" s="541" t="s">
        <v>256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5" t="s">
        <v>249</v>
      </c>
      <c r="M376" s="536"/>
      <c r="N376" s="538" t="str">
        <f>CONCATENATE('BD Team'!H42," X ",'BD Team'!I42)</f>
        <v>3734 X 3302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5" t="s">
        <v>250</v>
      </c>
      <c r="M377" s="536"/>
      <c r="N377" s="537">
        <f>'BD Team'!J42</f>
        <v>1</v>
      </c>
      <c r="O377" s="537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5" t="s">
        <v>251</v>
      </c>
      <c r="M378" s="536"/>
      <c r="N378" s="538" t="str">
        <f>'BD Team'!C42</f>
        <v>M15000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5" t="s">
        <v>252</v>
      </c>
      <c r="M379" s="536"/>
      <c r="N379" s="538" t="str">
        <f>'BD Team'!E42</f>
        <v>12MM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5" t="s">
        <v>253</v>
      </c>
      <c r="M380" s="536"/>
      <c r="N380" s="538" t="str">
        <f>'BD Team'!F42</f>
        <v>NO</v>
      </c>
      <c r="O380" s="538"/>
    </row>
    <row r="381" spans="3:15">
      <c r="C381" s="534"/>
      <c r="D381" s="534"/>
      <c r="E381" s="534"/>
      <c r="F381" s="534"/>
      <c r="G381" s="534"/>
      <c r="H381" s="534"/>
      <c r="I381" s="534"/>
      <c r="J381" s="534"/>
      <c r="K381" s="534"/>
      <c r="L381" s="534"/>
      <c r="M381" s="534"/>
      <c r="N381" s="534"/>
      <c r="O381" s="534"/>
    </row>
    <row r="382" spans="3:15" ht="25.15" customHeight="1">
      <c r="C382" s="535" t="s">
        <v>254</v>
      </c>
      <c r="D382" s="536"/>
      <c r="E382" s="286" t="str">
        <f>'BD Team'!B43</f>
        <v>W33</v>
      </c>
      <c r="F382" s="288" t="s">
        <v>255</v>
      </c>
      <c r="G382" s="538" t="str">
        <f>'BD Team'!D43</f>
        <v>TOP HUNG WINDOW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5" t="s">
        <v>127</v>
      </c>
      <c r="M383" s="536"/>
      <c r="N383" s="541" t="str">
        <f>'BD Team'!G43</f>
        <v>POOL AREA DRESS</v>
      </c>
      <c r="O383" s="541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5" t="s">
        <v>247</v>
      </c>
      <c r="M384" s="536"/>
      <c r="N384" s="538" t="str">
        <f>$F$6</f>
        <v>Anodised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5" t="s">
        <v>178</v>
      </c>
      <c r="M385" s="536"/>
      <c r="N385" s="538" t="str">
        <f>$K$6</f>
        <v>Silver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5" t="s">
        <v>248</v>
      </c>
      <c r="M386" s="536"/>
      <c r="N386" s="541" t="s">
        <v>256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5" t="s">
        <v>249</v>
      </c>
      <c r="M387" s="536"/>
      <c r="N387" s="538" t="str">
        <f>CONCATENATE('BD Team'!H43," X ",'BD Team'!I43)</f>
        <v>500 X 1020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5" t="s">
        <v>250</v>
      </c>
      <c r="M388" s="536"/>
      <c r="N388" s="537">
        <f>'BD Team'!J43</f>
        <v>1</v>
      </c>
      <c r="O388" s="537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5" t="s">
        <v>251</v>
      </c>
      <c r="M389" s="536"/>
      <c r="N389" s="538" t="str">
        <f>'BD Team'!C43</f>
        <v>M15000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5" t="s">
        <v>252</v>
      </c>
      <c r="M390" s="536"/>
      <c r="N390" s="538" t="str">
        <f>'BD Team'!E43</f>
        <v>12MM (F)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5" t="s">
        <v>253</v>
      </c>
      <c r="M391" s="536"/>
      <c r="N391" s="538" t="str">
        <f>'BD Team'!F43</f>
        <v>NO</v>
      </c>
      <c r="O391" s="538"/>
    </row>
    <row r="392" spans="3:15">
      <c r="C392" s="534"/>
      <c r="D392" s="534"/>
      <c r="E392" s="534"/>
      <c r="F392" s="534"/>
      <c r="G392" s="534"/>
      <c r="H392" s="534"/>
      <c r="I392" s="534"/>
      <c r="J392" s="534"/>
      <c r="K392" s="534"/>
      <c r="L392" s="534"/>
      <c r="M392" s="534"/>
      <c r="N392" s="534"/>
      <c r="O392" s="534"/>
    </row>
    <row r="393" spans="3:15" ht="25.15" customHeight="1">
      <c r="C393" s="535" t="s">
        <v>254</v>
      </c>
      <c r="D393" s="536"/>
      <c r="E393" s="286" t="str">
        <f>'BD Team'!B44</f>
        <v>W34</v>
      </c>
      <c r="F393" s="288" t="s">
        <v>255</v>
      </c>
      <c r="G393" s="538" t="str">
        <f>'BD Team'!D44</f>
        <v>FIXED GLASS 2 NO'S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5" t="s">
        <v>127</v>
      </c>
      <c r="M394" s="536"/>
      <c r="N394" s="541" t="str">
        <f>'BD Team'!G44</f>
        <v>POOL AREA</v>
      </c>
      <c r="O394" s="541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5" t="s">
        <v>247</v>
      </c>
      <c r="M395" s="536"/>
      <c r="N395" s="538" t="str">
        <f>$F$6</f>
        <v>Anodised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5" t="s">
        <v>178</v>
      </c>
      <c r="M396" s="536"/>
      <c r="N396" s="538" t="str">
        <f>$K$6</f>
        <v>Silver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5" t="s">
        <v>248</v>
      </c>
      <c r="M397" s="536"/>
      <c r="N397" s="541" t="s">
        <v>256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5" t="s">
        <v>249</v>
      </c>
      <c r="M398" s="536"/>
      <c r="N398" s="538" t="str">
        <f>CONCATENATE('BD Team'!H44," X ",'BD Team'!I44)</f>
        <v>3200 X 2600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5" t="s">
        <v>250</v>
      </c>
      <c r="M399" s="536"/>
      <c r="N399" s="537">
        <f>'BD Team'!J44</f>
        <v>1</v>
      </c>
      <c r="O399" s="537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5" t="s">
        <v>251</v>
      </c>
      <c r="M400" s="536"/>
      <c r="N400" s="538" t="str">
        <f>'BD Team'!C44</f>
        <v>M15000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5" t="s">
        <v>252</v>
      </c>
      <c r="M401" s="536"/>
      <c r="N401" s="538" t="str">
        <f>'BD Team'!E44</f>
        <v>12MM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5" t="s">
        <v>253</v>
      </c>
      <c r="M402" s="536"/>
      <c r="N402" s="538" t="str">
        <f>'BD Team'!F44</f>
        <v>NO</v>
      </c>
      <c r="O402" s="538"/>
    </row>
    <row r="403" spans="3:15">
      <c r="C403" s="534"/>
      <c r="D403" s="534"/>
      <c r="E403" s="534"/>
      <c r="F403" s="534"/>
      <c r="G403" s="534"/>
      <c r="H403" s="534"/>
      <c r="I403" s="534"/>
      <c r="J403" s="534"/>
      <c r="K403" s="534"/>
      <c r="L403" s="534"/>
      <c r="M403" s="534"/>
      <c r="N403" s="534"/>
      <c r="O403" s="534"/>
    </row>
    <row r="404" spans="3:15" ht="25.15" customHeight="1">
      <c r="C404" s="535" t="s">
        <v>254</v>
      </c>
      <c r="D404" s="536"/>
      <c r="E404" s="286" t="str">
        <f>'BD Team'!B45</f>
        <v>W35</v>
      </c>
      <c r="F404" s="288" t="s">
        <v>255</v>
      </c>
      <c r="G404" s="538" t="str">
        <f>'BD Team'!D45</f>
        <v>FIXED GLASS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5" t="s">
        <v>127</v>
      </c>
      <c r="M405" s="536"/>
      <c r="N405" s="541" t="str">
        <f>'BD Team'!G45</f>
        <v>POOL AREA</v>
      </c>
      <c r="O405" s="541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5" t="s">
        <v>247</v>
      </c>
      <c r="M406" s="536"/>
      <c r="N406" s="538" t="str">
        <f>$F$6</f>
        <v>Anodised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5" t="s">
        <v>178</v>
      </c>
      <c r="M407" s="536"/>
      <c r="N407" s="538" t="str">
        <f>$K$6</f>
        <v>Silver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5" t="s">
        <v>248</v>
      </c>
      <c r="M408" s="536"/>
      <c r="N408" s="541" t="s">
        <v>256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5" t="s">
        <v>249</v>
      </c>
      <c r="M409" s="536"/>
      <c r="N409" s="538" t="str">
        <f>CONCATENATE('BD Team'!H45," X ",'BD Team'!I45)</f>
        <v>2300 X 2600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5" t="s">
        <v>250</v>
      </c>
      <c r="M410" s="536"/>
      <c r="N410" s="537">
        <f>'BD Team'!J45</f>
        <v>1</v>
      </c>
      <c r="O410" s="537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5" t="s">
        <v>251</v>
      </c>
      <c r="M411" s="536"/>
      <c r="N411" s="538" t="str">
        <f>'BD Team'!C45</f>
        <v>M15000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5" t="s">
        <v>252</v>
      </c>
      <c r="M412" s="536"/>
      <c r="N412" s="538" t="str">
        <f>'BD Team'!E45</f>
        <v>12MM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5" t="s">
        <v>253</v>
      </c>
      <c r="M413" s="536"/>
      <c r="N413" s="538" t="str">
        <f>'BD Team'!F45</f>
        <v>NO</v>
      </c>
      <c r="O413" s="538"/>
    </row>
    <row r="414" spans="3:15">
      <c r="C414" s="534"/>
      <c r="D414" s="534"/>
      <c r="E414" s="534"/>
      <c r="F414" s="534"/>
      <c r="G414" s="534"/>
      <c r="H414" s="534"/>
      <c r="I414" s="534"/>
      <c r="J414" s="534"/>
      <c r="K414" s="534"/>
      <c r="L414" s="534"/>
      <c r="M414" s="534"/>
      <c r="N414" s="534"/>
      <c r="O414" s="534"/>
    </row>
    <row r="415" spans="3:15" ht="25.15" customHeight="1">
      <c r="C415" s="535" t="s">
        <v>254</v>
      </c>
      <c r="D415" s="536"/>
      <c r="E415" s="286">
        <f>'BD Team'!B46</f>
        <v>0</v>
      </c>
      <c r="F415" s="288" t="s">
        <v>255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5" t="s">
        <v>127</v>
      </c>
      <c r="M416" s="536"/>
      <c r="N416" s="541">
        <f>'BD Team'!G46</f>
        <v>0</v>
      </c>
      <c r="O416" s="541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5" t="s">
        <v>247</v>
      </c>
      <c r="M417" s="536"/>
      <c r="N417" s="538" t="str">
        <f>$F$6</f>
        <v>Anodised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5" t="s">
        <v>178</v>
      </c>
      <c r="M418" s="536"/>
      <c r="N418" s="538" t="str">
        <f>$K$6</f>
        <v>Silver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5" t="s">
        <v>248</v>
      </c>
      <c r="M419" s="536"/>
      <c r="N419" s="541" t="s">
        <v>256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5" t="s">
        <v>249</v>
      </c>
      <c r="M420" s="536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5" t="s">
        <v>250</v>
      </c>
      <c r="M421" s="536"/>
      <c r="N421" s="537">
        <f>'BD Team'!J46</f>
        <v>0</v>
      </c>
      <c r="O421" s="537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5" t="s">
        <v>251</v>
      </c>
      <c r="M422" s="536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5" t="s">
        <v>252</v>
      </c>
      <c r="M423" s="536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5" t="s">
        <v>253</v>
      </c>
      <c r="M424" s="536"/>
      <c r="N424" s="538">
        <f>'BD Team'!F46</f>
        <v>0</v>
      </c>
      <c r="O424" s="538"/>
    </row>
    <row r="425" spans="3:15">
      <c r="C425" s="534"/>
      <c r="D425" s="534"/>
      <c r="E425" s="534"/>
      <c r="F425" s="534"/>
      <c r="G425" s="534"/>
      <c r="H425" s="534"/>
      <c r="I425" s="534"/>
      <c r="J425" s="534"/>
      <c r="K425" s="534"/>
      <c r="L425" s="534"/>
      <c r="M425" s="534"/>
      <c r="N425" s="534"/>
      <c r="O425" s="534"/>
    </row>
    <row r="426" spans="3:15" ht="25.15" customHeight="1">
      <c r="C426" s="535" t="s">
        <v>254</v>
      </c>
      <c r="D426" s="536"/>
      <c r="E426" s="286">
        <f>'BD Team'!B47</f>
        <v>0</v>
      </c>
      <c r="F426" s="288" t="s">
        <v>255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5" t="s">
        <v>127</v>
      </c>
      <c r="M427" s="536"/>
      <c r="N427" s="541">
        <f>'BD Team'!G47</f>
        <v>0</v>
      </c>
      <c r="O427" s="541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5" t="s">
        <v>247</v>
      </c>
      <c r="M428" s="536"/>
      <c r="N428" s="538" t="str">
        <f>$F$6</f>
        <v>Anodised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5" t="s">
        <v>178</v>
      </c>
      <c r="M429" s="536"/>
      <c r="N429" s="538" t="str">
        <f>$K$6</f>
        <v>Silver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5" t="s">
        <v>248</v>
      </c>
      <c r="M430" s="536"/>
      <c r="N430" s="541" t="s">
        <v>256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5" t="s">
        <v>249</v>
      </c>
      <c r="M431" s="536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5" t="s">
        <v>250</v>
      </c>
      <c r="M432" s="536"/>
      <c r="N432" s="537">
        <f>'BD Team'!J47</f>
        <v>0</v>
      </c>
      <c r="O432" s="537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5" t="s">
        <v>251</v>
      </c>
      <c r="M433" s="536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5" t="s">
        <v>252</v>
      </c>
      <c r="M434" s="536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5" t="s">
        <v>253</v>
      </c>
      <c r="M435" s="536"/>
      <c r="N435" s="538">
        <f>'BD Team'!F47</f>
        <v>0</v>
      </c>
      <c r="O435" s="538"/>
    </row>
    <row r="436" spans="3:15">
      <c r="C436" s="534"/>
      <c r="D436" s="534"/>
      <c r="E436" s="534"/>
      <c r="F436" s="534"/>
      <c r="G436" s="534"/>
      <c r="H436" s="534"/>
      <c r="I436" s="534"/>
      <c r="J436" s="534"/>
      <c r="K436" s="534"/>
      <c r="L436" s="534"/>
      <c r="M436" s="534"/>
      <c r="N436" s="534"/>
      <c r="O436" s="534"/>
    </row>
    <row r="437" spans="3:15" ht="25.15" customHeight="1">
      <c r="C437" s="535" t="s">
        <v>254</v>
      </c>
      <c r="D437" s="536"/>
      <c r="E437" s="286">
        <f>'BD Team'!B48</f>
        <v>0</v>
      </c>
      <c r="F437" s="288" t="s">
        <v>255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5" t="s">
        <v>127</v>
      </c>
      <c r="M438" s="536"/>
      <c r="N438" s="541">
        <f>'BD Team'!G48</f>
        <v>0</v>
      </c>
      <c r="O438" s="541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5" t="s">
        <v>247</v>
      </c>
      <c r="M439" s="536"/>
      <c r="N439" s="538" t="str">
        <f>$F$6</f>
        <v>Anodised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5" t="s">
        <v>178</v>
      </c>
      <c r="M440" s="536"/>
      <c r="N440" s="538" t="str">
        <f>$K$6</f>
        <v>Silver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5" t="s">
        <v>248</v>
      </c>
      <c r="M441" s="536"/>
      <c r="N441" s="541" t="s">
        <v>256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5" t="s">
        <v>249</v>
      </c>
      <c r="M442" s="536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5" t="s">
        <v>250</v>
      </c>
      <c r="M443" s="536"/>
      <c r="N443" s="537">
        <f>'BD Team'!J48</f>
        <v>0</v>
      </c>
      <c r="O443" s="537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5" t="s">
        <v>251</v>
      </c>
      <c r="M444" s="536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5" t="s">
        <v>252</v>
      </c>
      <c r="M445" s="536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5" t="s">
        <v>253</v>
      </c>
      <c r="M446" s="536"/>
      <c r="N446" s="538">
        <f>'BD Team'!F48</f>
        <v>0</v>
      </c>
      <c r="O446" s="538"/>
    </row>
    <row r="447" spans="3:15">
      <c r="C447" s="534"/>
      <c r="D447" s="534"/>
      <c r="E447" s="534"/>
      <c r="F447" s="534"/>
      <c r="G447" s="534"/>
      <c r="H447" s="534"/>
      <c r="I447" s="534"/>
      <c r="J447" s="534"/>
      <c r="K447" s="534"/>
      <c r="L447" s="534"/>
      <c r="M447" s="534"/>
      <c r="N447" s="534"/>
      <c r="O447" s="534"/>
    </row>
    <row r="448" spans="3:15" ht="25.15" customHeight="1">
      <c r="C448" s="535" t="s">
        <v>254</v>
      </c>
      <c r="D448" s="536"/>
      <c r="E448" s="286">
        <f>'BD Team'!B49</f>
        <v>0</v>
      </c>
      <c r="F448" s="288" t="s">
        <v>255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5" t="s">
        <v>127</v>
      </c>
      <c r="M449" s="536"/>
      <c r="N449" s="541">
        <f>'BD Team'!G49</f>
        <v>0</v>
      </c>
      <c r="O449" s="541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5" t="s">
        <v>247</v>
      </c>
      <c r="M450" s="536"/>
      <c r="N450" s="538" t="str">
        <f>$F$6</f>
        <v>Anodised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5" t="s">
        <v>178</v>
      </c>
      <c r="M451" s="536"/>
      <c r="N451" s="538" t="str">
        <f>$K$6</f>
        <v>Silver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5" t="s">
        <v>248</v>
      </c>
      <c r="M452" s="536"/>
      <c r="N452" s="541" t="s">
        <v>256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5" t="s">
        <v>249</v>
      </c>
      <c r="M453" s="536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5" t="s">
        <v>250</v>
      </c>
      <c r="M454" s="536"/>
      <c r="N454" s="537">
        <f>'BD Team'!J49</f>
        <v>0</v>
      </c>
      <c r="O454" s="537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5" t="s">
        <v>251</v>
      </c>
      <c r="M455" s="536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5" t="s">
        <v>252</v>
      </c>
      <c r="M456" s="536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5" t="s">
        <v>253</v>
      </c>
      <c r="M457" s="536"/>
      <c r="N457" s="538">
        <f>'BD Team'!F49</f>
        <v>0</v>
      </c>
      <c r="O457" s="538"/>
    </row>
    <row r="458" spans="3:15">
      <c r="C458" s="534"/>
      <c r="D458" s="534"/>
      <c r="E458" s="534"/>
      <c r="F458" s="534"/>
      <c r="G458" s="534"/>
      <c r="H458" s="534"/>
      <c r="I458" s="534"/>
      <c r="J458" s="534"/>
      <c r="K458" s="534"/>
      <c r="L458" s="534"/>
      <c r="M458" s="534"/>
      <c r="N458" s="534"/>
      <c r="O458" s="534"/>
    </row>
    <row r="459" spans="3:15" ht="25.15" customHeight="1">
      <c r="C459" s="535" t="s">
        <v>254</v>
      </c>
      <c r="D459" s="536"/>
      <c r="E459" s="286">
        <f>'BD Team'!B50</f>
        <v>0</v>
      </c>
      <c r="F459" s="288" t="s">
        <v>255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5" t="s">
        <v>127</v>
      </c>
      <c r="M460" s="536"/>
      <c r="N460" s="541">
        <f>'BD Team'!G50</f>
        <v>0</v>
      </c>
      <c r="O460" s="541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5" t="s">
        <v>247</v>
      </c>
      <c r="M461" s="536"/>
      <c r="N461" s="538" t="str">
        <f>$F$6</f>
        <v>Anodised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5" t="s">
        <v>178</v>
      </c>
      <c r="M462" s="536"/>
      <c r="N462" s="538" t="str">
        <f>$K$6</f>
        <v>Silver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5" t="s">
        <v>248</v>
      </c>
      <c r="M463" s="536"/>
      <c r="N463" s="541" t="s">
        <v>256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5" t="s">
        <v>249</v>
      </c>
      <c r="M464" s="536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5" t="s">
        <v>250</v>
      </c>
      <c r="M465" s="536"/>
      <c r="N465" s="537">
        <f>'BD Team'!J50</f>
        <v>0</v>
      </c>
      <c r="O465" s="537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5" t="s">
        <v>251</v>
      </c>
      <c r="M466" s="536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5" t="s">
        <v>252</v>
      </c>
      <c r="M467" s="536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5" t="s">
        <v>253</v>
      </c>
      <c r="M468" s="536"/>
      <c r="N468" s="538">
        <f>'BD Team'!F50</f>
        <v>0</v>
      </c>
      <c r="O468" s="538"/>
    </row>
    <row r="469" spans="3:15">
      <c r="C469" s="534"/>
      <c r="D469" s="534"/>
      <c r="E469" s="534"/>
      <c r="F469" s="534"/>
      <c r="G469" s="534"/>
      <c r="H469" s="534"/>
      <c r="I469" s="534"/>
      <c r="J469" s="534"/>
      <c r="K469" s="534"/>
      <c r="L469" s="534"/>
      <c r="M469" s="534"/>
      <c r="N469" s="534"/>
      <c r="O469" s="534"/>
    </row>
    <row r="470" spans="3:15" ht="25.15" customHeight="1">
      <c r="C470" s="535" t="s">
        <v>254</v>
      </c>
      <c r="D470" s="536"/>
      <c r="E470" s="286">
        <f>'BD Team'!B51</f>
        <v>0</v>
      </c>
      <c r="F470" s="288" t="s">
        <v>255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5" t="s">
        <v>127</v>
      </c>
      <c r="M471" s="536"/>
      <c r="N471" s="541">
        <f>'BD Team'!G51</f>
        <v>0</v>
      </c>
      <c r="O471" s="541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5" t="s">
        <v>247</v>
      </c>
      <c r="M472" s="536"/>
      <c r="N472" s="538" t="str">
        <f>$F$6</f>
        <v>Anodised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5" t="s">
        <v>178</v>
      </c>
      <c r="M473" s="536"/>
      <c r="N473" s="538" t="str">
        <f>$K$6</f>
        <v>Silver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5" t="s">
        <v>248</v>
      </c>
      <c r="M474" s="536"/>
      <c r="N474" s="541" t="s">
        <v>256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5" t="s">
        <v>249</v>
      </c>
      <c r="M475" s="536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5" t="s">
        <v>250</v>
      </c>
      <c r="M476" s="536"/>
      <c r="N476" s="537">
        <f>'BD Team'!J51</f>
        <v>0</v>
      </c>
      <c r="O476" s="537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5" t="s">
        <v>251</v>
      </c>
      <c r="M477" s="536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5" t="s">
        <v>252</v>
      </c>
      <c r="M478" s="536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5" t="s">
        <v>253</v>
      </c>
      <c r="M479" s="536"/>
      <c r="N479" s="538">
        <f>'BD Team'!F51</f>
        <v>0</v>
      </c>
      <c r="O479" s="538"/>
    </row>
    <row r="480" spans="3:15">
      <c r="C480" s="534"/>
      <c r="D480" s="534"/>
      <c r="E480" s="534"/>
      <c r="F480" s="534"/>
      <c r="G480" s="534"/>
      <c r="H480" s="534"/>
      <c r="I480" s="534"/>
      <c r="J480" s="534"/>
      <c r="K480" s="534"/>
      <c r="L480" s="534"/>
      <c r="M480" s="534"/>
      <c r="N480" s="534"/>
      <c r="O480" s="534"/>
    </row>
    <row r="481" spans="3:15" ht="25.15" customHeight="1">
      <c r="C481" s="535" t="s">
        <v>254</v>
      </c>
      <c r="D481" s="536"/>
      <c r="E481" s="286">
        <f>'BD Team'!B52</f>
        <v>0</v>
      </c>
      <c r="F481" s="288" t="s">
        <v>255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5" t="s">
        <v>127</v>
      </c>
      <c r="M482" s="536"/>
      <c r="N482" s="541">
        <f>'BD Team'!G52</f>
        <v>0</v>
      </c>
      <c r="O482" s="541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5" t="s">
        <v>247</v>
      </c>
      <c r="M483" s="536"/>
      <c r="N483" s="538" t="str">
        <f>$F$6</f>
        <v>Anodised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5" t="s">
        <v>178</v>
      </c>
      <c r="M484" s="536"/>
      <c r="N484" s="538" t="str">
        <f>$K$6</f>
        <v>Silver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5" t="s">
        <v>248</v>
      </c>
      <c r="M485" s="536"/>
      <c r="N485" s="541" t="s">
        <v>256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5" t="s">
        <v>249</v>
      </c>
      <c r="M486" s="536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5" t="s">
        <v>250</v>
      </c>
      <c r="M487" s="536"/>
      <c r="N487" s="537">
        <f>'BD Team'!J52</f>
        <v>0</v>
      </c>
      <c r="O487" s="537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5" t="s">
        <v>251</v>
      </c>
      <c r="M488" s="536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5" t="s">
        <v>252</v>
      </c>
      <c r="M489" s="536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5" t="s">
        <v>253</v>
      </c>
      <c r="M490" s="536"/>
      <c r="N490" s="538">
        <f>'BD Team'!F52</f>
        <v>0</v>
      </c>
      <c r="O490" s="538"/>
    </row>
    <row r="491" spans="3:15">
      <c r="C491" s="534"/>
      <c r="D491" s="534"/>
      <c r="E491" s="534"/>
      <c r="F491" s="534"/>
      <c r="G491" s="534"/>
      <c r="H491" s="534"/>
      <c r="I491" s="534"/>
      <c r="J491" s="534"/>
      <c r="K491" s="534"/>
      <c r="L491" s="534"/>
      <c r="M491" s="534"/>
      <c r="N491" s="534"/>
      <c r="O491" s="534"/>
    </row>
    <row r="492" spans="3:15" ht="25.15" customHeight="1">
      <c r="C492" s="535" t="s">
        <v>254</v>
      </c>
      <c r="D492" s="536"/>
      <c r="E492" s="286">
        <f>'BD Team'!B53</f>
        <v>0</v>
      </c>
      <c r="F492" s="288" t="s">
        <v>255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5" t="s">
        <v>127</v>
      </c>
      <c r="M493" s="536"/>
      <c r="N493" s="541">
        <f>'BD Team'!G53</f>
        <v>0</v>
      </c>
      <c r="O493" s="541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5" t="s">
        <v>247</v>
      </c>
      <c r="M494" s="536"/>
      <c r="N494" s="538" t="str">
        <f>$F$6</f>
        <v>Anodised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5" t="s">
        <v>178</v>
      </c>
      <c r="M495" s="536"/>
      <c r="N495" s="538" t="str">
        <f>$K$6</f>
        <v>Silver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5" t="s">
        <v>248</v>
      </c>
      <c r="M496" s="536"/>
      <c r="N496" s="541" t="s">
        <v>256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5" t="s">
        <v>249</v>
      </c>
      <c r="M497" s="536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5" t="s">
        <v>250</v>
      </c>
      <c r="M498" s="536"/>
      <c r="N498" s="537">
        <f>'BD Team'!J53</f>
        <v>0</v>
      </c>
      <c r="O498" s="537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5" t="s">
        <v>251</v>
      </c>
      <c r="M499" s="536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5" t="s">
        <v>252</v>
      </c>
      <c r="M500" s="536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5" t="s">
        <v>253</v>
      </c>
      <c r="M501" s="536"/>
      <c r="N501" s="538">
        <f>'BD Team'!F53</f>
        <v>0</v>
      </c>
      <c r="O501" s="538"/>
    </row>
    <row r="502" spans="3:15">
      <c r="C502" s="534"/>
      <c r="D502" s="534"/>
      <c r="E502" s="534"/>
      <c r="F502" s="534"/>
      <c r="G502" s="534"/>
      <c r="H502" s="534"/>
      <c r="I502" s="534"/>
      <c r="J502" s="534"/>
      <c r="K502" s="534"/>
      <c r="L502" s="534"/>
      <c r="M502" s="534"/>
      <c r="N502" s="534"/>
      <c r="O502" s="534"/>
    </row>
    <row r="503" spans="3:15" ht="25.15" customHeight="1">
      <c r="C503" s="535" t="s">
        <v>254</v>
      </c>
      <c r="D503" s="536"/>
      <c r="E503" s="286">
        <f>'BD Team'!B54</f>
        <v>0</v>
      </c>
      <c r="F503" s="288" t="s">
        <v>255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5" t="s">
        <v>127</v>
      </c>
      <c r="M504" s="536"/>
      <c r="N504" s="541">
        <f>'BD Team'!G54</f>
        <v>0</v>
      </c>
      <c r="O504" s="541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5" t="s">
        <v>247</v>
      </c>
      <c r="M505" s="536"/>
      <c r="N505" s="538" t="str">
        <f>$F$6</f>
        <v>Anodised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5" t="s">
        <v>178</v>
      </c>
      <c r="M506" s="536"/>
      <c r="N506" s="538" t="str">
        <f>$K$6</f>
        <v>Silver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5" t="s">
        <v>248</v>
      </c>
      <c r="M507" s="536"/>
      <c r="N507" s="541" t="s">
        <v>256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5" t="s">
        <v>249</v>
      </c>
      <c r="M508" s="536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5" t="s">
        <v>250</v>
      </c>
      <c r="M509" s="536"/>
      <c r="N509" s="537">
        <f>'BD Team'!J54</f>
        <v>0</v>
      </c>
      <c r="O509" s="537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5" t="s">
        <v>251</v>
      </c>
      <c r="M510" s="536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5" t="s">
        <v>252</v>
      </c>
      <c r="M511" s="536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5" t="s">
        <v>253</v>
      </c>
      <c r="M512" s="536"/>
      <c r="N512" s="538">
        <f>'BD Team'!F54</f>
        <v>0</v>
      </c>
      <c r="O512" s="538"/>
    </row>
    <row r="513" spans="3:15">
      <c r="C513" s="534"/>
      <c r="D513" s="534"/>
      <c r="E513" s="534"/>
      <c r="F513" s="534"/>
      <c r="G513" s="534"/>
      <c r="H513" s="534"/>
      <c r="I513" s="534"/>
      <c r="J513" s="534"/>
      <c r="K513" s="534"/>
      <c r="L513" s="534"/>
      <c r="M513" s="534"/>
      <c r="N513" s="534"/>
      <c r="O513" s="534"/>
    </row>
    <row r="514" spans="3:15" ht="25.15" customHeight="1">
      <c r="C514" s="535" t="s">
        <v>254</v>
      </c>
      <c r="D514" s="536"/>
      <c r="E514" s="286">
        <f>'BD Team'!B55</f>
        <v>0</v>
      </c>
      <c r="F514" s="288" t="s">
        <v>255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5" t="s">
        <v>127</v>
      </c>
      <c r="M515" s="536"/>
      <c r="N515" s="541">
        <f>'BD Team'!G55</f>
        <v>0</v>
      </c>
      <c r="O515" s="541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5" t="s">
        <v>247</v>
      </c>
      <c r="M516" s="536"/>
      <c r="N516" s="538" t="str">
        <f>$F$6</f>
        <v>Anodised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5" t="s">
        <v>178</v>
      </c>
      <c r="M517" s="536"/>
      <c r="N517" s="538" t="str">
        <f>$K$6</f>
        <v>Silver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5" t="s">
        <v>248</v>
      </c>
      <c r="M518" s="536"/>
      <c r="N518" s="541" t="s">
        <v>256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5" t="s">
        <v>249</v>
      </c>
      <c r="M519" s="536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5" t="s">
        <v>250</v>
      </c>
      <c r="M520" s="536"/>
      <c r="N520" s="537">
        <f>'BD Team'!J55</f>
        <v>0</v>
      </c>
      <c r="O520" s="537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5" t="s">
        <v>251</v>
      </c>
      <c r="M521" s="536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5" t="s">
        <v>252</v>
      </c>
      <c r="M522" s="536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5" t="s">
        <v>253</v>
      </c>
      <c r="M523" s="536"/>
      <c r="N523" s="538">
        <f>'BD Team'!F55</f>
        <v>0</v>
      </c>
      <c r="O523" s="538"/>
    </row>
    <row r="524" spans="3:15">
      <c r="C524" s="534"/>
      <c r="D524" s="534"/>
      <c r="E524" s="534"/>
      <c r="F524" s="534"/>
      <c r="G524" s="534"/>
      <c r="H524" s="534"/>
      <c r="I524" s="534"/>
      <c r="J524" s="534"/>
      <c r="K524" s="534"/>
      <c r="L524" s="534"/>
      <c r="M524" s="534"/>
      <c r="N524" s="534"/>
      <c r="O524" s="534"/>
    </row>
    <row r="525" spans="3:15" ht="25.15" customHeight="1">
      <c r="C525" s="535" t="s">
        <v>254</v>
      </c>
      <c r="D525" s="536"/>
      <c r="E525" s="286">
        <f>'BD Team'!B56</f>
        <v>0</v>
      </c>
      <c r="F525" s="288" t="s">
        <v>255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5" t="s">
        <v>127</v>
      </c>
      <c r="M526" s="536"/>
      <c r="N526" s="541">
        <f>'BD Team'!G56</f>
        <v>0</v>
      </c>
      <c r="O526" s="541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5" t="s">
        <v>247</v>
      </c>
      <c r="M527" s="536"/>
      <c r="N527" s="538" t="str">
        <f>$F$6</f>
        <v>Anodised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5" t="s">
        <v>178</v>
      </c>
      <c r="M528" s="536"/>
      <c r="N528" s="538" t="str">
        <f>$K$6</f>
        <v>Silver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5" t="s">
        <v>248</v>
      </c>
      <c r="M529" s="536"/>
      <c r="N529" s="541" t="s">
        <v>256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5" t="s">
        <v>249</v>
      </c>
      <c r="M530" s="536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5" t="s">
        <v>250</v>
      </c>
      <c r="M531" s="536"/>
      <c r="N531" s="537">
        <f>'BD Team'!J56</f>
        <v>0</v>
      </c>
      <c r="O531" s="537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5" t="s">
        <v>251</v>
      </c>
      <c r="M532" s="536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5" t="s">
        <v>252</v>
      </c>
      <c r="M533" s="536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5" t="s">
        <v>253</v>
      </c>
      <c r="M534" s="536"/>
      <c r="N534" s="538">
        <f>'BD Team'!F56</f>
        <v>0</v>
      </c>
      <c r="O534" s="538"/>
    </row>
    <row r="535" spans="3:15">
      <c r="C535" s="534"/>
      <c r="D535" s="534"/>
      <c r="E535" s="534"/>
      <c r="F535" s="534"/>
      <c r="G535" s="534"/>
      <c r="H535" s="534"/>
      <c r="I535" s="534"/>
      <c r="J535" s="534"/>
      <c r="K535" s="534"/>
      <c r="L535" s="534"/>
      <c r="M535" s="534"/>
      <c r="N535" s="534"/>
      <c r="O535" s="534"/>
    </row>
    <row r="536" spans="3:15" ht="25.15" customHeight="1">
      <c r="C536" s="535" t="s">
        <v>254</v>
      </c>
      <c r="D536" s="536"/>
      <c r="E536" s="286">
        <f>'BD Team'!B57</f>
        <v>0</v>
      </c>
      <c r="F536" s="288" t="s">
        <v>255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5" t="s">
        <v>127</v>
      </c>
      <c r="M537" s="536"/>
      <c r="N537" s="541">
        <f>'BD Team'!G57</f>
        <v>0</v>
      </c>
      <c r="O537" s="541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5" t="s">
        <v>247</v>
      </c>
      <c r="M538" s="536"/>
      <c r="N538" s="538" t="str">
        <f>$F$6</f>
        <v>Anodised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5" t="s">
        <v>178</v>
      </c>
      <c r="M539" s="536"/>
      <c r="N539" s="538" t="str">
        <f>$K$6</f>
        <v>Silver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5" t="s">
        <v>248</v>
      </c>
      <c r="M540" s="536"/>
      <c r="N540" s="541" t="s">
        <v>256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5" t="s">
        <v>249</v>
      </c>
      <c r="M541" s="536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5" t="s">
        <v>250</v>
      </c>
      <c r="M542" s="536"/>
      <c r="N542" s="537">
        <f>'BD Team'!J57</f>
        <v>0</v>
      </c>
      <c r="O542" s="537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5" t="s">
        <v>251</v>
      </c>
      <c r="M543" s="536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5" t="s">
        <v>252</v>
      </c>
      <c r="M544" s="536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5" t="s">
        <v>253</v>
      </c>
      <c r="M545" s="536"/>
      <c r="N545" s="538">
        <f>'BD Team'!F57</f>
        <v>0</v>
      </c>
      <c r="O545" s="538"/>
    </row>
    <row r="546" spans="3:15">
      <c r="C546" s="534"/>
      <c r="D546" s="534"/>
      <c r="E546" s="534"/>
      <c r="F546" s="534"/>
      <c r="G546" s="534"/>
      <c r="H546" s="534"/>
      <c r="I546" s="534"/>
      <c r="J546" s="534"/>
      <c r="K546" s="534"/>
      <c r="L546" s="534"/>
      <c r="M546" s="534"/>
      <c r="N546" s="534"/>
      <c r="O546" s="534"/>
    </row>
    <row r="547" spans="3:15" ht="25.15" customHeight="1">
      <c r="C547" s="535" t="s">
        <v>254</v>
      </c>
      <c r="D547" s="536"/>
      <c r="E547" s="286">
        <f>'BD Team'!B58</f>
        <v>0</v>
      </c>
      <c r="F547" s="288" t="s">
        <v>255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5" t="s">
        <v>127</v>
      </c>
      <c r="M548" s="536"/>
      <c r="N548" s="541">
        <f>'BD Team'!G58</f>
        <v>0</v>
      </c>
      <c r="O548" s="541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5" t="s">
        <v>247</v>
      </c>
      <c r="M549" s="536"/>
      <c r="N549" s="538" t="str">
        <f>$F$6</f>
        <v>Anodised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5" t="s">
        <v>178</v>
      </c>
      <c r="M550" s="536"/>
      <c r="N550" s="538" t="str">
        <f>$K$6</f>
        <v>Silver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5" t="s">
        <v>248</v>
      </c>
      <c r="M551" s="536"/>
      <c r="N551" s="541" t="s">
        <v>256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5" t="s">
        <v>249</v>
      </c>
      <c r="M552" s="536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5" t="s">
        <v>250</v>
      </c>
      <c r="M553" s="536"/>
      <c r="N553" s="537">
        <f>'BD Team'!J58</f>
        <v>0</v>
      </c>
      <c r="O553" s="537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5" t="s">
        <v>251</v>
      </c>
      <c r="M554" s="536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5" t="s">
        <v>252</v>
      </c>
      <c r="M555" s="536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5" t="s">
        <v>253</v>
      </c>
      <c r="M556" s="536"/>
      <c r="N556" s="538">
        <f>'BD Team'!F58</f>
        <v>0</v>
      </c>
      <c r="O556" s="538"/>
    </row>
    <row r="557" spans="3:15">
      <c r="C557" s="534"/>
      <c r="D557" s="534"/>
      <c r="E557" s="534"/>
      <c r="F557" s="534"/>
      <c r="G557" s="534"/>
      <c r="H557" s="534"/>
      <c r="I557" s="534"/>
      <c r="J557" s="534"/>
      <c r="K557" s="534"/>
      <c r="L557" s="534"/>
      <c r="M557" s="534"/>
      <c r="N557" s="534"/>
      <c r="O557" s="534"/>
    </row>
    <row r="558" spans="3:15" ht="25.15" customHeight="1">
      <c r="C558" s="535" t="s">
        <v>254</v>
      </c>
      <c r="D558" s="536"/>
      <c r="E558" s="289">
        <f>'BD Team'!B59</f>
        <v>0</v>
      </c>
      <c r="F558" s="288" t="s">
        <v>255</v>
      </c>
      <c r="G558" s="537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5" t="s">
        <v>127</v>
      </c>
      <c r="M559" s="536"/>
      <c r="N559" s="540">
        <f>'BD Team'!G59</f>
        <v>0</v>
      </c>
      <c r="O559" s="541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5" t="s">
        <v>247</v>
      </c>
      <c r="M560" s="536"/>
      <c r="N560" s="538" t="str">
        <f>$F$6</f>
        <v>Anodised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5" t="s">
        <v>178</v>
      </c>
      <c r="M561" s="536"/>
      <c r="N561" s="538" t="str">
        <f>$K$6</f>
        <v>Silver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5" t="s">
        <v>248</v>
      </c>
      <c r="M562" s="536"/>
      <c r="N562" s="541" t="s">
        <v>256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5" t="s">
        <v>249</v>
      </c>
      <c r="M563" s="536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5" t="s">
        <v>250</v>
      </c>
      <c r="M564" s="536"/>
      <c r="N564" s="537">
        <f>'BD Team'!J59</f>
        <v>0</v>
      </c>
      <c r="O564" s="537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5" t="s">
        <v>251</v>
      </c>
      <c r="M565" s="536"/>
      <c r="N565" s="537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5" t="s">
        <v>252</v>
      </c>
      <c r="M566" s="536"/>
      <c r="N566" s="537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5" t="s">
        <v>253</v>
      </c>
      <c r="M567" s="536"/>
      <c r="N567" s="537">
        <f>'BD Team'!F59</f>
        <v>0</v>
      </c>
      <c r="O567" s="538"/>
    </row>
    <row r="568" spans="3:15">
      <c r="C568" s="534"/>
      <c r="D568" s="534"/>
      <c r="E568" s="534"/>
      <c r="F568" s="534"/>
      <c r="G568" s="534"/>
      <c r="H568" s="534"/>
      <c r="I568" s="534"/>
      <c r="J568" s="534"/>
      <c r="K568" s="534"/>
      <c r="L568" s="534"/>
      <c r="M568" s="534"/>
      <c r="N568" s="534"/>
      <c r="O568" s="534"/>
    </row>
    <row r="569" spans="3:15" ht="25.15" customHeight="1">
      <c r="C569" s="535" t="s">
        <v>254</v>
      </c>
      <c r="D569" s="536"/>
      <c r="E569" s="289">
        <f>'BD Team'!B60</f>
        <v>0</v>
      </c>
      <c r="F569" s="288" t="s">
        <v>255</v>
      </c>
      <c r="G569" s="537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5" t="s">
        <v>127</v>
      </c>
      <c r="M570" s="536"/>
      <c r="N570" s="540">
        <f>'BD Team'!G60</f>
        <v>0</v>
      </c>
      <c r="O570" s="541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5" t="s">
        <v>247</v>
      </c>
      <c r="M571" s="536"/>
      <c r="N571" s="538" t="str">
        <f>$F$6</f>
        <v>Anodised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5" t="s">
        <v>178</v>
      </c>
      <c r="M572" s="536"/>
      <c r="N572" s="538" t="str">
        <f>$K$6</f>
        <v>Silver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5" t="s">
        <v>248</v>
      </c>
      <c r="M573" s="536"/>
      <c r="N573" s="541" t="s">
        <v>256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5" t="s">
        <v>249</v>
      </c>
      <c r="M574" s="536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5" t="s">
        <v>250</v>
      </c>
      <c r="M575" s="536"/>
      <c r="N575" s="537">
        <f>'BD Team'!J60</f>
        <v>0</v>
      </c>
      <c r="O575" s="537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5" t="s">
        <v>251</v>
      </c>
      <c r="M576" s="536"/>
      <c r="N576" s="537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5" t="s">
        <v>252</v>
      </c>
      <c r="M577" s="536"/>
      <c r="N577" s="537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5" t="s">
        <v>253</v>
      </c>
      <c r="M578" s="536"/>
      <c r="N578" s="537">
        <f>'BD Team'!F60</f>
        <v>0</v>
      </c>
      <c r="O578" s="538"/>
    </row>
    <row r="579" spans="3:15">
      <c r="C579" s="534"/>
      <c r="D579" s="534"/>
      <c r="E579" s="534"/>
      <c r="F579" s="534"/>
      <c r="G579" s="534"/>
      <c r="H579" s="534"/>
      <c r="I579" s="534"/>
      <c r="J579" s="534"/>
      <c r="K579" s="534"/>
      <c r="L579" s="534"/>
      <c r="M579" s="534"/>
      <c r="N579" s="534"/>
      <c r="O579" s="534"/>
    </row>
    <row r="580" spans="3:15" ht="25.15" customHeight="1">
      <c r="C580" s="535" t="s">
        <v>254</v>
      </c>
      <c r="D580" s="536"/>
      <c r="E580" s="289">
        <f>'BD Team'!B61</f>
        <v>0</v>
      </c>
      <c r="F580" s="288" t="s">
        <v>255</v>
      </c>
      <c r="G580" s="537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5" t="s">
        <v>127</v>
      </c>
      <c r="M581" s="536"/>
      <c r="N581" s="540">
        <f>'BD Team'!G61</f>
        <v>0</v>
      </c>
      <c r="O581" s="541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5" t="s">
        <v>247</v>
      </c>
      <c r="M582" s="536"/>
      <c r="N582" s="538" t="str">
        <f>$F$6</f>
        <v>Anodised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5" t="s">
        <v>178</v>
      </c>
      <c r="M583" s="536"/>
      <c r="N583" s="538" t="str">
        <f>$K$6</f>
        <v>Silver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5" t="s">
        <v>248</v>
      </c>
      <c r="M584" s="536"/>
      <c r="N584" s="541" t="s">
        <v>256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5" t="s">
        <v>249</v>
      </c>
      <c r="M585" s="536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5" t="s">
        <v>250</v>
      </c>
      <c r="M586" s="536"/>
      <c r="N586" s="537">
        <f>'BD Team'!J61</f>
        <v>0</v>
      </c>
      <c r="O586" s="537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5" t="s">
        <v>251</v>
      </c>
      <c r="M587" s="536"/>
      <c r="N587" s="537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5" t="s">
        <v>252</v>
      </c>
      <c r="M588" s="536"/>
      <c r="N588" s="537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5" t="s">
        <v>253</v>
      </c>
      <c r="M589" s="536"/>
      <c r="N589" s="537">
        <f>'BD Team'!F61</f>
        <v>0</v>
      </c>
      <c r="O589" s="538"/>
    </row>
    <row r="590" spans="3:15">
      <c r="C590" s="534"/>
      <c r="D590" s="534"/>
      <c r="E590" s="534"/>
      <c r="F590" s="534"/>
      <c r="G590" s="534"/>
      <c r="H590" s="534"/>
      <c r="I590" s="534"/>
      <c r="J590" s="534"/>
      <c r="K590" s="534"/>
      <c r="L590" s="534"/>
      <c r="M590" s="534"/>
      <c r="N590" s="534"/>
      <c r="O590" s="534"/>
    </row>
    <row r="591" spans="3:15" ht="25.15" customHeight="1">
      <c r="C591" s="535" t="s">
        <v>254</v>
      </c>
      <c r="D591" s="536"/>
      <c r="E591" s="289">
        <f>'BD Team'!B62</f>
        <v>0</v>
      </c>
      <c r="F591" s="288" t="s">
        <v>255</v>
      </c>
      <c r="G591" s="537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5" t="s">
        <v>127</v>
      </c>
      <c r="M592" s="536"/>
      <c r="N592" s="540">
        <f>'BD Team'!G62</f>
        <v>0</v>
      </c>
      <c r="O592" s="541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5" t="s">
        <v>247</v>
      </c>
      <c r="M593" s="536"/>
      <c r="N593" s="538" t="str">
        <f>$F$6</f>
        <v>Anodised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5" t="s">
        <v>178</v>
      </c>
      <c r="M594" s="536"/>
      <c r="N594" s="538" t="str">
        <f>$K$6</f>
        <v>Silver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5" t="s">
        <v>248</v>
      </c>
      <c r="M595" s="536"/>
      <c r="N595" s="541" t="s">
        <v>256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5" t="s">
        <v>249</v>
      </c>
      <c r="M596" s="536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5" t="s">
        <v>250</v>
      </c>
      <c r="M597" s="536"/>
      <c r="N597" s="537">
        <f>'BD Team'!J62</f>
        <v>0</v>
      </c>
      <c r="O597" s="537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5" t="s">
        <v>251</v>
      </c>
      <c r="M598" s="536"/>
      <c r="N598" s="537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5" t="s">
        <v>252</v>
      </c>
      <c r="M599" s="536"/>
      <c r="N599" s="537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5" t="s">
        <v>253</v>
      </c>
      <c r="M600" s="536"/>
      <c r="N600" s="537">
        <f>'BD Team'!F62</f>
        <v>0</v>
      </c>
      <c r="O600" s="538"/>
    </row>
    <row r="601" spans="3:15">
      <c r="C601" s="534"/>
      <c r="D601" s="534"/>
      <c r="E601" s="534"/>
      <c r="F601" s="534"/>
      <c r="G601" s="534"/>
      <c r="H601" s="534"/>
      <c r="I601" s="534"/>
      <c r="J601" s="534"/>
      <c r="K601" s="534"/>
      <c r="L601" s="534"/>
      <c r="M601" s="534"/>
      <c r="N601" s="534"/>
      <c r="O601" s="534"/>
    </row>
    <row r="602" spans="3:15" ht="25.15" customHeight="1">
      <c r="C602" s="535" t="s">
        <v>254</v>
      </c>
      <c r="D602" s="536"/>
      <c r="E602" s="289">
        <f>'BD Team'!B63</f>
        <v>0</v>
      </c>
      <c r="F602" s="288" t="s">
        <v>255</v>
      </c>
      <c r="G602" s="537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5" t="s">
        <v>127</v>
      </c>
      <c r="M603" s="536"/>
      <c r="N603" s="540">
        <f>'BD Team'!G63</f>
        <v>0</v>
      </c>
      <c r="O603" s="541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5" t="s">
        <v>247</v>
      </c>
      <c r="M604" s="536"/>
      <c r="N604" s="538" t="str">
        <f>$F$6</f>
        <v>Anodised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5" t="s">
        <v>178</v>
      </c>
      <c r="M605" s="536"/>
      <c r="N605" s="538" t="str">
        <f>$K$6</f>
        <v>Silver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5" t="s">
        <v>248</v>
      </c>
      <c r="M606" s="536"/>
      <c r="N606" s="541" t="s">
        <v>256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5" t="s">
        <v>249</v>
      </c>
      <c r="M607" s="536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5" t="s">
        <v>250</v>
      </c>
      <c r="M608" s="536"/>
      <c r="N608" s="537">
        <f>'BD Team'!J63</f>
        <v>0</v>
      </c>
      <c r="O608" s="537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5" t="s">
        <v>251</v>
      </c>
      <c r="M609" s="536"/>
      <c r="N609" s="537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5" t="s">
        <v>252</v>
      </c>
      <c r="M610" s="536"/>
      <c r="N610" s="537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5" t="s">
        <v>253</v>
      </c>
      <c r="M611" s="536"/>
      <c r="N611" s="537">
        <f>'BD Team'!F63</f>
        <v>0</v>
      </c>
      <c r="O611" s="538"/>
    </row>
    <row r="612" spans="3:15">
      <c r="C612" s="534"/>
      <c r="D612" s="534"/>
      <c r="E612" s="534"/>
      <c r="F612" s="534"/>
      <c r="G612" s="534"/>
      <c r="H612" s="534"/>
      <c r="I612" s="534"/>
      <c r="J612" s="534"/>
      <c r="K612" s="534"/>
      <c r="L612" s="534"/>
      <c r="M612" s="534"/>
      <c r="N612" s="534"/>
      <c r="O612" s="534"/>
    </row>
    <row r="613" spans="3:15" ht="25.15" customHeight="1">
      <c r="C613" s="535" t="s">
        <v>254</v>
      </c>
      <c r="D613" s="536"/>
      <c r="E613" s="289">
        <f>'BD Team'!B64</f>
        <v>0</v>
      </c>
      <c r="F613" s="288" t="s">
        <v>255</v>
      </c>
      <c r="G613" s="537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5" t="s">
        <v>127</v>
      </c>
      <c r="M614" s="536"/>
      <c r="N614" s="540">
        <f>'BD Team'!G64</f>
        <v>0</v>
      </c>
      <c r="O614" s="541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5" t="s">
        <v>247</v>
      </c>
      <c r="M615" s="536"/>
      <c r="N615" s="538" t="str">
        <f>$F$6</f>
        <v>Anodised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5" t="s">
        <v>178</v>
      </c>
      <c r="M616" s="536"/>
      <c r="N616" s="538" t="str">
        <f>$K$6</f>
        <v>Silver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5" t="s">
        <v>248</v>
      </c>
      <c r="M617" s="536"/>
      <c r="N617" s="541" t="s">
        <v>256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5" t="s">
        <v>249</v>
      </c>
      <c r="M618" s="536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5" t="s">
        <v>250</v>
      </c>
      <c r="M619" s="536"/>
      <c r="N619" s="537">
        <f>'BD Team'!J64</f>
        <v>0</v>
      </c>
      <c r="O619" s="537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5" t="s">
        <v>251</v>
      </c>
      <c r="M620" s="536"/>
      <c r="N620" s="537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5" t="s">
        <v>252</v>
      </c>
      <c r="M621" s="536"/>
      <c r="N621" s="537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5" t="s">
        <v>253</v>
      </c>
      <c r="M622" s="536"/>
      <c r="N622" s="537">
        <f>'BD Team'!F64</f>
        <v>0</v>
      </c>
      <c r="O622" s="538"/>
    </row>
    <row r="623" spans="3:15">
      <c r="C623" s="534"/>
      <c r="D623" s="534"/>
      <c r="E623" s="534"/>
      <c r="F623" s="534"/>
      <c r="G623" s="534"/>
      <c r="H623" s="534"/>
      <c r="I623" s="534"/>
      <c r="J623" s="534"/>
      <c r="K623" s="534"/>
      <c r="L623" s="534"/>
      <c r="M623" s="534"/>
      <c r="N623" s="534"/>
      <c r="O623" s="534"/>
    </row>
    <row r="624" spans="3:15" ht="25.15" customHeight="1">
      <c r="C624" s="535" t="s">
        <v>254</v>
      </c>
      <c r="D624" s="536"/>
      <c r="E624" s="289">
        <f>'BD Team'!B65</f>
        <v>0</v>
      </c>
      <c r="F624" s="288" t="s">
        <v>255</v>
      </c>
      <c r="G624" s="537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5" t="s">
        <v>127</v>
      </c>
      <c r="M625" s="536"/>
      <c r="N625" s="540">
        <f>'BD Team'!G65</f>
        <v>0</v>
      </c>
      <c r="O625" s="541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5" t="s">
        <v>247</v>
      </c>
      <c r="M626" s="536"/>
      <c r="N626" s="538" t="str">
        <f>$F$6</f>
        <v>Anodised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5" t="s">
        <v>178</v>
      </c>
      <c r="M627" s="536"/>
      <c r="N627" s="538" t="str">
        <f>$K$6</f>
        <v>Silver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5" t="s">
        <v>248</v>
      </c>
      <c r="M628" s="536"/>
      <c r="N628" s="541" t="s">
        <v>256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5" t="s">
        <v>249</v>
      </c>
      <c r="M629" s="536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5" t="s">
        <v>250</v>
      </c>
      <c r="M630" s="536"/>
      <c r="N630" s="537">
        <f>'BD Team'!J65</f>
        <v>0</v>
      </c>
      <c r="O630" s="537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5" t="s">
        <v>251</v>
      </c>
      <c r="M631" s="536"/>
      <c r="N631" s="537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5" t="s">
        <v>252</v>
      </c>
      <c r="M632" s="536"/>
      <c r="N632" s="537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5" t="s">
        <v>253</v>
      </c>
      <c r="M633" s="536"/>
      <c r="N633" s="537">
        <f>'BD Team'!F65</f>
        <v>0</v>
      </c>
      <c r="O633" s="538"/>
    </row>
    <row r="634" spans="3:15">
      <c r="C634" s="534"/>
      <c r="D634" s="534"/>
      <c r="E634" s="534"/>
      <c r="F634" s="534"/>
      <c r="G634" s="534"/>
      <c r="H634" s="534"/>
      <c r="I634" s="534"/>
      <c r="J634" s="534"/>
      <c r="K634" s="534"/>
      <c r="L634" s="534"/>
      <c r="M634" s="534"/>
      <c r="N634" s="534"/>
      <c r="O634" s="534"/>
    </row>
    <row r="635" spans="3:15" ht="25.15" customHeight="1">
      <c r="C635" s="535" t="s">
        <v>254</v>
      </c>
      <c r="D635" s="536"/>
      <c r="E635" s="289">
        <f>'BD Team'!B66</f>
        <v>0</v>
      </c>
      <c r="F635" s="288" t="s">
        <v>255</v>
      </c>
      <c r="G635" s="537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5" t="s">
        <v>127</v>
      </c>
      <c r="M636" s="536"/>
      <c r="N636" s="540">
        <f>'BD Team'!G66</f>
        <v>0</v>
      </c>
      <c r="O636" s="541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5" t="s">
        <v>247</v>
      </c>
      <c r="M637" s="536"/>
      <c r="N637" s="538" t="str">
        <f>$F$6</f>
        <v>Anodised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5" t="s">
        <v>178</v>
      </c>
      <c r="M638" s="536"/>
      <c r="N638" s="538" t="str">
        <f>$K$6</f>
        <v>Silver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5" t="s">
        <v>248</v>
      </c>
      <c r="M639" s="536"/>
      <c r="N639" s="541" t="s">
        <v>256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5" t="s">
        <v>249</v>
      </c>
      <c r="M640" s="536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5" t="s">
        <v>250</v>
      </c>
      <c r="M641" s="536"/>
      <c r="N641" s="537">
        <f>'BD Team'!J66</f>
        <v>0</v>
      </c>
      <c r="O641" s="537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5" t="s">
        <v>251</v>
      </c>
      <c r="M642" s="536"/>
      <c r="N642" s="537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5" t="s">
        <v>252</v>
      </c>
      <c r="M643" s="536"/>
      <c r="N643" s="537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5" t="s">
        <v>253</v>
      </c>
      <c r="M644" s="536"/>
      <c r="N644" s="537">
        <f>'BD Team'!F66</f>
        <v>0</v>
      </c>
      <c r="O644" s="538"/>
    </row>
    <row r="645" spans="3:15">
      <c r="C645" s="534"/>
      <c r="D645" s="534"/>
      <c r="E645" s="534"/>
      <c r="F645" s="534"/>
      <c r="G645" s="534"/>
      <c r="H645" s="534"/>
      <c r="I645" s="534"/>
      <c r="J645" s="534"/>
      <c r="K645" s="534"/>
      <c r="L645" s="534"/>
      <c r="M645" s="534"/>
      <c r="N645" s="534"/>
      <c r="O645" s="534"/>
    </row>
    <row r="646" spans="3:15" ht="25.15" customHeight="1">
      <c r="C646" s="535" t="s">
        <v>254</v>
      </c>
      <c r="D646" s="536"/>
      <c r="E646" s="289">
        <f>'BD Team'!B67</f>
        <v>0</v>
      </c>
      <c r="F646" s="288" t="s">
        <v>255</v>
      </c>
      <c r="G646" s="537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5" t="s">
        <v>127</v>
      </c>
      <c r="M647" s="536"/>
      <c r="N647" s="540">
        <f>'BD Team'!G67</f>
        <v>0</v>
      </c>
      <c r="O647" s="541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5" t="s">
        <v>247</v>
      </c>
      <c r="M648" s="536"/>
      <c r="N648" s="538" t="str">
        <f>$F$6</f>
        <v>Anodised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5" t="s">
        <v>178</v>
      </c>
      <c r="M649" s="536"/>
      <c r="N649" s="538" t="str">
        <f>$K$6</f>
        <v>Silver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5" t="s">
        <v>248</v>
      </c>
      <c r="M650" s="536"/>
      <c r="N650" s="541" t="s">
        <v>256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5" t="s">
        <v>249</v>
      </c>
      <c r="M651" s="536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5" t="s">
        <v>250</v>
      </c>
      <c r="M652" s="536"/>
      <c r="N652" s="537">
        <f>'BD Team'!J67</f>
        <v>0</v>
      </c>
      <c r="O652" s="537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5" t="s">
        <v>251</v>
      </c>
      <c r="M653" s="536"/>
      <c r="N653" s="537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5" t="s">
        <v>252</v>
      </c>
      <c r="M654" s="536"/>
      <c r="N654" s="537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5" t="s">
        <v>253</v>
      </c>
      <c r="M655" s="536"/>
      <c r="N655" s="537">
        <f>'BD Team'!F67</f>
        <v>0</v>
      </c>
      <c r="O655" s="538"/>
    </row>
    <row r="656" spans="3:15">
      <c r="C656" s="534"/>
      <c r="D656" s="534"/>
      <c r="E656" s="534"/>
      <c r="F656" s="534"/>
      <c r="G656" s="534"/>
      <c r="H656" s="534"/>
      <c r="I656" s="534"/>
      <c r="J656" s="534"/>
      <c r="K656" s="534"/>
      <c r="L656" s="534"/>
      <c r="M656" s="534"/>
      <c r="N656" s="534"/>
      <c r="O656" s="534"/>
    </row>
    <row r="657" spans="3:15" ht="25.15" customHeight="1">
      <c r="C657" s="535" t="s">
        <v>254</v>
      </c>
      <c r="D657" s="536"/>
      <c r="E657" s="289">
        <f>'BD Team'!B68</f>
        <v>0</v>
      </c>
      <c r="F657" s="288" t="s">
        <v>255</v>
      </c>
      <c r="G657" s="537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5" t="s">
        <v>127</v>
      </c>
      <c r="M658" s="536"/>
      <c r="N658" s="540">
        <f>'BD Team'!G68</f>
        <v>0</v>
      </c>
      <c r="O658" s="541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5" t="s">
        <v>247</v>
      </c>
      <c r="M659" s="536"/>
      <c r="N659" s="538" t="str">
        <f>$F$6</f>
        <v>Anodised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5" t="s">
        <v>178</v>
      </c>
      <c r="M660" s="536"/>
      <c r="N660" s="538" t="str">
        <f>$K$6</f>
        <v>Silver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5" t="s">
        <v>248</v>
      </c>
      <c r="M661" s="536"/>
      <c r="N661" s="541" t="s">
        <v>256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5" t="s">
        <v>249</v>
      </c>
      <c r="M662" s="536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5" t="s">
        <v>250</v>
      </c>
      <c r="M663" s="536"/>
      <c r="N663" s="537">
        <f>'BD Team'!J68</f>
        <v>0</v>
      </c>
      <c r="O663" s="537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5" t="s">
        <v>251</v>
      </c>
      <c r="M664" s="536"/>
      <c r="N664" s="537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5" t="s">
        <v>252</v>
      </c>
      <c r="M665" s="536"/>
      <c r="N665" s="537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5" t="s">
        <v>253</v>
      </c>
      <c r="M666" s="536"/>
      <c r="N666" s="537">
        <f>'BD Team'!F68</f>
        <v>0</v>
      </c>
      <c r="O666" s="538"/>
    </row>
    <row r="667" spans="3:15">
      <c r="C667" s="534"/>
      <c r="D667" s="534"/>
      <c r="E667" s="534"/>
      <c r="F667" s="534"/>
      <c r="G667" s="534"/>
      <c r="H667" s="534"/>
      <c r="I667" s="534"/>
      <c r="J667" s="534"/>
      <c r="K667" s="534"/>
      <c r="L667" s="534"/>
      <c r="M667" s="534"/>
      <c r="N667" s="534"/>
      <c r="O667" s="534"/>
    </row>
    <row r="668" spans="3:15" ht="25.15" customHeight="1">
      <c r="C668" s="535" t="s">
        <v>254</v>
      </c>
      <c r="D668" s="536"/>
      <c r="E668" s="289">
        <f>'BD Team'!B69</f>
        <v>0</v>
      </c>
      <c r="F668" s="288" t="s">
        <v>255</v>
      </c>
      <c r="G668" s="537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5" t="s">
        <v>127</v>
      </c>
      <c r="M669" s="536"/>
      <c r="N669" s="540">
        <f>'BD Team'!G69</f>
        <v>0</v>
      </c>
      <c r="O669" s="541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5" t="s">
        <v>247</v>
      </c>
      <c r="M670" s="536"/>
      <c r="N670" s="538" t="str">
        <f>$F$6</f>
        <v>Anodised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5" t="s">
        <v>178</v>
      </c>
      <c r="M671" s="536"/>
      <c r="N671" s="538" t="str">
        <f>$K$6</f>
        <v>Silver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5" t="s">
        <v>248</v>
      </c>
      <c r="M672" s="536"/>
      <c r="N672" s="541" t="s">
        <v>256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5" t="s">
        <v>249</v>
      </c>
      <c r="M673" s="536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5" t="s">
        <v>250</v>
      </c>
      <c r="M674" s="536"/>
      <c r="N674" s="537">
        <f>'BD Team'!J69</f>
        <v>0</v>
      </c>
      <c r="O674" s="537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5" t="s">
        <v>251</v>
      </c>
      <c r="M675" s="536"/>
      <c r="N675" s="537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5" t="s">
        <v>252</v>
      </c>
      <c r="M676" s="536"/>
      <c r="N676" s="537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5" t="s">
        <v>253</v>
      </c>
      <c r="M677" s="536"/>
      <c r="N677" s="537">
        <f>'BD Team'!F69</f>
        <v>0</v>
      </c>
      <c r="O677" s="538"/>
    </row>
    <row r="678" spans="3:15">
      <c r="C678" s="534"/>
      <c r="D678" s="534"/>
      <c r="E678" s="534"/>
      <c r="F678" s="534"/>
      <c r="G678" s="534"/>
      <c r="H678" s="534"/>
      <c r="I678" s="534"/>
      <c r="J678" s="534"/>
      <c r="K678" s="534"/>
      <c r="L678" s="534"/>
      <c r="M678" s="534"/>
      <c r="N678" s="534"/>
      <c r="O678" s="534"/>
    </row>
    <row r="679" spans="3:15" ht="25.15" customHeight="1">
      <c r="C679" s="535" t="s">
        <v>254</v>
      </c>
      <c r="D679" s="536"/>
      <c r="E679" s="289">
        <f>'BD Team'!B70</f>
        <v>0</v>
      </c>
      <c r="F679" s="288" t="s">
        <v>255</v>
      </c>
      <c r="G679" s="537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5" t="s">
        <v>127</v>
      </c>
      <c r="M680" s="536"/>
      <c r="N680" s="540">
        <f>'BD Team'!G70</f>
        <v>0</v>
      </c>
      <c r="O680" s="541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5" t="s">
        <v>247</v>
      </c>
      <c r="M681" s="536"/>
      <c r="N681" s="538" t="str">
        <f>$F$6</f>
        <v>Anodised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5" t="s">
        <v>178</v>
      </c>
      <c r="M682" s="536"/>
      <c r="N682" s="538" t="str">
        <f>$K$6</f>
        <v>Silver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5" t="s">
        <v>248</v>
      </c>
      <c r="M683" s="536"/>
      <c r="N683" s="541" t="s">
        <v>256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5" t="s">
        <v>249</v>
      </c>
      <c r="M684" s="536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5" t="s">
        <v>250</v>
      </c>
      <c r="M685" s="536"/>
      <c r="N685" s="537">
        <f>'BD Team'!J70</f>
        <v>0</v>
      </c>
      <c r="O685" s="537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5" t="s">
        <v>251</v>
      </c>
      <c r="M686" s="536"/>
      <c r="N686" s="537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5" t="s">
        <v>252</v>
      </c>
      <c r="M687" s="536"/>
      <c r="N687" s="537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5" t="s">
        <v>253</v>
      </c>
      <c r="M688" s="536"/>
      <c r="N688" s="537">
        <f>'BD Team'!F70</f>
        <v>0</v>
      </c>
      <c r="O688" s="538"/>
    </row>
    <row r="689" spans="3:15">
      <c r="C689" s="534"/>
      <c r="D689" s="534"/>
      <c r="E689" s="534"/>
      <c r="F689" s="534"/>
      <c r="G689" s="534"/>
      <c r="H689" s="534"/>
      <c r="I689" s="534"/>
      <c r="J689" s="534"/>
      <c r="K689" s="534"/>
      <c r="L689" s="534"/>
      <c r="M689" s="534"/>
      <c r="N689" s="534"/>
      <c r="O689" s="534"/>
    </row>
    <row r="690" spans="3:15" ht="25.15" customHeight="1">
      <c r="C690" s="535" t="s">
        <v>254</v>
      </c>
      <c r="D690" s="536"/>
      <c r="E690" s="289">
        <f>'BD Team'!B71</f>
        <v>0</v>
      </c>
      <c r="F690" s="288" t="s">
        <v>255</v>
      </c>
      <c r="G690" s="537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5" t="s">
        <v>127</v>
      </c>
      <c r="M691" s="536"/>
      <c r="N691" s="540">
        <f>'BD Team'!G71</f>
        <v>0</v>
      </c>
      <c r="O691" s="541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5" t="s">
        <v>247</v>
      </c>
      <c r="M692" s="536"/>
      <c r="N692" s="538" t="str">
        <f>$F$6</f>
        <v>Anodised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5" t="s">
        <v>178</v>
      </c>
      <c r="M693" s="536"/>
      <c r="N693" s="538" t="str">
        <f>$K$6</f>
        <v>Silver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5" t="s">
        <v>248</v>
      </c>
      <c r="M694" s="536"/>
      <c r="N694" s="541" t="s">
        <v>256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5" t="s">
        <v>249</v>
      </c>
      <c r="M695" s="536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5" t="s">
        <v>250</v>
      </c>
      <c r="M696" s="536"/>
      <c r="N696" s="537">
        <f>'BD Team'!J71</f>
        <v>0</v>
      </c>
      <c r="O696" s="537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5" t="s">
        <v>251</v>
      </c>
      <c r="M697" s="536"/>
      <c r="N697" s="537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5" t="s">
        <v>252</v>
      </c>
      <c r="M698" s="536"/>
      <c r="N698" s="537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5" t="s">
        <v>253</v>
      </c>
      <c r="M699" s="536"/>
      <c r="N699" s="537">
        <f>'BD Team'!F71</f>
        <v>0</v>
      </c>
      <c r="O699" s="538"/>
    </row>
    <row r="700" spans="3:15">
      <c r="C700" s="534"/>
      <c r="D700" s="534"/>
      <c r="E700" s="534"/>
      <c r="F700" s="534"/>
      <c r="G700" s="534"/>
      <c r="H700" s="534"/>
      <c r="I700" s="534"/>
      <c r="J700" s="534"/>
      <c r="K700" s="534"/>
      <c r="L700" s="534"/>
      <c r="M700" s="534"/>
      <c r="N700" s="534"/>
      <c r="O700" s="534"/>
    </row>
    <row r="701" spans="3:15" ht="25.15" customHeight="1">
      <c r="C701" s="535" t="s">
        <v>254</v>
      </c>
      <c r="D701" s="536"/>
      <c r="E701" s="289">
        <f>'BD Team'!B72</f>
        <v>0</v>
      </c>
      <c r="F701" s="288" t="s">
        <v>255</v>
      </c>
      <c r="G701" s="537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5" t="s">
        <v>127</v>
      </c>
      <c r="M702" s="536"/>
      <c r="N702" s="540">
        <f>'BD Team'!G72</f>
        <v>0</v>
      </c>
      <c r="O702" s="541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5" t="s">
        <v>247</v>
      </c>
      <c r="M703" s="536"/>
      <c r="N703" s="538" t="str">
        <f>$F$6</f>
        <v>Anodised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5" t="s">
        <v>178</v>
      </c>
      <c r="M704" s="536"/>
      <c r="N704" s="538" t="str">
        <f>$K$6</f>
        <v>Silver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5" t="s">
        <v>248</v>
      </c>
      <c r="M705" s="536"/>
      <c r="N705" s="541" t="s">
        <v>256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5" t="s">
        <v>249</v>
      </c>
      <c r="M706" s="536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5" t="s">
        <v>250</v>
      </c>
      <c r="M707" s="536"/>
      <c r="N707" s="537">
        <f>'BD Team'!J72</f>
        <v>0</v>
      </c>
      <c r="O707" s="537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5" t="s">
        <v>251</v>
      </c>
      <c r="M708" s="536"/>
      <c r="N708" s="537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5" t="s">
        <v>252</v>
      </c>
      <c r="M709" s="536"/>
      <c r="N709" s="537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5" t="s">
        <v>253</v>
      </c>
      <c r="M710" s="536"/>
      <c r="N710" s="537">
        <f>'BD Team'!F72</f>
        <v>0</v>
      </c>
      <c r="O710" s="538"/>
    </row>
    <row r="711" spans="3:15">
      <c r="C711" s="534"/>
      <c r="D711" s="534"/>
      <c r="E711" s="534"/>
      <c r="F711" s="534"/>
      <c r="G711" s="534"/>
      <c r="H711" s="534"/>
      <c r="I711" s="534"/>
      <c r="J711" s="534"/>
      <c r="K711" s="534"/>
      <c r="L711" s="534"/>
      <c r="M711" s="534"/>
      <c r="N711" s="534"/>
      <c r="O711" s="534"/>
    </row>
    <row r="712" spans="3:15" ht="25.15" customHeight="1">
      <c r="C712" s="535" t="s">
        <v>254</v>
      </c>
      <c r="D712" s="536"/>
      <c r="E712" s="289">
        <f>'BD Team'!B73</f>
        <v>0</v>
      </c>
      <c r="F712" s="288" t="s">
        <v>255</v>
      </c>
      <c r="G712" s="537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5" t="s">
        <v>127</v>
      </c>
      <c r="M713" s="536"/>
      <c r="N713" s="540">
        <f>'BD Team'!G73</f>
        <v>0</v>
      </c>
      <c r="O713" s="541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5" t="s">
        <v>247</v>
      </c>
      <c r="M714" s="536"/>
      <c r="N714" s="538" t="str">
        <f>$F$6</f>
        <v>Anodised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5" t="s">
        <v>178</v>
      </c>
      <c r="M715" s="536"/>
      <c r="N715" s="538" t="str">
        <f>$K$6</f>
        <v>Silver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5" t="s">
        <v>248</v>
      </c>
      <c r="M716" s="536"/>
      <c r="N716" s="541" t="s">
        <v>256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5" t="s">
        <v>249</v>
      </c>
      <c r="M717" s="536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5" t="s">
        <v>250</v>
      </c>
      <c r="M718" s="536"/>
      <c r="N718" s="537">
        <f>'BD Team'!J73</f>
        <v>0</v>
      </c>
      <c r="O718" s="537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5" t="s">
        <v>251</v>
      </c>
      <c r="M719" s="536"/>
      <c r="N719" s="537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5" t="s">
        <v>252</v>
      </c>
      <c r="M720" s="536"/>
      <c r="N720" s="537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5" t="s">
        <v>253</v>
      </c>
      <c r="M721" s="536"/>
      <c r="N721" s="537">
        <f>'BD Team'!F73</f>
        <v>0</v>
      </c>
      <c r="O721" s="538"/>
    </row>
    <row r="722" spans="3:15">
      <c r="C722" s="534"/>
      <c r="D722" s="534"/>
      <c r="E722" s="534"/>
      <c r="F722" s="534"/>
      <c r="G722" s="534"/>
      <c r="H722" s="534"/>
      <c r="I722" s="534"/>
      <c r="J722" s="534"/>
      <c r="K722" s="534"/>
      <c r="L722" s="534"/>
      <c r="M722" s="534"/>
      <c r="N722" s="534"/>
      <c r="O722" s="534"/>
    </row>
    <row r="723" spans="3:15" ht="25.15" customHeight="1">
      <c r="C723" s="535" t="s">
        <v>254</v>
      </c>
      <c r="D723" s="536"/>
      <c r="E723" s="289">
        <f>'BD Team'!B74</f>
        <v>0</v>
      </c>
      <c r="F723" s="288" t="s">
        <v>255</v>
      </c>
      <c r="G723" s="537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5" t="s">
        <v>127</v>
      </c>
      <c r="M724" s="536"/>
      <c r="N724" s="540">
        <f>'BD Team'!G74</f>
        <v>0</v>
      </c>
      <c r="O724" s="541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5" t="s">
        <v>247</v>
      </c>
      <c r="M725" s="536"/>
      <c r="N725" s="538" t="str">
        <f>$F$6</f>
        <v>Anodised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5" t="s">
        <v>178</v>
      </c>
      <c r="M726" s="536"/>
      <c r="N726" s="538" t="str">
        <f>$K$6</f>
        <v>Silver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5" t="s">
        <v>248</v>
      </c>
      <c r="M727" s="536"/>
      <c r="N727" s="541" t="s">
        <v>256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5" t="s">
        <v>249</v>
      </c>
      <c r="M728" s="536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5" t="s">
        <v>250</v>
      </c>
      <c r="M729" s="536"/>
      <c r="N729" s="537">
        <f>'BD Team'!J74</f>
        <v>0</v>
      </c>
      <c r="O729" s="537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5" t="s">
        <v>251</v>
      </c>
      <c r="M730" s="536"/>
      <c r="N730" s="537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5" t="s">
        <v>252</v>
      </c>
      <c r="M731" s="536"/>
      <c r="N731" s="537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5" t="s">
        <v>253</v>
      </c>
      <c r="M732" s="536"/>
      <c r="N732" s="537">
        <f>'BD Team'!F74</f>
        <v>0</v>
      </c>
      <c r="O732" s="538"/>
    </row>
    <row r="733" spans="3:15">
      <c r="C733" s="534"/>
      <c r="D733" s="534"/>
      <c r="E733" s="534"/>
      <c r="F733" s="534"/>
      <c r="G733" s="534"/>
      <c r="H733" s="534"/>
      <c r="I733" s="534"/>
      <c r="J733" s="534"/>
      <c r="K733" s="534"/>
      <c r="L733" s="534"/>
      <c r="M733" s="534"/>
      <c r="N733" s="534"/>
      <c r="O733" s="534"/>
    </row>
    <row r="734" spans="3:15" ht="25.15" customHeight="1">
      <c r="C734" s="535" t="s">
        <v>254</v>
      </c>
      <c r="D734" s="536"/>
      <c r="E734" s="289">
        <f>'BD Team'!B75</f>
        <v>0</v>
      </c>
      <c r="F734" s="288" t="s">
        <v>255</v>
      </c>
      <c r="G734" s="537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5" t="s">
        <v>127</v>
      </c>
      <c r="M735" s="536"/>
      <c r="N735" s="540">
        <f>'BD Team'!G75</f>
        <v>0</v>
      </c>
      <c r="O735" s="541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5" t="s">
        <v>247</v>
      </c>
      <c r="M736" s="536"/>
      <c r="N736" s="538" t="str">
        <f>$F$6</f>
        <v>Anodised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5" t="s">
        <v>178</v>
      </c>
      <c r="M737" s="536"/>
      <c r="N737" s="538" t="str">
        <f>$K$6</f>
        <v>Silver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5" t="s">
        <v>248</v>
      </c>
      <c r="M738" s="536"/>
      <c r="N738" s="541" t="s">
        <v>256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5" t="s">
        <v>249</v>
      </c>
      <c r="M739" s="536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5" t="s">
        <v>250</v>
      </c>
      <c r="M740" s="536"/>
      <c r="N740" s="537">
        <f>'BD Team'!J75</f>
        <v>0</v>
      </c>
      <c r="O740" s="537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5" t="s">
        <v>251</v>
      </c>
      <c r="M741" s="536"/>
      <c r="N741" s="537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5" t="s">
        <v>252</v>
      </c>
      <c r="M742" s="536"/>
      <c r="N742" s="537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5" t="s">
        <v>253</v>
      </c>
      <c r="M743" s="536"/>
      <c r="N743" s="537">
        <f>'BD Team'!F75</f>
        <v>0</v>
      </c>
      <c r="O743" s="538"/>
    </row>
    <row r="744" spans="3:15">
      <c r="C744" s="534"/>
      <c r="D744" s="534"/>
      <c r="E744" s="534"/>
      <c r="F744" s="534"/>
      <c r="G744" s="534"/>
      <c r="H744" s="534"/>
      <c r="I744" s="534"/>
      <c r="J744" s="534"/>
      <c r="K744" s="534"/>
      <c r="L744" s="534"/>
      <c r="M744" s="534"/>
      <c r="N744" s="534"/>
      <c r="O744" s="534"/>
    </row>
    <row r="745" spans="3:15" ht="25.15" customHeight="1">
      <c r="C745" s="535" t="s">
        <v>254</v>
      </c>
      <c r="D745" s="536"/>
      <c r="E745" s="289">
        <f>'BD Team'!B76</f>
        <v>0</v>
      </c>
      <c r="F745" s="288" t="s">
        <v>255</v>
      </c>
      <c r="G745" s="537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5" t="s">
        <v>127</v>
      </c>
      <c r="M746" s="536"/>
      <c r="N746" s="540">
        <f>'BD Team'!G76</f>
        <v>0</v>
      </c>
      <c r="O746" s="541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5" t="s">
        <v>247</v>
      </c>
      <c r="M747" s="536"/>
      <c r="N747" s="538" t="str">
        <f>$F$6</f>
        <v>Anodised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5" t="s">
        <v>178</v>
      </c>
      <c r="M748" s="536"/>
      <c r="N748" s="538" t="str">
        <f>$K$6</f>
        <v>Silver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5" t="s">
        <v>248</v>
      </c>
      <c r="M749" s="536"/>
      <c r="N749" s="541" t="s">
        <v>256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5" t="s">
        <v>249</v>
      </c>
      <c r="M750" s="536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5" t="s">
        <v>250</v>
      </c>
      <c r="M751" s="536"/>
      <c r="N751" s="537">
        <f>'BD Team'!J76</f>
        <v>0</v>
      </c>
      <c r="O751" s="537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5" t="s">
        <v>251</v>
      </c>
      <c r="M752" s="536"/>
      <c r="N752" s="537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5" t="s">
        <v>252</v>
      </c>
      <c r="M753" s="536"/>
      <c r="N753" s="537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5" t="s">
        <v>253</v>
      </c>
      <c r="M754" s="536"/>
      <c r="N754" s="537">
        <f>'BD Team'!F76</f>
        <v>0</v>
      </c>
      <c r="O754" s="538"/>
    </row>
    <row r="755" spans="3:15">
      <c r="C755" s="534"/>
      <c r="D755" s="534"/>
      <c r="E755" s="534"/>
      <c r="F755" s="534"/>
      <c r="G755" s="534"/>
      <c r="H755" s="534"/>
      <c r="I755" s="534"/>
      <c r="J755" s="534"/>
      <c r="K755" s="534"/>
      <c r="L755" s="534"/>
      <c r="M755" s="534"/>
      <c r="N755" s="534"/>
      <c r="O755" s="534"/>
    </row>
    <row r="756" spans="3:15" ht="25.15" customHeight="1">
      <c r="C756" s="535" t="s">
        <v>254</v>
      </c>
      <c r="D756" s="536"/>
      <c r="E756" s="289">
        <f>'BD Team'!B77</f>
        <v>0</v>
      </c>
      <c r="F756" s="288" t="s">
        <v>255</v>
      </c>
      <c r="G756" s="537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5" t="s">
        <v>127</v>
      </c>
      <c r="M757" s="536"/>
      <c r="N757" s="540">
        <f>'BD Team'!G77</f>
        <v>0</v>
      </c>
      <c r="O757" s="541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5" t="s">
        <v>247</v>
      </c>
      <c r="M758" s="536"/>
      <c r="N758" s="538" t="str">
        <f>$F$6</f>
        <v>Anodised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5" t="s">
        <v>178</v>
      </c>
      <c r="M759" s="536"/>
      <c r="N759" s="538" t="str">
        <f>$K$6</f>
        <v>Silver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5" t="s">
        <v>248</v>
      </c>
      <c r="M760" s="536"/>
      <c r="N760" s="541" t="s">
        <v>256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5" t="s">
        <v>249</v>
      </c>
      <c r="M761" s="536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5" t="s">
        <v>250</v>
      </c>
      <c r="M762" s="536"/>
      <c r="N762" s="537">
        <f>'BD Team'!J77</f>
        <v>0</v>
      </c>
      <c r="O762" s="537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5" t="s">
        <v>251</v>
      </c>
      <c r="M763" s="536"/>
      <c r="N763" s="537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5" t="s">
        <v>252</v>
      </c>
      <c r="M764" s="536"/>
      <c r="N764" s="537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5" t="s">
        <v>253</v>
      </c>
      <c r="M765" s="536"/>
      <c r="N765" s="537">
        <f>'BD Team'!F77</f>
        <v>0</v>
      </c>
      <c r="O765" s="538"/>
    </row>
    <row r="766" spans="3:15">
      <c r="C766" s="534"/>
      <c r="D766" s="534"/>
      <c r="E766" s="534"/>
      <c r="F766" s="534"/>
      <c r="G766" s="534"/>
      <c r="H766" s="534"/>
      <c r="I766" s="534"/>
      <c r="J766" s="534"/>
      <c r="K766" s="534"/>
      <c r="L766" s="534"/>
      <c r="M766" s="534"/>
      <c r="N766" s="534"/>
      <c r="O766" s="534"/>
    </row>
    <row r="767" spans="3:15" ht="25.15" customHeight="1">
      <c r="C767" s="535" t="s">
        <v>254</v>
      </c>
      <c r="D767" s="536"/>
      <c r="E767" s="289">
        <f>'BD Team'!B78</f>
        <v>0</v>
      </c>
      <c r="F767" s="288" t="s">
        <v>255</v>
      </c>
      <c r="G767" s="537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5" t="s">
        <v>127</v>
      </c>
      <c r="M768" s="536"/>
      <c r="N768" s="540">
        <f>'BD Team'!G78</f>
        <v>0</v>
      </c>
      <c r="O768" s="541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5" t="s">
        <v>247</v>
      </c>
      <c r="M769" s="536"/>
      <c r="N769" s="538" t="str">
        <f>$F$6</f>
        <v>Anodised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5" t="s">
        <v>178</v>
      </c>
      <c r="M770" s="536"/>
      <c r="N770" s="538" t="str">
        <f>$K$6</f>
        <v>Silver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5" t="s">
        <v>248</v>
      </c>
      <c r="M771" s="536"/>
      <c r="N771" s="541" t="s">
        <v>256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5" t="s">
        <v>249</v>
      </c>
      <c r="M772" s="536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5" t="s">
        <v>250</v>
      </c>
      <c r="M773" s="536"/>
      <c r="N773" s="537">
        <f>'BD Team'!J78</f>
        <v>0</v>
      </c>
      <c r="O773" s="537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5" t="s">
        <v>251</v>
      </c>
      <c r="M774" s="536"/>
      <c r="N774" s="537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5" t="s">
        <v>252</v>
      </c>
      <c r="M775" s="536"/>
      <c r="N775" s="537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5" t="s">
        <v>253</v>
      </c>
      <c r="M776" s="536"/>
      <c r="N776" s="537">
        <f>'BD Team'!F78</f>
        <v>0</v>
      </c>
      <c r="O776" s="538"/>
    </row>
    <row r="777" spans="3:15">
      <c r="C777" s="534"/>
      <c r="D777" s="534"/>
      <c r="E777" s="534"/>
      <c r="F777" s="534"/>
      <c r="G777" s="534"/>
      <c r="H777" s="534"/>
      <c r="I777" s="534"/>
      <c r="J777" s="534"/>
      <c r="K777" s="534"/>
      <c r="L777" s="534"/>
      <c r="M777" s="534"/>
      <c r="N777" s="534"/>
      <c r="O777" s="534"/>
    </row>
    <row r="778" spans="3:15" ht="25.15" customHeight="1">
      <c r="C778" s="535" t="s">
        <v>254</v>
      </c>
      <c r="D778" s="536"/>
      <c r="E778" s="289">
        <f>'BD Team'!B79</f>
        <v>0</v>
      </c>
      <c r="F778" s="288" t="s">
        <v>255</v>
      </c>
      <c r="G778" s="537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5" t="s">
        <v>127</v>
      </c>
      <c r="M779" s="536"/>
      <c r="N779" s="540">
        <f>'BD Team'!G79</f>
        <v>0</v>
      </c>
      <c r="O779" s="541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5" t="s">
        <v>247</v>
      </c>
      <c r="M780" s="536"/>
      <c r="N780" s="538" t="str">
        <f>$F$6</f>
        <v>Anodised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5" t="s">
        <v>178</v>
      </c>
      <c r="M781" s="536"/>
      <c r="N781" s="538" t="str">
        <f>$K$6</f>
        <v>Silver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5" t="s">
        <v>248</v>
      </c>
      <c r="M782" s="536"/>
      <c r="N782" s="541" t="s">
        <v>256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5" t="s">
        <v>249</v>
      </c>
      <c r="M783" s="536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5" t="s">
        <v>250</v>
      </c>
      <c r="M784" s="536"/>
      <c r="N784" s="537">
        <f>'BD Team'!J79</f>
        <v>0</v>
      </c>
      <c r="O784" s="537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5" t="s">
        <v>251</v>
      </c>
      <c r="M785" s="536"/>
      <c r="N785" s="537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5" t="s">
        <v>252</v>
      </c>
      <c r="M786" s="536"/>
      <c r="N786" s="537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5" t="s">
        <v>253</v>
      </c>
      <c r="M787" s="536"/>
      <c r="N787" s="537">
        <f>'BD Team'!F79</f>
        <v>0</v>
      </c>
      <c r="O787" s="538"/>
    </row>
    <row r="788" spans="3:15">
      <c r="C788" s="534"/>
      <c r="D788" s="534"/>
      <c r="E788" s="534"/>
      <c r="F788" s="534"/>
      <c r="G788" s="534"/>
      <c r="H788" s="534"/>
      <c r="I788" s="534"/>
      <c r="J788" s="534"/>
      <c r="K788" s="534"/>
      <c r="L788" s="534"/>
      <c r="M788" s="534"/>
      <c r="N788" s="534"/>
      <c r="O788" s="534"/>
    </row>
    <row r="789" spans="3:15" ht="25.15" customHeight="1">
      <c r="C789" s="535" t="s">
        <v>254</v>
      </c>
      <c r="D789" s="536"/>
      <c r="E789" s="289">
        <f>'BD Team'!B80</f>
        <v>0</v>
      </c>
      <c r="F789" s="288" t="s">
        <v>255</v>
      </c>
      <c r="G789" s="537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5" t="s">
        <v>127</v>
      </c>
      <c r="M790" s="536"/>
      <c r="N790" s="540">
        <f>'BD Team'!G80</f>
        <v>0</v>
      </c>
      <c r="O790" s="541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5" t="s">
        <v>247</v>
      </c>
      <c r="M791" s="536"/>
      <c r="N791" s="538" t="str">
        <f>$F$6</f>
        <v>Anodised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5" t="s">
        <v>178</v>
      </c>
      <c r="M792" s="536"/>
      <c r="N792" s="538" t="str">
        <f>$K$6</f>
        <v>Silver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5" t="s">
        <v>248</v>
      </c>
      <c r="M793" s="536"/>
      <c r="N793" s="541" t="s">
        <v>256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5" t="s">
        <v>249</v>
      </c>
      <c r="M794" s="536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5" t="s">
        <v>250</v>
      </c>
      <c r="M795" s="536"/>
      <c r="N795" s="537">
        <f>'BD Team'!J80</f>
        <v>0</v>
      </c>
      <c r="O795" s="537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5" t="s">
        <v>251</v>
      </c>
      <c r="M796" s="536"/>
      <c r="N796" s="537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5" t="s">
        <v>252</v>
      </c>
      <c r="M797" s="536"/>
      <c r="N797" s="537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5" t="s">
        <v>253</v>
      </c>
      <c r="M798" s="536"/>
      <c r="N798" s="537">
        <f>'BD Team'!F80</f>
        <v>0</v>
      </c>
      <c r="O798" s="538"/>
    </row>
    <row r="799" spans="3:15">
      <c r="C799" s="534"/>
      <c r="D799" s="534"/>
      <c r="E799" s="534"/>
      <c r="F799" s="534"/>
      <c r="G799" s="534"/>
      <c r="H799" s="534"/>
      <c r="I799" s="534"/>
      <c r="J799" s="534"/>
      <c r="K799" s="534"/>
      <c r="L799" s="534"/>
      <c r="M799" s="534"/>
      <c r="N799" s="534"/>
      <c r="O799" s="534"/>
    </row>
    <row r="800" spans="3:15" ht="25.15" customHeight="1">
      <c r="C800" s="535" t="s">
        <v>254</v>
      </c>
      <c r="D800" s="536"/>
      <c r="E800" s="289">
        <f>'BD Team'!B81</f>
        <v>0</v>
      </c>
      <c r="F800" s="288" t="s">
        <v>255</v>
      </c>
      <c r="G800" s="537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5" t="s">
        <v>127</v>
      </c>
      <c r="M801" s="536"/>
      <c r="N801" s="540">
        <f>'BD Team'!G81</f>
        <v>0</v>
      </c>
      <c r="O801" s="541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5" t="s">
        <v>247</v>
      </c>
      <c r="M802" s="536"/>
      <c r="N802" s="538" t="str">
        <f>$F$6</f>
        <v>Anodised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5" t="s">
        <v>178</v>
      </c>
      <c r="M803" s="536"/>
      <c r="N803" s="538" t="str">
        <f>$K$6</f>
        <v>Silver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5" t="s">
        <v>248</v>
      </c>
      <c r="M804" s="536"/>
      <c r="N804" s="541" t="s">
        <v>256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5" t="s">
        <v>249</v>
      </c>
      <c r="M805" s="536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5" t="s">
        <v>250</v>
      </c>
      <c r="M806" s="536"/>
      <c r="N806" s="537">
        <f>'BD Team'!J81</f>
        <v>0</v>
      </c>
      <c r="O806" s="537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5" t="s">
        <v>251</v>
      </c>
      <c r="M807" s="536"/>
      <c r="N807" s="537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5" t="s">
        <v>252</v>
      </c>
      <c r="M808" s="536"/>
      <c r="N808" s="537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5" t="s">
        <v>253</v>
      </c>
      <c r="M809" s="536"/>
      <c r="N809" s="537">
        <f>'BD Team'!F81</f>
        <v>0</v>
      </c>
      <c r="O809" s="538"/>
    </row>
    <row r="810" spans="3:15">
      <c r="C810" s="534"/>
      <c r="D810" s="534"/>
      <c r="E810" s="534"/>
      <c r="F810" s="534"/>
      <c r="G810" s="534"/>
      <c r="H810" s="534"/>
      <c r="I810" s="534"/>
      <c r="J810" s="534"/>
      <c r="K810" s="534"/>
      <c r="L810" s="534"/>
      <c r="M810" s="534"/>
      <c r="N810" s="534"/>
      <c r="O810" s="534"/>
    </row>
    <row r="811" spans="3:15" ht="25.15" customHeight="1">
      <c r="C811" s="535" t="s">
        <v>254</v>
      </c>
      <c r="D811" s="536"/>
      <c r="E811" s="289">
        <f>'BD Team'!B82</f>
        <v>0</v>
      </c>
      <c r="F811" s="288" t="s">
        <v>255</v>
      </c>
      <c r="G811" s="537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5" t="s">
        <v>127</v>
      </c>
      <c r="M812" s="536"/>
      <c r="N812" s="540">
        <f>'BD Team'!G82</f>
        <v>0</v>
      </c>
      <c r="O812" s="541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5" t="s">
        <v>247</v>
      </c>
      <c r="M813" s="536"/>
      <c r="N813" s="538" t="str">
        <f>$F$6</f>
        <v>Anodised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5" t="s">
        <v>178</v>
      </c>
      <c r="M814" s="536"/>
      <c r="N814" s="538" t="str">
        <f>$K$6</f>
        <v>Silver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5" t="s">
        <v>248</v>
      </c>
      <c r="M815" s="536"/>
      <c r="N815" s="541" t="s">
        <v>256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5" t="s">
        <v>249</v>
      </c>
      <c r="M816" s="536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5" t="s">
        <v>250</v>
      </c>
      <c r="M817" s="536"/>
      <c r="N817" s="537">
        <f>'BD Team'!J82</f>
        <v>0</v>
      </c>
      <c r="O817" s="537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5" t="s">
        <v>251</v>
      </c>
      <c r="M818" s="536"/>
      <c r="N818" s="537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5" t="s">
        <v>252</v>
      </c>
      <c r="M819" s="536"/>
      <c r="N819" s="537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5" t="s">
        <v>253</v>
      </c>
      <c r="M820" s="536"/>
      <c r="N820" s="537">
        <f>'BD Team'!F82</f>
        <v>0</v>
      </c>
      <c r="O820" s="538"/>
    </row>
    <row r="821" spans="3:15">
      <c r="C821" s="534"/>
      <c r="D821" s="534"/>
      <c r="E821" s="534"/>
      <c r="F821" s="534"/>
      <c r="G821" s="534"/>
      <c r="H821" s="534"/>
      <c r="I821" s="534"/>
      <c r="J821" s="534"/>
      <c r="K821" s="534"/>
      <c r="L821" s="534"/>
      <c r="M821" s="534"/>
      <c r="N821" s="534"/>
      <c r="O821" s="534"/>
    </row>
    <row r="822" spans="3:15" ht="25.15" customHeight="1">
      <c r="C822" s="535" t="s">
        <v>254</v>
      </c>
      <c r="D822" s="536"/>
      <c r="E822" s="289">
        <f>'BD Team'!B83</f>
        <v>0</v>
      </c>
      <c r="F822" s="288" t="s">
        <v>255</v>
      </c>
      <c r="G822" s="537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5" t="s">
        <v>127</v>
      </c>
      <c r="M823" s="536"/>
      <c r="N823" s="540">
        <f>'BD Team'!G83</f>
        <v>0</v>
      </c>
      <c r="O823" s="541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5" t="s">
        <v>247</v>
      </c>
      <c r="M824" s="536"/>
      <c r="N824" s="538" t="str">
        <f>$F$6</f>
        <v>Anodised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5" t="s">
        <v>178</v>
      </c>
      <c r="M825" s="536"/>
      <c r="N825" s="538" t="str">
        <f>$K$6</f>
        <v>Silver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5" t="s">
        <v>248</v>
      </c>
      <c r="M826" s="536"/>
      <c r="N826" s="541" t="s">
        <v>256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5" t="s">
        <v>249</v>
      </c>
      <c r="M827" s="536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5" t="s">
        <v>250</v>
      </c>
      <c r="M828" s="536"/>
      <c r="N828" s="537">
        <f>'BD Team'!J83</f>
        <v>0</v>
      </c>
      <c r="O828" s="537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5" t="s">
        <v>251</v>
      </c>
      <c r="M829" s="536"/>
      <c r="N829" s="537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5" t="s">
        <v>252</v>
      </c>
      <c r="M830" s="536"/>
      <c r="N830" s="537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5" t="s">
        <v>253</v>
      </c>
      <c r="M831" s="536"/>
      <c r="N831" s="537">
        <f>'BD Team'!F83</f>
        <v>0</v>
      </c>
      <c r="O831" s="538"/>
    </row>
    <row r="832" spans="3:15">
      <c r="C832" s="534"/>
      <c r="D832" s="534"/>
      <c r="E832" s="534"/>
      <c r="F832" s="534"/>
      <c r="G832" s="534"/>
      <c r="H832" s="534"/>
      <c r="I832" s="534"/>
      <c r="J832" s="534"/>
      <c r="K832" s="534"/>
      <c r="L832" s="534"/>
      <c r="M832" s="534"/>
      <c r="N832" s="534"/>
      <c r="O832" s="534"/>
    </row>
    <row r="833" spans="3:15" ht="25.15" customHeight="1">
      <c r="C833" s="535" t="s">
        <v>254</v>
      </c>
      <c r="D833" s="536"/>
      <c r="E833" s="289">
        <f>'BD Team'!B84</f>
        <v>0</v>
      </c>
      <c r="F833" s="288" t="s">
        <v>255</v>
      </c>
      <c r="G833" s="537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5" t="s">
        <v>127</v>
      </c>
      <c r="M834" s="536"/>
      <c r="N834" s="540">
        <f>'BD Team'!G84</f>
        <v>0</v>
      </c>
      <c r="O834" s="541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5" t="s">
        <v>247</v>
      </c>
      <c r="M835" s="536"/>
      <c r="N835" s="538" t="str">
        <f>$F$6</f>
        <v>Anodised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5" t="s">
        <v>178</v>
      </c>
      <c r="M836" s="536"/>
      <c r="N836" s="538" t="str">
        <f>$K$6</f>
        <v>Silver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5" t="s">
        <v>248</v>
      </c>
      <c r="M837" s="536"/>
      <c r="N837" s="541" t="s">
        <v>256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5" t="s">
        <v>249</v>
      </c>
      <c r="M838" s="536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5" t="s">
        <v>250</v>
      </c>
      <c r="M839" s="536"/>
      <c r="N839" s="537">
        <f>'BD Team'!J84</f>
        <v>0</v>
      </c>
      <c r="O839" s="537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5" t="s">
        <v>251</v>
      </c>
      <c r="M840" s="536"/>
      <c r="N840" s="537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5" t="s">
        <v>252</v>
      </c>
      <c r="M841" s="536"/>
      <c r="N841" s="537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5" t="s">
        <v>253</v>
      </c>
      <c r="M842" s="536"/>
      <c r="N842" s="537">
        <f>'BD Team'!F84</f>
        <v>0</v>
      </c>
      <c r="O842" s="538"/>
    </row>
    <row r="843" spans="3:15">
      <c r="C843" s="534"/>
      <c r="D843" s="534"/>
      <c r="E843" s="534"/>
      <c r="F843" s="534"/>
      <c r="G843" s="534"/>
      <c r="H843" s="534"/>
      <c r="I843" s="534"/>
      <c r="J843" s="534"/>
      <c r="K843" s="534"/>
      <c r="L843" s="534"/>
      <c r="M843" s="534"/>
      <c r="N843" s="534"/>
      <c r="O843" s="534"/>
    </row>
    <row r="844" spans="3:15" ht="25.15" customHeight="1">
      <c r="C844" s="535" t="s">
        <v>254</v>
      </c>
      <c r="D844" s="536"/>
      <c r="E844" s="289">
        <f>'BD Team'!B85</f>
        <v>0</v>
      </c>
      <c r="F844" s="288" t="s">
        <v>255</v>
      </c>
      <c r="G844" s="537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5" t="s">
        <v>127</v>
      </c>
      <c r="M845" s="536"/>
      <c r="N845" s="540">
        <f>'BD Team'!G85</f>
        <v>0</v>
      </c>
      <c r="O845" s="541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5" t="s">
        <v>247</v>
      </c>
      <c r="M846" s="536"/>
      <c r="N846" s="538" t="str">
        <f>$F$6</f>
        <v>Anodised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5" t="s">
        <v>178</v>
      </c>
      <c r="M847" s="536"/>
      <c r="N847" s="538" t="str">
        <f>$K$6</f>
        <v>Silver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5" t="s">
        <v>248</v>
      </c>
      <c r="M848" s="536"/>
      <c r="N848" s="541" t="s">
        <v>256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5" t="s">
        <v>249</v>
      </c>
      <c r="M849" s="536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5" t="s">
        <v>250</v>
      </c>
      <c r="M850" s="536"/>
      <c r="N850" s="537">
        <f>'BD Team'!J85</f>
        <v>0</v>
      </c>
      <c r="O850" s="537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5" t="s">
        <v>251</v>
      </c>
      <c r="M851" s="536"/>
      <c r="N851" s="537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5" t="s">
        <v>252</v>
      </c>
      <c r="M852" s="536"/>
      <c r="N852" s="537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5" t="s">
        <v>253</v>
      </c>
      <c r="M853" s="536"/>
      <c r="N853" s="537">
        <f>'BD Team'!F85</f>
        <v>0</v>
      </c>
      <c r="O853" s="538"/>
    </row>
    <row r="854" spans="3:15">
      <c r="C854" s="534"/>
      <c r="D854" s="534"/>
      <c r="E854" s="534"/>
      <c r="F854" s="534"/>
      <c r="G854" s="534"/>
      <c r="H854" s="534"/>
      <c r="I854" s="534"/>
      <c r="J854" s="534"/>
      <c r="K854" s="534"/>
      <c r="L854" s="534"/>
      <c r="M854" s="534"/>
      <c r="N854" s="534"/>
      <c r="O854" s="534"/>
    </row>
    <row r="855" spans="3:15" ht="25.15" customHeight="1">
      <c r="C855" s="535" t="s">
        <v>254</v>
      </c>
      <c r="D855" s="536"/>
      <c r="E855" s="289">
        <f>'BD Team'!B86</f>
        <v>0</v>
      </c>
      <c r="F855" s="288" t="s">
        <v>255</v>
      </c>
      <c r="G855" s="537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5" t="s">
        <v>127</v>
      </c>
      <c r="M856" s="536"/>
      <c r="N856" s="540">
        <f>'BD Team'!G86</f>
        <v>0</v>
      </c>
      <c r="O856" s="541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5" t="s">
        <v>247</v>
      </c>
      <c r="M857" s="536"/>
      <c r="N857" s="538" t="str">
        <f>$F$6</f>
        <v>Anodised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5" t="s">
        <v>178</v>
      </c>
      <c r="M858" s="536"/>
      <c r="N858" s="538" t="str">
        <f>$K$6</f>
        <v>Silver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5" t="s">
        <v>248</v>
      </c>
      <c r="M859" s="536"/>
      <c r="N859" s="541" t="s">
        <v>256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5" t="s">
        <v>249</v>
      </c>
      <c r="M860" s="536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5" t="s">
        <v>250</v>
      </c>
      <c r="M861" s="536"/>
      <c r="N861" s="537">
        <f>'BD Team'!J86</f>
        <v>0</v>
      </c>
      <c r="O861" s="537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5" t="s">
        <v>251</v>
      </c>
      <c r="M862" s="536"/>
      <c r="N862" s="537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5" t="s">
        <v>252</v>
      </c>
      <c r="M863" s="536"/>
      <c r="N863" s="537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5" t="s">
        <v>253</v>
      </c>
      <c r="M864" s="536"/>
      <c r="N864" s="537">
        <f>'BD Team'!F86</f>
        <v>0</v>
      </c>
      <c r="O864" s="538"/>
    </row>
    <row r="865" spans="3:15">
      <c r="C865" s="534"/>
      <c r="D865" s="534"/>
      <c r="E865" s="534"/>
      <c r="F865" s="534"/>
      <c r="G865" s="534"/>
      <c r="H865" s="534"/>
      <c r="I865" s="534"/>
      <c r="J865" s="534"/>
      <c r="K865" s="534"/>
      <c r="L865" s="534"/>
      <c r="M865" s="534"/>
      <c r="N865" s="534"/>
      <c r="O865" s="534"/>
    </row>
    <row r="866" spans="3:15" ht="25.15" customHeight="1">
      <c r="C866" s="535" t="s">
        <v>254</v>
      </c>
      <c r="D866" s="536"/>
      <c r="E866" s="289">
        <f>'BD Team'!B87</f>
        <v>0</v>
      </c>
      <c r="F866" s="288" t="s">
        <v>255</v>
      </c>
      <c r="G866" s="537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5" t="s">
        <v>127</v>
      </c>
      <c r="M867" s="536"/>
      <c r="N867" s="540">
        <f>'BD Team'!G87</f>
        <v>0</v>
      </c>
      <c r="O867" s="541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5" t="s">
        <v>247</v>
      </c>
      <c r="M868" s="536"/>
      <c r="N868" s="538" t="str">
        <f>$F$6</f>
        <v>Anodised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5" t="s">
        <v>178</v>
      </c>
      <c r="M869" s="536"/>
      <c r="N869" s="538" t="str">
        <f>$K$6</f>
        <v>Silver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5" t="s">
        <v>248</v>
      </c>
      <c r="M870" s="536"/>
      <c r="N870" s="541" t="s">
        <v>256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5" t="s">
        <v>249</v>
      </c>
      <c r="M871" s="536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5" t="s">
        <v>250</v>
      </c>
      <c r="M872" s="536"/>
      <c r="N872" s="537">
        <f>'BD Team'!J87</f>
        <v>0</v>
      </c>
      <c r="O872" s="537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5" t="s">
        <v>251</v>
      </c>
      <c r="M873" s="536"/>
      <c r="N873" s="537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5" t="s">
        <v>252</v>
      </c>
      <c r="M874" s="536"/>
      <c r="N874" s="537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5" t="s">
        <v>253</v>
      </c>
      <c r="M875" s="536"/>
      <c r="N875" s="537">
        <f>'BD Team'!F87</f>
        <v>0</v>
      </c>
      <c r="O875" s="538"/>
    </row>
    <row r="876" spans="3:15">
      <c r="C876" s="534"/>
      <c r="D876" s="534"/>
      <c r="E876" s="534"/>
      <c r="F876" s="534"/>
      <c r="G876" s="534"/>
      <c r="H876" s="534"/>
      <c r="I876" s="534"/>
      <c r="J876" s="534"/>
      <c r="K876" s="534"/>
      <c r="L876" s="534"/>
      <c r="M876" s="534"/>
      <c r="N876" s="534"/>
      <c r="O876" s="534"/>
    </row>
    <row r="877" spans="3:15" ht="25.15" customHeight="1">
      <c r="C877" s="535" t="s">
        <v>254</v>
      </c>
      <c r="D877" s="536"/>
      <c r="E877" s="289">
        <f>'BD Team'!B88</f>
        <v>0</v>
      </c>
      <c r="F877" s="288" t="s">
        <v>255</v>
      </c>
      <c r="G877" s="537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5" t="s">
        <v>127</v>
      </c>
      <c r="M878" s="536"/>
      <c r="N878" s="540">
        <f>'BD Team'!G88</f>
        <v>0</v>
      </c>
      <c r="O878" s="541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5" t="s">
        <v>247</v>
      </c>
      <c r="M879" s="536"/>
      <c r="N879" s="538" t="str">
        <f>$F$6</f>
        <v>Anodised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5" t="s">
        <v>178</v>
      </c>
      <c r="M880" s="536"/>
      <c r="N880" s="538" t="str">
        <f>$K$6</f>
        <v>Silver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5" t="s">
        <v>248</v>
      </c>
      <c r="M881" s="536"/>
      <c r="N881" s="541" t="s">
        <v>256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5" t="s">
        <v>249</v>
      </c>
      <c r="M882" s="536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5" t="s">
        <v>250</v>
      </c>
      <c r="M883" s="536"/>
      <c r="N883" s="537">
        <f>'BD Team'!J88</f>
        <v>0</v>
      </c>
      <c r="O883" s="537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5" t="s">
        <v>251</v>
      </c>
      <c r="M884" s="536"/>
      <c r="N884" s="537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5" t="s">
        <v>252</v>
      </c>
      <c r="M885" s="536"/>
      <c r="N885" s="537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5" t="s">
        <v>253</v>
      </c>
      <c r="M886" s="536"/>
      <c r="N886" s="537">
        <f>'BD Team'!F88</f>
        <v>0</v>
      </c>
      <c r="O886" s="538"/>
    </row>
    <row r="887" spans="3:15">
      <c r="C887" s="534"/>
      <c r="D887" s="534"/>
      <c r="E887" s="534"/>
      <c r="F887" s="534"/>
      <c r="G887" s="534"/>
      <c r="H887" s="534"/>
      <c r="I887" s="534"/>
      <c r="J887" s="534"/>
      <c r="K887" s="534"/>
      <c r="L887" s="534"/>
      <c r="M887" s="534"/>
      <c r="N887" s="534"/>
      <c r="O887" s="534"/>
    </row>
    <row r="888" spans="3:15" ht="25.15" customHeight="1">
      <c r="C888" s="535" t="s">
        <v>254</v>
      </c>
      <c r="D888" s="536"/>
      <c r="E888" s="289">
        <f>'BD Team'!B89</f>
        <v>0</v>
      </c>
      <c r="F888" s="288" t="s">
        <v>255</v>
      </c>
      <c r="G888" s="537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5" t="s">
        <v>127</v>
      </c>
      <c r="M889" s="536"/>
      <c r="N889" s="540">
        <f>'BD Team'!G89</f>
        <v>0</v>
      </c>
      <c r="O889" s="541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5" t="s">
        <v>247</v>
      </c>
      <c r="M890" s="536"/>
      <c r="N890" s="538" t="str">
        <f>$F$6</f>
        <v>Anodised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5" t="s">
        <v>178</v>
      </c>
      <c r="M891" s="536"/>
      <c r="N891" s="538" t="str">
        <f>$K$6</f>
        <v>Silver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5" t="s">
        <v>248</v>
      </c>
      <c r="M892" s="536"/>
      <c r="N892" s="541" t="s">
        <v>256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5" t="s">
        <v>249</v>
      </c>
      <c r="M893" s="536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5" t="s">
        <v>250</v>
      </c>
      <c r="M894" s="536"/>
      <c r="N894" s="537">
        <f>'BD Team'!J89</f>
        <v>0</v>
      </c>
      <c r="O894" s="537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5" t="s">
        <v>251</v>
      </c>
      <c r="M895" s="536"/>
      <c r="N895" s="537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5" t="s">
        <v>252</v>
      </c>
      <c r="M896" s="536"/>
      <c r="N896" s="537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5" t="s">
        <v>253</v>
      </c>
      <c r="M897" s="536"/>
      <c r="N897" s="537">
        <f>'BD Team'!F89</f>
        <v>0</v>
      </c>
      <c r="O897" s="538"/>
    </row>
    <row r="898" spans="3:15">
      <c r="C898" s="534"/>
      <c r="D898" s="534"/>
      <c r="E898" s="534"/>
      <c r="F898" s="534"/>
      <c r="G898" s="534"/>
      <c r="H898" s="534"/>
      <c r="I898" s="534"/>
      <c r="J898" s="534"/>
      <c r="K898" s="534"/>
      <c r="L898" s="534"/>
      <c r="M898" s="534"/>
      <c r="N898" s="534"/>
      <c r="O898" s="534"/>
    </row>
    <row r="899" spans="3:15" ht="25.15" customHeight="1">
      <c r="C899" s="535" t="s">
        <v>254</v>
      </c>
      <c r="D899" s="536"/>
      <c r="E899" s="289">
        <f>'BD Team'!B90</f>
        <v>0</v>
      </c>
      <c r="F899" s="288" t="s">
        <v>255</v>
      </c>
      <c r="G899" s="537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5" t="s">
        <v>127</v>
      </c>
      <c r="M900" s="536"/>
      <c r="N900" s="540">
        <f>'BD Team'!G90</f>
        <v>0</v>
      </c>
      <c r="O900" s="541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5" t="s">
        <v>247</v>
      </c>
      <c r="M901" s="536"/>
      <c r="N901" s="538" t="str">
        <f>$F$6</f>
        <v>Anodised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5" t="s">
        <v>178</v>
      </c>
      <c r="M902" s="536"/>
      <c r="N902" s="538" t="str">
        <f>$K$6</f>
        <v>Silver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5" t="s">
        <v>248</v>
      </c>
      <c r="M903" s="536"/>
      <c r="N903" s="541" t="s">
        <v>256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5" t="s">
        <v>249</v>
      </c>
      <c r="M904" s="536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5" t="s">
        <v>250</v>
      </c>
      <c r="M905" s="536"/>
      <c r="N905" s="537">
        <f>'BD Team'!J90</f>
        <v>0</v>
      </c>
      <c r="O905" s="537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5" t="s">
        <v>251</v>
      </c>
      <c r="M906" s="536"/>
      <c r="N906" s="537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5" t="s">
        <v>252</v>
      </c>
      <c r="M907" s="536"/>
      <c r="N907" s="537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5" t="s">
        <v>253</v>
      </c>
      <c r="M908" s="536"/>
      <c r="N908" s="537">
        <f>'BD Team'!F90</f>
        <v>0</v>
      </c>
      <c r="O908" s="538"/>
    </row>
    <row r="909" spans="3:15">
      <c r="C909" s="534"/>
      <c r="D909" s="534"/>
      <c r="E909" s="534"/>
      <c r="F909" s="534"/>
      <c r="G909" s="534"/>
      <c r="H909" s="534"/>
      <c r="I909" s="534"/>
      <c r="J909" s="534"/>
      <c r="K909" s="534"/>
      <c r="L909" s="534"/>
      <c r="M909" s="534"/>
      <c r="N909" s="534"/>
      <c r="O909" s="534"/>
    </row>
    <row r="910" spans="3:15" ht="25.15" customHeight="1">
      <c r="C910" s="535" t="s">
        <v>254</v>
      </c>
      <c r="D910" s="536"/>
      <c r="E910" s="289">
        <f>'BD Team'!B91</f>
        <v>0</v>
      </c>
      <c r="F910" s="288" t="s">
        <v>255</v>
      </c>
      <c r="G910" s="537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5" t="s">
        <v>127</v>
      </c>
      <c r="M911" s="536"/>
      <c r="N911" s="540">
        <f>'BD Team'!G91</f>
        <v>0</v>
      </c>
      <c r="O911" s="541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5" t="s">
        <v>247</v>
      </c>
      <c r="M912" s="536"/>
      <c r="N912" s="538" t="str">
        <f>$F$6</f>
        <v>Anodised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5" t="s">
        <v>178</v>
      </c>
      <c r="M913" s="536"/>
      <c r="N913" s="538" t="str">
        <f>$K$6</f>
        <v>Silver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5" t="s">
        <v>248</v>
      </c>
      <c r="M914" s="536"/>
      <c r="N914" s="541" t="s">
        <v>256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5" t="s">
        <v>249</v>
      </c>
      <c r="M915" s="536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5" t="s">
        <v>250</v>
      </c>
      <c r="M916" s="536"/>
      <c r="N916" s="537">
        <f>'BD Team'!J91</f>
        <v>0</v>
      </c>
      <c r="O916" s="537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5" t="s">
        <v>251</v>
      </c>
      <c r="M917" s="536"/>
      <c r="N917" s="537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5" t="s">
        <v>252</v>
      </c>
      <c r="M918" s="536"/>
      <c r="N918" s="537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5" t="s">
        <v>253</v>
      </c>
      <c r="M919" s="536"/>
      <c r="N919" s="537">
        <f>'BD Team'!F91</f>
        <v>0</v>
      </c>
      <c r="O919" s="538"/>
    </row>
    <row r="920" spans="3:15">
      <c r="C920" s="534"/>
      <c r="D920" s="534"/>
      <c r="E920" s="534"/>
      <c r="F920" s="534"/>
      <c r="G920" s="534"/>
      <c r="H920" s="534"/>
      <c r="I920" s="534"/>
      <c r="J920" s="534"/>
      <c r="K920" s="534"/>
      <c r="L920" s="534"/>
      <c r="M920" s="534"/>
      <c r="N920" s="534"/>
      <c r="O920" s="534"/>
    </row>
    <row r="921" spans="3:15" ht="25.15" customHeight="1">
      <c r="C921" s="535" t="s">
        <v>254</v>
      </c>
      <c r="D921" s="536"/>
      <c r="E921" s="289">
        <f>'BD Team'!B92</f>
        <v>0</v>
      </c>
      <c r="F921" s="288" t="s">
        <v>255</v>
      </c>
      <c r="G921" s="537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5" t="s">
        <v>127</v>
      </c>
      <c r="M922" s="536"/>
      <c r="N922" s="540">
        <f>'BD Team'!G92</f>
        <v>0</v>
      </c>
      <c r="O922" s="541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5" t="s">
        <v>247</v>
      </c>
      <c r="M923" s="536"/>
      <c r="N923" s="538" t="str">
        <f>$F$6</f>
        <v>Anodised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5" t="s">
        <v>178</v>
      </c>
      <c r="M924" s="536"/>
      <c r="N924" s="538" t="str">
        <f>$K$6</f>
        <v>Silver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5" t="s">
        <v>248</v>
      </c>
      <c r="M925" s="536"/>
      <c r="N925" s="541" t="s">
        <v>256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5" t="s">
        <v>249</v>
      </c>
      <c r="M926" s="536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5" t="s">
        <v>250</v>
      </c>
      <c r="M927" s="536"/>
      <c r="N927" s="537">
        <f>'BD Team'!J92</f>
        <v>0</v>
      </c>
      <c r="O927" s="537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5" t="s">
        <v>251</v>
      </c>
      <c r="M928" s="536"/>
      <c r="N928" s="537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5" t="s">
        <v>252</v>
      </c>
      <c r="M929" s="536"/>
      <c r="N929" s="537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5" t="s">
        <v>253</v>
      </c>
      <c r="M930" s="536"/>
      <c r="N930" s="537">
        <f>'BD Team'!F92</f>
        <v>0</v>
      </c>
      <c r="O930" s="538"/>
    </row>
    <row r="931" spans="3:15">
      <c r="C931" s="534"/>
      <c r="D931" s="534"/>
      <c r="E931" s="534"/>
      <c r="F931" s="534"/>
      <c r="G931" s="534"/>
      <c r="H931" s="534"/>
      <c r="I931" s="534"/>
      <c r="J931" s="534"/>
      <c r="K931" s="534"/>
      <c r="L931" s="534"/>
      <c r="M931" s="534"/>
      <c r="N931" s="534"/>
      <c r="O931" s="534"/>
    </row>
    <row r="932" spans="3:15" ht="25.15" customHeight="1">
      <c r="C932" s="535" t="s">
        <v>254</v>
      </c>
      <c r="D932" s="536"/>
      <c r="E932" s="289">
        <f>'BD Team'!B93</f>
        <v>0</v>
      </c>
      <c r="F932" s="288" t="s">
        <v>255</v>
      </c>
      <c r="G932" s="537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5" t="s">
        <v>127</v>
      </c>
      <c r="M933" s="536"/>
      <c r="N933" s="540">
        <f>'BD Team'!G93</f>
        <v>0</v>
      </c>
      <c r="O933" s="541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5" t="s">
        <v>247</v>
      </c>
      <c r="M934" s="536"/>
      <c r="N934" s="538" t="str">
        <f>$F$6</f>
        <v>Anodised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5" t="s">
        <v>178</v>
      </c>
      <c r="M935" s="536"/>
      <c r="N935" s="538" t="str">
        <f>$K$6</f>
        <v>Silver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5" t="s">
        <v>248</v>
      </c>
      <c r="M936" s="536"/>
      <c r="N936" s="541" t="s">
        <v>256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5" t="s">
        <v>249</v>
      </c>
      <c r="M937" s="536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5" t="s">
        <v>250</v>
      </c>
      <c r="M938" s="536"/>
      <c r="N938" s="537">
        <f>'BD Team'!J93</f>
        <v>0</v>
      </c>
      <c r="O938" s="537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5" t="s">
        <v>251</v>
      </c>
      <c r="M939" s="536"/>
      <c r="N939" s="537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5" t="s">
        <v>252</v>
      </c>
      <c r="M940" s="536"/>
      <c r="N940" s="537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5" t="s">
        <v>253</v>
      </c>
      <c r="M941" s="536"/>
      <c r="N941" s="537">
        <f>'BD Team'!F93</f>
        <v>0</v>
      </c>
      <c r="O941" s="538"/>
    </row>
    <row r="942" spans="3:15">
      <c r="C942" s="534"/>
      <c r="D942" s="534"/>
      <c r="E942" s="534"/>
      <c r="F942" s="534"/>
      <c r="G942" s="534"/>
      <c r="H942" s="534"/>
      <c r="I942" s="534"/>
      <c r="J942" s="534"/>
      <c r="K942" s="534"/>
      <c r="L942" s="534"/>
      <c r="M942" s="534"/>
      <c r="N942" s="534"/>
      <c r="O942" s="534"/>
    </row>
    <row r="943" spans="3:15" ht="25.15" customHeight="1">
      <c r="C943" s="535" t="s">
        <v>254</v>
      </c>
      <c r="D943" s="536"/>
      <c r="E943" s="289">
        <f>'BD Team'!B94</f>
        <v>0</v>
      </c>
      <c r="F943" s="288" t="s">
        <v>255</v>
      </c>
      <c r="G943" s="537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5" t="s">
        <v>127</v>
      </c>
      <c r="M944" s="536"/>
      <c r="N944" s="540">
        <f>'BD Team'!G94</f>
        <v>0</v>
      </c>
      <c r="O944" s="541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5" t="s">
        <v>247</v>
      </c>
      <c r="M945" s="536"/>
      <c r="N945" s="538" t="str">
        <f>$F$6</f>
        <v>Anodised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5" t="s">
        <v>178</v>
      </c>
      <c r="M946" s="536"/>
      <c r="N946" s="538" t="str">
        <f>$K$6</f>
        <v>Silver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5" t="s">
        <v>248</v>
      </c>
      <c r="M947" s="536"/>
      <c r="N947" s="541" t="s">
        <v>256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5" t="s">
        <v>249</v>
      </c>
      <c r="M948" s="536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5" t="s">
        <v>250</v>
      </c>
      <c r="M949" s="536"/>
      <c r="N949" s="537">
        <f>'BD Team'!J94</f>
        <v>0</v>
      </c>
      <c r="O949" s="537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5" t="s">
        <v>251</v>
      </c>
      <c r="M950" s="536"/>
      <c r="N950" s="537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5" t="s">
        <v>252</v>
      </c>
      <c r="M951" s="536"/>
      <c r="N951" s="537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5" t="s">
        <v>253</v>
      </c>
      <c r="M952" s="536"/>
      <c r="N952" s="537">
        <f>'BD Team'!F94</f>
        <v>0</v>
      </c>
      <c r="O952" s="538"/>
    </row>
    <row r="953" spans="3:15">
      <c r="C953" s="534"/>
      <c r="D953" s="534"/>
      <c r="E953" s="534"/>
      <c r="F953" s="534"/>
      <c r="G953" s="534"/>
      <c r="H953" s="534"/>
      <c r="I953" s="534"/>
      <c r="J953" s="534"/>
      <c r="K953" s="534"/>
      <c r="L953" s="534"/>
      <c r="M953" s="534"/>
      <c r="N953" s="534"/>
      <c r="O953" s="534"/>
    </row>
    <row r="954" spans="3:15" ht="25.15" customHeight="1">
      <c r="C954" s="535" t="s">
        <v>254</v>
      </c>
      <c r="D954" s="536"/>
      <c r="E954" s="289">
        <f>'BD Team'!B95</f>
        <v>0</v>
      </c>
      <c r="F954" s="288" t="s">
        <v>255</v>
      </c>
      <c r="G954" s="537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5" t="s">
        <v>127</v>
      </c>
      <c r="M955" s="536"/>
      <c r="N955" s="540">
        <f>'BD Team'!G95</f>
        <v>0</v>
      </c>
      <c r="O955" s="541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5" t="s">
        <v>247</v>
      </c>
      <c r="M956" s="536"/>
      <c r="N956" s="538" t="str">
        <f>$F$6</f>
        <v>Anodised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5" t="s">
        <v>178</v>
      </c>
      <c r="M957" s="536"/>
      <c r="N957" s="538" t="str">
        <f>$K$6</f>
        <v>Silver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5" t="s">
        <v>248</v>
      </c>
      <c r="M958" s="536"/>
      <c r="N958" s="541" t="s">
        <v>256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5" t="s">
        <v>249</v>
      </c>
      <c r="M959" s="536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5" t="s">
        <v>250</v>
      </c>
      <c r="M960" s="536"/>
      <c r="N960" s="537">
        <f>'BD Team'!J95</f>
        <v>0</v>
      </c>
      <c r="O960" s="537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5" t="s">
        <v>251</v>
      </c>
      <c r="M961" s="536"/>
      <c r="N961" s="537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5" t="s">
        <v>252</v>
      </c>
      <c r="M962" s="536"/>
      <c r="N962" s="537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5" t="s">
        <v>253</v>
      </c>
      <c r="M963" s="536"/>
      <c r="N963" s="537">
        <f>'BD Team'!F95</f>
        <v>0</v>
      </c>
      <c r="O963" s="538"/>
    </row>
    <row r="964" spans="3:15">
      <c r="C964" s="534"/>
      <c r="D964" s="534"/>
      <c r="E964" s="534"/>
      <c r="F964" s="534"/>
      <c r="G964" s="534"/>
      <c r="H964" s="534"/>
      <c r="I964" s="534"/>
      <c r="J964" s="534"/>
      <c r="K964" s="534"/>
      <c r="L964" s="534"/>
      <c r="M964" s="534"/>
      <c r="N964" s="534"/>
      <c r="O964" s="534"/>
    </row>
    <row r="965" spans="3:15" ht="25.15" customHeight="1">
      <c r="C965" s="535" t="s">
        <v>254</v>
      </c>
      <c r="D965" s="536"/>
      <c r="E965" s="289">
        <f>'BD Team'!B96</f>
        <v>0</v>
      </c>
      <c r="F965" s="288" t="s">
        <v>255</v>
      </c>
      <c r="G965" s="537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5" t="s">
        <v>127</v>
      </c>
      <c r="M966" s="536"/>
      <c r="N966" s="540">
        <f>'BD Team'!G96</f>
        <v>0</v>
      </c>
      <c r="O966" s="541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5" t="s">
        <v>247</v>
      </c>
      <c r="M967" s="536"/>
      <c r="N967" s="538" t="str">
        <f>$F$6</f>
        <v>Anodised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5" t="s">
        <v>178</v>
      </c>
      <c r="M968" s="536"/>
      <c r="N968" s="538" t="str">
        <f>$K$6</f>
        <v>Silver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5" t="s">
        <v>248</v>
      </c>
      <c r="M969" s="536"/>
      <c r="N969" s="541" t="s">
        <v>256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5" t="s">
        <v>249</v>
      </c>
      <c r="M970" s="536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5" t="s">
        <v>250</v>
      </c>
      <c r="M971" s="536"/>
      <c r="N971" s="537">
        <f>'BD Team'!J96</f>
        <v>0</v>
      </c>
      <c r="O971" s="537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5" t="s">
        <v>251</v>
      </c>
      <c r="M972" s="536"/>
      <c r="N972" s="537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5" t="s">
        <v>252</v>
      </c>
      <c r="M973" s="536"/>
      <c r="N973" s="537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5" t="s">
        <v>253</v>
      </c>
      <c r="M974" s="536"/>
      <c r="N974" s="537">
        <f>'BD Team'!F96</f>
        <v>0</v>
      </c>
      <c r="O974" s="538"/>
    </row>
    <row r="975" spans="3:15">
      <c r="C975" s="534"/>
      <c r="D975" s="534"/>
      <c r="E975" s="534"/>
      <c r="F975" s="534"/>
      <c r="G975" s="534"/>
      <c r="H975" s="534"/>
      <c r="I975" s="534"/>
      <c r="J975" s="534"/>
      <c r="K975" s="534"/>
      <c r="L975" s="534"/>
      <c r="M975" s="534"/>
      <c r="N975" s="534"/>
      <c r="O975" s="534"/>
    </row>
    <row r="976" spans="3:15" ht="25.15" customHeight="1">
      <c r="C976" s="535" t="s">
        <v>254</v>
      </c>
      <c r="D976" s="536"/>
      <c r="E976" s="289">
        <f>'BD Team'!B97</f>
        <v>0</v>
      </c>
      <c r="F976" s="288" t="s">
        <v>255</v>
      </c>
      <c r="G976" s="537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5" t="s">
        <v>127</v>
      </c>
      <c r="M977" s="536"/>
      <c r="N977" s="540">
        <f>'BD Team'!G97</f>
        <v>0</v>
      </c>
      <c r="O977" s="541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5" t="s">
        <v>247</v>
      </c>
      <c r="M978" s="536"/>
      <c r="N978" s="538" t="str">
        <f>$F$6</f>
        <v>Anodised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5" t="s">
        <v>178</v>
      </c>
      <c r="M979" s="536"/>
      <c r="N979" s="538" t="str">
        <f>$K$6</f>
        <v>Silver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5" t="s">
        <v>248</v>
      </c>
      <c r="M980" s="536"/>
      <c r="N980" s="541" t="s">
        <v>256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5" t="s">
        <v>249</v>
      </c>
      <c r="M981" s="536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5" t="s">
        <v>250</v>
      </c>
      <c r="M982" s="536"/>
      <c r="N982" s="537">
        <f>'BD Team'!J97</f>
        <v>0</v>
      </c>
      <c r="O982" s="537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5" t="s">
        <v>251</v>
      </c>
      <c r="M983" s="536"/>
      <c r="N983" s="537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5" t="s">
        <v>252</v>
      </c>
      <c r="M984" s="536"/>
      <c r="N984" s="537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5" t="s">
        <v>253</v>
      </c>
      <c r="M985" s="536"/>
      <c r="N985" s="537">
        <f>'BD Team'!F97</f>
        <v>0</v>
      </c>
      <c r="O985" s="538"/>
    </row>
    <row r="986" spans="3:15">
      <c r="C986" s="534"/>
      <c r="D986" s="534"/>
      <c r="E986" s="534"/>
      <c r="F986" s="534"/>
      <c r="G986" s="534"/>
      <c r="H986" s="534"/>
      <c r="I986" s="534"/>
      <c r="J986" s="534"/>
      <c r="K986" s="534"/>
      <c r="L986" s="534"/>
      <c r="M986" s="534"/>
      <c r="N986" s="534"/>
      <c r="O986" s="534"/>
    </row>
    <row r="987" spans="3:15" ht="25.15" customHeight="1">
      <c r="C987" s="535" t="s">
        <v>254</v>
      </c>
      <c r="D987" s="536"/>
      <c r="E987" s="289">
        <f>'BD Team'!B98</f>
        <v>0</v>
      </c>
      <c r="F987" s="288" t="s">
        <v>255</v>
      </c>
      <c r="G987" s="537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5" t="s">
        <v>127</v>
      </c>
      <c r="M988" s="536"/>
      <c r="N988" s="540">
        <f>'BD Team'!G98</f>
        <v>0</v>
      </c>
      <c r="O988" s="541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5" t="s">
        <v>247</v>
      </c>
      <c r="M989" s="536"/>
      <c r="N989" s="538" t="str">
        <f>$F$6</f>
        <v>Anodised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5" t="s">
        <v>178</v>
      </c>
      <c r="M990" s="536"/>
      <c r="N990" s="538" t="str">
        <f>$K$6</f>
        <v>Silver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5" t="s">
        <v>248</v>
      </c>
      <c r="M991" s="536"/>
      <c r="N991" s="541" t="s">
        <v>256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5" t="s">
        <v>249</v>
      </c>
      <c r="M992" s="536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5" t="s">
        <v>250</v>
      </c>
      <c r="M993" s="536"/>
      <c r="N993" s="537">
        <f>'BD Team'!J98</f>
        <v>0</v>
      </c>
      <c r="O993" s="537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5" t="s">
        <v>251</v>
      </c>
      <c r="M994" s="536"/>
      <c r="N994" s="537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5" t="s">
        <v>252</v>
      </c>
      <c r="M995" s="536"/>
      <c r="N995" s="537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5" t="s">
        <v>253</v>
      </c>
      <c r="M996" s="536"/>
      <c r="N996" s="537">
        <f>'BD Team'!F98</f>
        <v>0</v>
      </c>
      <c r="O996" s="538"/>
    </row>
    <row r="997" spans="3:15">
      <c r="C997" s="534"/>
      <c r="D997" s="534"/>
      <c r="E997" s="534"/>
      <c r="F997" s="534"/>
      <c r="G997" s="534"/>
      <c r="H997" s="534"/>
      <c r="I997" s="534"/>
      <c r="J997" s="534"/>
      <c r="K997" s="534"/>
      <c r="L997" s="534"/>
      <c r="M997" s="534"/>
      <c r="N997" s="534"/>
      <c r="O997" s="534"/>
    </row>
    <row r="998" spans="3:15" ht="25.15" customHeight="1">
      <c r="C998" s="535" t="s">
        <v>254</v>
      </c>
      <c r="D998" s="536"/>
      <c r="E998" s="289">
        <f>'BD Team'!B99</f>
        <v>0</v>
      </c>
      <c r="F998" s="288" t="s">
        <v>255</v>
      </c>
      <c r="G998" s="537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5" t="s">
        <v>127</v>
      </c>
      <c r="M999" s="536"/>
      <c r="N999" s="540">
        <f>'BD Team'!G99</f>
        <v>0</v>
      </c>
      <c r="O999" s="541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5" t="s">
        <v>247</v>
      </c>
      <c r="M1000" s="536"/>
      <c r="N1000" s="538" t="str">
        <f>$F$6</f>
        <v>Anodised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5" t="s">
        <v>178</v>
      </c>
      <c r="M1001" s="536"/>
      <c r="N1001" s="538" t="str">
        <f>$K$6</f>
        <v>Silver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5" t="s">
        <v>248</v>
      </c>
      <c r="M1002" s="536"/>
      <c r="N1002" s="541" t="s">
        <v>256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5" t="s">
        <v>249</v>
      </c>
      <c r="M1003" s="536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5" t="s">
        <v>250</v>
      </c>
      <c r="M1004" s="536"/>
      <c r="N1004" s="537">
        <f>'BD Team'!J99</f>
        <v>0</v>
      </c>
      <c r="O1004" s="537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5" t="s">
        <v>251</v>
      </c>
      <c r="M1005" s="536"/>
      <c r="N1005" s="537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5" t="s">
        <v>252</v>
      </c>
      <c r="M1006" s="536"/>
      <c r="N1006" s="537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5" t="s">
        <v>253</v>
      </c>
      <c r="M1007" s="536"/>
      <c r="N1007" s="537">
        <f>'BD Team'!F99</f>
        <v>0</v>
      </c>
      <c r="O1007" s="538"/>
    </row>
    <row r="1008" spans="3:15">
      <c r="C1008" s="534"/>
      <c r="D1008" s="534"/>
      <c r="E1008" s="534"/>
      <c r="F1008" s="534"/>
      <c r="G1008" s="534"/>
      <c r="H1008" s="534"/>
      <c r="I1008" s="534"/>
      <c r="J1008" s="534"/>
      <c r="K1008" s="534"/>
      <c r="L1008" s="534"/>
      <c r="M1008" s="534"/>
      <c r="N1008" s="534"/>
      <c r="O1008" s="534"/>
    </row>
    <row r="1009" spans="3:15" ht="25.15" customHeight="1">
      <c r="C1009" s="535" t="s">
        <v>254</v>
      </c>
      <c r="D1009" s="536"/>
      <c r="E1009" s="289">
        <f>'BD Team'!B100</f>
        <v>0</v>
      </c>
      <c r="F1009" s="288" t="s">
        <v>255</v>
      </c>
      <c r="G1009" s="537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5" t="s">
        <v>127</v>
      </c>
      <c r="M1010" s="536"/>
      <c r="N1010" s="540">
        <f>'BD Team'!G100</f>
        <v>0</v>
      </c>
      <c r="O1010" s="541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5" t="s">
        <v>247</v>
      </c>
      <c r="M1011" s="536"/>
      <c r="N1011" s="538" t="str">
        <f>$F$6</f>
        <v>Anodised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5" t="s">
        <v>178</v>
      </c>
      <c r="M1012" s="536"/>
      <c r="N1012" s="538" t="str">
        <f>$K$6</f>
        <v>Silver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5" t="s">
        <v>248</v>
      </c>
      <c r="M1013" s="536"/>
      <c r="N1013" s="541" t="s">
        <v>256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5" t="s">
        <v>249</v>
      </c>
      <c r="M1014" s="536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5" t="s">
        <v>250</v>
      </c>
      <c r="M1015" s="536"/>
      <c r="N1015" s="537">
        <f>'BD Team'!J100</f>
        <v>0</v>
      </c>
      <c r="O1015" s="537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5" t="s">
        <v>251</v>
      </c>
      <c r="M1016" s="536"/>
      <c r="N1016" s="537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5" t="s">
        <v>252</v>
      </c>
      <c r="M1017" s="536"/>
      <c r="N1017" s="537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5" t="s">
        <v>253</v>
      </c>
      <c r="M1018" s="536"/>
      <c r="N1018" s="537">
        <f>'BD Team'!F100</f>
        <v>0</v>
      </c>
      <c r="O1018" s="538"/>
    </row>
    <row r="1019" spans="3:15">
      <c r="C1019" s="534"/>
      <c r="D1019" s="534"/>
      <c r="E1019" s="534"/>
      <c r="F1019" s="534"/>
      <c r="G1019" s="534"/>
      <c r="H1019" s="534"/>
      <c r="I1019" s="534"/>
      <c r="J1019" s="534"/>
      <c r="K1019" s="534"/>
      <c r="L1019" s="534"/>
      <c r="M1019" s="534"/>
      <c r="N1019" s="534"/>
      <c r="O1019" s="534"/>
    </row>
    <row r="1020" spans="3:15" ht="25.15" customHeight="1">
      <c r="C1020" s="535" t="s">
        <v>254</v>
      </c>
      <c r="D1020" s="536"/>
      <c r="E1020" s="289">
        <f>'BD Team'!B101</f>
        <v>0</v>
      </c>
      <c r="F1020" s="288" t="s">
        <v>255</v>
      </c>
      <c r="G1020" s="537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5" t="s">
        <v>127</v>
      </c>
      <c r="M1021" s="536"/>
      <c r="N1021" s="540">
        <f>'BD Team'!G101</f>
        <v>0</v>
      </c>
      <c r="O1021" s="541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5" t="s">
        <v>247</v>
      </c>
      <c r="M1022" s="536"/>
      <c r="N1022" s="538" t="str">
        <f>$F$6</f>
        <v>Anodised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5" t="s">
        <v>178</v>
      </c>
      <c r="M1023" s="536"/>
      <c r="N1023" s="538" t="str">
        <f>$K$6</f>
        <v>Silver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5" t="s">
        <v>248</v>
      </c>
      <c r="M1024" s="536"/>
      <c r="N1024" s="541" t="s">
        <v>256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5" t="s">
        <v>249</v>
      </c>
      <c r="M1025" s="536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5" t="s">
        <v>250</v>
      </c>
      <c r="M1026" s="536"/>
      <c r="N1026" s="537">
        <f>'BD Team'!J101</f>
        <v>0</v>
      </c>
      <c r="O1026" s="537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5" t="s">
        <v>251</v>
      </c>
      <c r="M1027" s="536"/>
      <c r="N1027" s="537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5" t="s">
        <v>252</v>
      </c>
      <c r="M1028" s="536"/>
      <c r="N1028" s="537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5" t="s">
        <v>253</v>
      </c>
      <c r="M1029" s="536"/>
      <c r="N1029" s="537">
        <f>'BD Team'!F101</f>
        <v>0</v>
      </c>
      <c r="O1029" s="538"/>
    </row>
    <row r="1030" spans="3:15">
      <c r="C1030" s="534"/>
      <c r="D1030" s="534"/>
      <c r="E1030" s="534"/>
      <c r="F1030" s="534"/>
      <c r="G1030" s="534"/>
      <c r="H1030" s="534"/>
      <c r="I1030" s="534"/>
      <c r="J1030" s="534"/>
      <c r="K1030" s="534"/>
      <c r="L1030" s="534"/>
      <c r="M1030" s="534"/>
      <c r="N1030" s="534"/>
      <c r="O1030" s="534"/>
    </row>
    <row r="1031" spans="3:15" ht="25.15" customHeight="1">
      <c r="C1031" s="535" t="s">
        <v>254</v>
      </c>
      <c r="D1031" s="536"/>
      <c r="E1031" s="289">
        <f>'BD Team'!B102</f>
        <v>0</v>
      </c>
      <c r="F1031" s="288" t="s">
        <v>255</v>
      </c>
      <c r="G1031" s="537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5" t="s">
        <v>127</v>
      </c>
      <c r="M1032" s="536"/>
      <c r="N1032" s="540">
        <f>'BD Team'!G102</f>
        <v>0</v>
      </c>
      <c r="O1032" s="541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5" t="s">
        <v>247</v>
      </c>
      <c r="M1033" s="536"/>
      <c r="N1033" s="538" t="str">
        <f>$F$6</f>
        <v>Anodised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5" t="s">
        <v>178</v>
      </c>
      <c r="M1034" s="536"/>
      <c r="N1034" s="538" t="str">
        <f>$K$6</f>
        <v>Silver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5" t="s">
        <v>248</v>
      </c>
      <c r="M1035" s="536"/>
      <c r="N1035" s="541" t="s">
        <v>256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5" t="s">
        <v>249</v>
      </c>
      <c r="M1036" s="536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5" t="s">
        <v>250</v>
      </c>
      <c r="M1037" s="536"/>
      <c r="N1037" s="537">
        <f>'BD Team'!J102</f>
        <v>0</v>
      </c>
      <c r="O1037" s="537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5" t="s">
        <v>251</v>
      </c>
      <c r="M1038" s="536"/>
      <c r="N1038" s="537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5" t="s">
        <v>252</v>
      </c>
      <c r="M1039" s="536"/>
      <c r="N1039" s="537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5" t="s">
        <v>253</v>
      </c>
      <c r="M1040" s="536"/>
      <c r="N1040" s="537">
        <f>'BD Team'!F102</f>
        <v>0</v>
      </c>
      <c r="O1040" s="538"/>
    </row>
    <row r="1041" spans="3:15">
      <c r="C1041" s="534"/>
      <c r="D1041" s="534"/>
      <c r="E1041" s="534"/>
      <c r="F1041" s="534"/>
      <c r="G1041" s="534"/>
      <c r="H1041" s="534"/>
      <c r="I1041" s="534"/>
      <c r="J1041" s="534"/>
      <c r="K1041" s="534"/>
      <c r="L1041" s="534"/>
      <c r="M1041" s="534"/>
      <c r="N1041" s="534"/>
      <c r="O1041" s="534"/>
    </row>
    <row r="1042" spans="3:15" ht="25.15" customHeight="1">
      <c r="C1042" s="535" t="s">
        <v>254</v>
      </c>
      <c r="D1042" s="536"/>
      <c r="E1042" s="289">
        <f>'BD Team'!B103</f>
        <v>0</v>
      </c>
      <c r="F1042" s="288" t="s">
        <v>255</v>
      </c>
      <c r="G1042" s="537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5" t="s">
        <v>127</v>
      </c>
      <c r="M1043" s="536"/>
      <c r="N1043" s="540">
        <f>'BD Team'!G103</f>
        <v>0</v>
      </c>
      <c r="O1043" s="541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5" t="s">
        <v>247</v>
      </c>
      <c r="M1044" s="536"/>
      <c r="N1044" s="538" t="str">
        <f>$F$6</f>
        <v>Anodised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5" t="s">
        <v>178</v>
      </c>
      <c r="M1045" s="536"/>
      <c r="N1045" s="538" t="str">
        <f>$K$6</f>
        <v>Silver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5" t="s">
        <v>248</v>
      </c>
      <c r="M1046" s="536"/>
      <c r="N1046" s="541" t="s">
        <v>256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5" t="s">
        <v>249</v>
      </c>
      <c r="M1047" s="536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5" t="s">
        <v>250</v>
      </c>
      <c r="M1048" s="536"/>
      <c r="N1048" s="537">
        <f>'BD Team'!J103</f>
        <v>0</v>
      </c>
      <c r="O1048" s="537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5" t="s">
        <v>251</v>
      </c>
      <c r="M1049" s="536"/>
      <c r="N1049" s="537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5" t="s">
        <v>252</v>
      </c>
      <c r="M1050" s="536"/>
      <c r="N1050" s="537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5" t="s">
        <v>253</v>
      </c>
      <c r="M1051" s="536"/>
      <c r="N1051" s="537">
        <f>'BD Team'!F103</f>
        <v>0</v>
      </c>
      <c r="O1051" s="538"/>
    </row>
    <row r="1052" spans="3:15">
      <c r="C1052" s="534"/>
      <c r="D1052" s="534"/>
      <c r="E1052" s="534"/>
      <c r="F1052" s="534"/>
      <c r="G1052" s="534"/>
      <c r="H1052" s="534"/>
      <c r="I1052" s="534"/>
      <c r="J1052" s="534"/>
      <c r="K1052" s="534"/>
      <c r="L1052" s="534"/>
      <c r="M1052" s="534"/>
      <c r="N1052" s="534"/>
      <c r="O1052" s="534"/>
    </row>
    <row r="1053" spans="3:15" ht="25.15" customHeight="1">
      <c r="C1053" s="535" t="s">
        <v>254</v>
      </c>
      <c r="D1053" s="536"/>
      <c r="E1053" s="289">
        <f>'BD Team'!B104</f>
        <v>0</v>
      </c>
      <c r="F1053" s="288" t="s">
        <v>255</v>
      </c>
      <c r="G1053" s="537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5" t="s">
        <v>127</v>
      </c>
      <c r="M1054" s="536"/>
      <c r="N1054" s="540">
        <f>'BD Team'!G104</f>
        <v>0</v>
      </c>
      <c r="O1054" s="541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5" t="s">
        <v>247</v>
      </c>
      <c r="M1055" s="536"/>
      <c r="N1055" s="538" t="str">
        <f>$F$6</f>
        <v>Anodised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5" t="s">
        <v>178</v>
      </c>
      <c r="M1056" s="536"/>
      <c r="N1056" s="538" t="str">
        <f>$K$6</f>
        <v>Silver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5" t="s">
        <v>248</v>
      </c>
      <c r="M1057" s="536"/>
      <c r="N1057" s="541" t="s">
        <v>256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5" t="s">
        <v>249</v>
      </c>
      <c r="M1058" s="536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5" t="s">
        <v>250</v>
      </c>
      <c r="M1059" s="536"/>
      <c r="N1059" s="537">
        <f>'BD Team'!J104</f>
        <v>0</v>
      </c>
      <c r="O1059" s="537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5" t="s">
        <v>251</v>
      </c>
      <c r="M1060" s="536"/>
      <c r="N1060" s="537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5" t="s">
        <v>252</v>
      </c>
      <c r="M1061" s="536"/>
      <c r="N1061" s="537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5" t="s">
        <v>253</v>
      </c>
      <c r="M1062" s="536"/>
      <c r="N1062" s="537">
        <f>'BD Team'!F104</f>
        <v>0</v>
      </c>
      <c r="O1062" s="538"/>
    </row>
    <row r="1063" spans="3:15">
      <c r="C1063" s="534"/>
      <c r="D1063" s="534"/>
      <c r="E1063" s="534"/>
      <c r="F1063" s="534"/>
      <c r="G1063" s="534"/>
      <c r="H1063" s="534"/>
      <c r="I1063" s="534"/>
      <c r="J1063" s="534"/>
      <c r="K1063" s="534"/>
      <c r="L1063" s="534"/>
      <c r="M1063" s="534"/>
      <c r="N1063" s="534"/>
      <c r="O1063" s="534"/>
    </row>
    <row r="1064" spans="3:15" ht="25.15" customHeight="1">
      <c r="C1064" s="535" t="s">
        <v>254</v>
      </c>
      <c r="D1064" s="536"/>
      <c r="E1064" s="289">
        <f>'BD Team'!B105</f>
        <v>0</v>
      </c>
      <c r="F1064" s="288" t="s">
        <v>255</v>
      </c>
      <c r="G1064" s="537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5" t="s">
        <v>127</v>
      </c>
      <c r="M1065" s="536"/>
      <c r="N1065" s="540">
        <f>'BD Team'!G105</f>
        <v>0</v>
      </c>
      <c r="O1065" s="541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5" t="s">
        <v>247</v>
      </c>
      <c r="M1066" s="536"/>
      <c r="N1066" s="538" t="str">
        <f>$F$6</f>
        <v>Anodised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5" t="s">
        <v>178</v>
      </c>
      <c r="M1067" s="536"/>
      <c r="N1067" s="538" t="str">
        <f>$K$6</f>
        <v>Silver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5" t="s">
        <v>248</v>
      </c>
      <c r="M1068" s="536"/>
      <c r="N1068" s="541" t="s">
        <v>256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5" t="s">
        <v>249</v>
      </c>
      <c r="M1069" s="536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5" t="s">
        <v>250</v>
      </c>
      <c r="M1070" s="536"/>
      <c r="N1070" s="537">
        <f>'BD Team'!J105</f>
        <v>0</v>
      </c>
      <c r="O1070" s="537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5" t="s">
        <v>251</v>
      </c>
      <c r="M1071" s="536"/>
      <c r="N1071" s="537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5" t="s">
        <v>252</v>
      </c>
      <c r="M1072" s="536"/>
      <c r="N1072" s="537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5" t="s">
        <v>253</v>
      </c>
      <c r="M1073" s="536"/>
      <c r="N1073" s="537">
        <f>'BD Team'!F105</f>
        <v>0</v>
      </c>
      <c r="O1073" s="538"/>
    </row>
    <row r="1074" spans="3:15">
      <c r="C1074" s="534"/>
      <c r="D1074" s="534"/>
      <c r="E1074" s="534"/>
      <c r="F1074" s="534"/>
      <c r="G1074" s="534"/>
      <c r="H1074" s="534"/>
      <c r="I1074" s="534"/>
      <c r="J1074" s="534"/>
      <c r="K1074" s="534"/>
      <c r="L1074" s="534"/>
      <c r="M1074" s="534"/>
      <c r="N1074" s="534"/>
      <c r="O1074" s="534"/>
    </row>
    <row r="1075" spans="3:15" ht="25.15" customHeight="1">
      <c r="C1075" s="535" t="s">
        <v>254</v>
      </c>
      <c r="D1075" s="536"/>
      <c r="E1075" s="289">
        <f>'BD Team'!B106</f>
        <v>0</v>
      </c>
      <c r="F1075" s="288" t="s">
        <v>255</v>
      </c>
      <c r="G1075" s="537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5" t="s">
        <v>127</v>
      </c>
      <c r="M1076" s="536"/>
      <c r="N1076" s="540">
        <f>'BD Team'!G106</f>
        <v>0</v>
      </c>
      <c r="O1076" s="541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5" t="s">
        <v>247</v>
      </c>
      <c r="M1077" s="536"/>
      <c r="N1077" s="538" t="str">
        <f>$F$6</f>
        <v>Anodised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5" t="s">
        <v>178</v>
      </c>
      <c r="M1078" s="536"/>
      <c r="N1078" s="538" t="str">
        <f>$K$6</f>
        <v>Silver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5" t="s">
        <v>248</v>
      </c>
      <c r="M1079" s="536"/>
      <c r="N1079" s="541" t="s">
        <v>256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5" t="s">
        <v>249</v>
      </c>
      <c r="M1080" s="536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5" t="s">
        <v>250</v>
      </c>
      <c r="M1081" s="536"/>
      <c r="N1081" s="537">
        <f>'BD Team'!J106</f>
        <v>0</v>
      </c>
      <c r="O1081" s="537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5" t="s">
        <v>251</v>
      </c>
      <c r="M1082" s="536"/>
      <c r="N1082" s="537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5" t="s">
        <v>252</v>
      </c>
      <c r="M1083" s="536"/>
      <c r="N1083" s="537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5" t="s">
        <v>253</v>
      </c>
      <c r="M1084" s="536"/>
      <c r="N1084" s="537">
        <f>'BD Team'!F106</f>
        <v>0</v>
      </c>
      <c r="O1084" s="538"/>
    </row>
    <row r="1085" spans="3:15">
      <c r="C1085" s="534"/>
      <c r="D1085" s="534"/>
      <c r="E1085" s="534"/>
      <c r="F1085" s="534"/>
      <c r="G1085" s="534"/>
      <c r="H1085" s="534"/>
      <c r="I1085" s="534"/>
      <c r="J1085" s="534"/>
      <c r="K1085" s="534"/>
      <c r="L1085" s="534"/>
      <c r="M1085" s="534"/>
      <c r="N1085" s="534"/>
      <c r="O1085" s="534"/>
    </row>
    <row r="1086" spans="3:15" ht="25.15" customHeight="1">
      <c r="C1086" s="535" t="s">
        <v>254</v>
      </c>
      <c r="D1086" s="536"/>
      <c r="E1086" s="289">
        <f>'BD Team'!B107</f>
        <v>0</v>
      </c>
      <c r="F1086" s="288" t="s">
        <v>255</v>
      </c>
      <c r="G1086" s="537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5" t="s">
        <v>127</v>
      </c>
      <c r="M1087" s="536"/>
      <c r="N1087" s="540">
        <f>'BD Team'!G107</f>
        <v>0</v>
      </c>
      <c r="O1087" s="541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5" t="s">
        <v>247</v>
      </c>
      <c r="M1088" s="536"/>
      <c r="N1088" s="538" t="str">
        <f>$F$6</f>
        <v>Anodised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5" t="s">
        <v>178</v>
      </c>
      <c r="M1089" s="536"/>
      <c r="N1089" s="538" t="str">
        <f>$K$6</f>
        <v>Silver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5" t="s">
        <v>248</v>
      </c>
      <c r="M1090" s="536"/>
      <c r="N1090" s="541" t="s">
        <v>256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5" t="s">
        <v>249</v>
      </c>
      <c r="M1091" s="536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5" t="s">
        <v>250</v>
      </c>
      <c r="M1092" s="536"/>
      <c r="N1092" s="537">
        <f>'BD Team'!J107</f>
        <v>0</v>
      </c>
      <c r="O1092" s="537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5" t="s">
        <v>251</v>
      </c>
      <c r="M1093" s="536"/>
      <c r="N1093" s="537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5" t="s">
        <v>252</v>
      </c>
      <c r="M1094" s="536"/>
      <c r="N1094" s="537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5" t="s">
        <v>253</v>
      </c>
      <c r="M1095" s="536"/>
      <c r="N1095" s="537">
        <f>'BD Team'!F107</f>
        <v>0</v>
      </c>
      <c r="O1095" s="538"/>
    </row>
    <row r="1096" spans="3:15">
      <c r="C1096" s="534"/>
      <c r="D1096" s="534"/>
      <c r="E1096" s="534"/>
      <c r="F1096" s="534"/>
      <c r="G1096" s="534"/>
      <c r="H1096" s="534"/>
      <c r="I1096" s="534"/>
      <c r="J1096" s="534"/>
      <c r="K1096" s="534"/>
      <c r="L1096" s="534"/>
      <c r="M1096" s="534"/>
      <c r="N1096" s="534"/>
      <c r="O1096" s="534"/>
    </row>
    <row r="1097" spans="3:15" ht="25.15" customHeight="1">
      <c r="C1097" s="535" t="s">
        <v>254</v>
      </c>
      <c r="D1097" s="536"/>
      <c r="E1097" s="289">
        <f>'BD Team'!B108</f>
        <v>0</v>
      </c>
      <c r="F1097" s="288" t="s">
        <v>255</v>
      </c>
      <c r="G1097" s="537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5" t="s">
        <v>127</v>
      </c>
      <c r="M1098" s="536"/>
      <c r="N1098" s="540">
        <f>'BD Team'!G108</f>
        <v>0</v>
      </c>
      <c r="O1098" s="541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5" t="s">
        <v>247</v>
      </c>
      <c r="M1099" s="536"/>
      <c r="N1099" s="538" t="str">
        <f>$F$6</f>
        <v>Anodised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5" t="s">
        <v>178</v>
      </c>
      <c r="M1100" s="536"/>
      <c r="N1100" s="538" t="str">
        <f>$K$6</f>
        <v>Silver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5" t="s">
        <v>248</v>
      </c>
      <c r="M1101" s="536"/>
      <c r="N1101" s="541" t="s">
        <v>256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5" t="s">
        <v>249</v>
      </c>
      <c r="M1102" s="536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5" t="s">
        <v>250</v>
      </c>
      <c r="M1103" s="536"/>
      <c r="N1103" s="537">
        <f>'BD Team'!J108</f>
        <v>0</v>
      </c>
      <c r="O1103" s="537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5" t="s">
        <v>251</v>
      </c>
      <c r="M1104" s="536"/>
      <c r="N1104" s="537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5" t="s">
        <v>252</v>
      </c>
      <c r="M1105" s="536"/>
      <c r="N1105" s="537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5" t="s">
        <v>253</v>
      </c>
      <c r="M1106" s="536"/>
      <c r="N1106" s="537">
        <f>'BD Team'!F108</f>
        <v>0</v>
      </c>
      <c r="O1106" s="538"/>
    </row>
    <row r="1107" spans="3:15">
      <c r="C1107" s="534"/>
      <c r="D1107" s="534"/>
      <c r="E1107" s="534"/>
      <c r="F1107" s="534"/>
      <c r="G1107" s="534"/>
      <c r="H1107" s="534"/>
      <c r="I1107" s="534"/>
      <c r="J1107" s="534"/>
      <c r="K1107" s="534"/>
      <c r="L1107" s="534"/>
      <c r="M1107" s="534"/>
      <c r="N1107" s="534"/>
      <c r="O1107" s="534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9" t="str">
        <f>CONCATENATE(C10,"+",C11,"+",C12,"+",C13,"+",C14)</f>
        <v>8mm CTG+28MM+10MM CTG++</v>
      </c>
      <c r="C9" s="550"/>
      <c r="D9" s="550"/>
      <c r="E9" s="550"/>
      <c r="F9" s="550"/>
      <c r="G9" t="s">
        <v>263</v>
      </c>
      <c r="H9">
        <f>E24</f>
        <v>4250.4134400000003</v>
      </c>
      <c r="J9" s="549" t="str">
        <f>CONCATENATE(K10,"+",K11,"+",K12,"+",K13,"+",K14)</f>
        <v>8mm CTG+28MM+10MM CTG++</v>
      </c>
      <c r="K9" s="550"/>
      <c r="L9" s="550"/>
      <c r="M9" s="550"/>
      <c r="N9" s="550"/>
      <c r="P9" s="549" t="str">
        <f>CONCATENATE(Q10,"+",Q11,"+",Q12,"+",Q13,"+",Q14)</f>
        <v>8mm CTG+12MM+8MM CTG++</v>
      </c>
      <c r="Q9" s="550"/>
      <c r="R9" s="550"/>
      <c r="S9" s="550"/>
      <c r="T9" s="550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1" t="s">
        <v>102</v>
      </c>
      <c r="C19" s="551"/>
      <c r="D19" s="551"/>
      <c r="E19" s="107">
        <f>SUM(E10:E18)</f>
        <v>3339</v>
      </c>
      <c r="F19" s="107"/>
      <c r="J19" s="551" t="s">
        <v>102</v>
      </c>
      <c r="K19" s="551"/>
      <c r="L19" s="551"/>
      <c r="M19" s="233">
        <f>SUM(M10:M18)</f>
        <v>3339</v>
      </c>
      <c r="N19" s="233"/>
      <c r="P19" s="551" t="s">
        <v>102</v>
      </c>
      <c r="Q19" s="551"/>
      <c r="R19" s="551"/>
      <c r="S19" s="233">
        <f>SUM(S10:S18)</f>
        <v>3129</v>
      </c>
      <c r="T19" s="233"/>
    </row>
    <row r="20" spans="2:20" ht="15">
      <c r="B20" s="547" t="s">
        <v>87</v>
      </c>
      <c r="C20" s="546"/>
      <c r="D20" s="106">
        <v>0.02</v>
      </c>
      <c r="E20" s="105">
        <f>E19*D20</f>
        <v>66.78</v>
      </c>
      <c r="F20" s="105"/>
      <c r="J20" s="547" t="s">
        <v>87</v>
      </c>
      <c r="K20" s="546"/>
      <c r="L20" s="106">
        <v>0.02</v>
      </c>
      <c r="M20" s="230">
        <f>M19*L20</f>
        <v>66.78</v>
      </c>
      <c r="N20" s="230"/>
      <c r="P20" s="547" t="s">
        <v>87</v>
      </c>
      <c r="Q20" s="546"/>
      <c r="R20" s="106">
        <v>0.02</v>
      </c>
      <c r="S20" s="230">
        <f>S19*R20</f>
        <v>62.58</v>
      </c>
      <c r="T20" s="230"/>
    </row>
    <row r="21" spans="2:20" ht="15">
      <c r="B21" s="546" t="s">
        <v>122</v>
      </c>
      <c r="C21" s="546"/>
      <c r="D21" s="106">
        <v>0.04</v>
      </c>
      <c r="E21" s="105">
        <f>SUM(E19:E20)*D21</f>
        <v>136.2312</v>
      </c>
      <c r="F21" s="105"/>
      <c r="J21" s="546" t="s">
        <v>122</v>
      </c>
      <c r="K21" s="546"/>
      <c r="L21" s="106">
        <v>0.04</v>
      </c>
      <c r="M21" s="230">
        <f>SUM(M19:M20)*L21</f>
        <v>136.2312</v>
      </c>
      <c r="N21" s="230"/>
      <c r="P21" s="546" t="s">
        <v>122</v>
      </c>
      <c r="Q21" s="546"/>
      <c r="R21" s="106">
        <v>0.04</v>
      </c>
      <c r="S21" s="230">
        <f>SUM(S19:S20)*R21</f>
        <v>127.6632</v>
      </c>
      <c r="T21" s="230"/>
    </row>
    <row r="22" spans="2:20" ht="15">
      <c r="B22" s="546" t="s">
        <v>4</v>
      </c>
      <c r="C22" s="546"/>
      <c r="D22" s="106">
        <v>0.2</v>
      </c>
      <c r="E22" s="124">
        <f>SUM(E19:E21)*D22</f>
        <v>708.40224000000012</v>
      </c>
      <c r="F22" s="124"/>
      <c r="J22" s="546" t="s">
        <v>4</v>
      </c>
      <c r="K22" s="546"/>
      <c r="L22" s="106">
        <v>0.2</v>
      </c>
      <c r="M22" s="230">
        <f>SUM(M19:M21)*L22</f>
        <v>708.40224000000012</v>
      </c>
      <c r="N22" s="230"/>
      <c r="P22" s="546" t="s">
        <v>4</v>
      </c>
      <c r="Q22" s="546"/>
      <c r="R22" s="106">
        <v>0.2</v>
      </c>
      <c r="S22" s="230">
        <f>SUM(S19:S21)*R22</f>
        <v>663.84864000000005</v>
      </c>
      <c r="T22" s="230"/>
    </row>
    <row r="23" spans="2:20" ht="15">
      <c r="B23" s="547" t="s">
        <v>128</v>
      </c>
      <c r="C23" s="546"/>
      <c r="D23" s="106">
        <v>0</v>
      </c>
      <c r="E23" s="105">
        <f>SUM(E19:E22)*D23</f>
        <v>0</v>
      </c>
      <c r="F23" s="105"/>
      <c r="J23" s="547" t="s">
        <v>128</v>
      </c>
      <c r="K23" s="546"/>
      <c r="L23" s="106">
        <v>0</v>
      </c>
      <c r="M23" s="230">
        <f>SUM(M19:M22)*L23</f>
        <v>0</v>
      </c>
      <c r="N23" s="230"/>
      <c r="P23" s="547" t="s">
        <v>128</v>
      </c>
      <c r="Q23" s="546"/>
      <c r="R23" s="106">
        <v>0</v>
      </c>
      <c r="S23" s="230">
        <f>SUM(S19:S22)*R23</f>
        <v>0</v>
      </c>
      <c r="T23" s="230"/>
    </row>
    <row r="24" spans="2:20" ht="15">
      <c r="B24" s="548" t="s">
        <v>123</v>
      </c>
      <c r="C24" s="548"/>
      <c r="D24" s="548"/>
      <c r="E24" s="108">
        <f>SUM(E19:E23)</f>
        <v>4250.4134400000003</v>
      </c>
      <c r="F24" s="109" t="s">
        <v>124</v>
      </c>
      <c r="J24" s="548" t="s">
        <v>123</v>
      </c>
      <c r="K24" s="548"/>
      <c r="L24" s="548"/>
      <c r="M24" s="108">
        <f>SUM(M19:M23)</f>
        <v>4250.4134400000003</v>
      </c>
      <c r="N24" s="232" t="s">
        <v>124</v>
      </c>
      <c r="P24" s="548" t="s">
        <v>123</v>
      </c>
      <c r="Q24" s="548"/>
      <c r="R24" s="548"/>
      <c r="S24" s="108">
        <f>SUM(S19:S23)</f>
        <v>3983.09184</v>
      </c>
      <c r="T24" s="232" t="s">
        <v>124</v>
      </c>
    </row>
    <row r="25" spans="2:20" ht="15">
      <c r="B25" s="546"/>
      <c r="C25" s="546"/>
      <c r="D25" s="105"/>
      <c r="E25" s="110">
        <f>E24/10.764</f>
        <v>394.87304347826091</v>
      </c>
      <c r="F25" s="111" t="s">
        <v>125</v>
      </c>
      <c r="J25" s="546"/>
      <c r="K25" s="546"/>
      <c r="L25" s="230"/>
      <c r="M25" s="110">
        <f>M24/10.764</f>
        <v>394.87304347826091</v>
      </c>
      <c r="N25" s="111" t="s">
        <v>125</v>
      </c>
      <c r="P25" s="546"/>
      <c r="Q25" s="546"/>
      <c r="R25" s="230"/>
      <c r="S25" s="110">
        <f>S24/10.764</f>
        <v>370.03826086956525</v>
      </c>
      <c r="T25" s="111" t="s">
        <v>125</v>
      </c>
    </row>
    <row r="28" spans="2:20" ht="15">
      <c r="B28" s="549" t="str">
        <f>CONCATENATE(C29,"+",C30,"+",C31,"+",C32,"+",C33)</f>
        <v>6mm CTG+12MM+6mm CTG++</v>
      </c>
      <c r="C28" s="550"/>
      <c r="D28" s="550"/>
      <c r="E28" s="550"/>
      <c r="F28" s="550"/>
      <c r="J28" s="549" t="str">
        <f>CONCATENATE(K29,"+",K30,"+",K31,"+",K32,"+",K33)</f>
        <v>6mm CTG+12MM+6mm CTG++</v>
      </c>
      <c r="K28" s="550"/>
      <c r="L28" s="550"/>
      <c r="M28" s="550"/>
      <c r="N28" s="550"/>
      <c r="P28" s="549" t="str">
        <f>CONCATENATE(Q29,"+",Q30,"+",Q31,"+",Q32,"+",Q33)</f>
        <v>8mm CTG+1.52mm pvb+8MM CTG++</v>
      </c>
      <c r="Q28" s="550"/>
      <c r="R28" s="550"/>
      <c r="S28" s="550"/>
      <c r="T28" s="550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1" t="s">
        <v>102</v>
      </c>
      <c r="C38" s="551"/>
      <c r="D38" s="551"/>
      <c r="E38" s="224">
        <f>SUM(E29:E37)</f>
        <v>2625</v>
      </c>
      <c r="F38" s="224"/>
      <c r="J38" s="551" t="s">
        <v>102</v>
      </c>
      <c r="K38" s="551"/>
      <c r="L38" s="551"/>
      <c r="M38" s="233">
        <f>SUM(M29:M37)</f>
        <v>3412.5</v>
      </c>
      <c r="N38" s="233"/>
      <c r="P38" s="551" t="s">
        <v>102</v>
      </c>
      <c r="Q38" s="551"/>
      <c r="R38" s="551"/>
      <c r="S38" s="233">
        <f>SUM(S29:S37)</f>
        <v>4179</v>
      </c>
      <c r="T38" s="233"/>
    </row>
    <row r="39" spans="2:20" ht="15">
      <c r="B39" s="547" t="s">
        <v>87</v>
      </c>
      <c r="C39" s="546"/>
      <c r="D39" s="106">
        <v>0.02</v>
      </c>
      <c r="E39" s="221">
        <f>E38*D39</f>
        <v>52.5</v>
      </c>
      <c r="F39" s="221"/>
      <c r="J39" s="547" t="s">
        <v>87</v>
      </c>
      <c r="K39" s="546"/>
      <c r="L39" s="106">
        <v>0.02</v>
      </c>
      <c r="M39" s="230">
        <f>M38*L39</f>
        <v>68.25</v>
      </c>
      <c r="N39" s="230"/>
      <c r="P39" s="547" t="s">
        <v>87</v>
      </c>
      <c r="Q39" s="546"/>
      <c r="R39" s="106">
        <v>0.02</v>
      </c>
      <c r="S39" s="230">
        <f>S38*R39</f>
        <v>83.58</v>
      </c>
      <c r="T39" s="230"/>
    </row>
    <row r="40" spans="2:20" ht="15">
      <c r="B40" s="546" t="s">
        <v>122</v>
      </c>
      <c r="C40" s="546"/>
      <c r="D40" s="106">
        <v>0.04</v>
      </c>
      <c r="E40" s="221">
        <f>SUM(E38:E39)*D40</f>
        <v>107.10000000000001</v>
      </c>
      <c r="F40" s="221"/>
      <c r="J40" s="546" t="s">
        <v>122</v>
      </c>
      <c r="K40" s="546"/>
      <c r="L40" s="106">
        <v>0.04</v>
      </c>
      <c r="M40" s="230">
        <f>SUM(M38:M39)*L40</f>
        <v>139.22999999999999</v>
      </c>
      <c r="N40" s="230"/>
      <c r="P40" s="546" t="s">
        <v>122</v>
      </c>
      <c r="Q40" s="546"/>
      <c r="R40" s="106">
        <v>0.04</v>
      </c>
      <c r="S40" s="230">
        <f>SUM(S38:S39)*R40</f>
        <v>170.50319999999999</v>
      </c>
      <c r="T40" s="230"/>
    </row>
    <row r="41" spans="2:20" ht="15">
      <c r="B41" s="546" t="s">
        <v>4</v>
      </c>
      <c r="C41" s="546"/>
      <c r="D41" s="106">
        <v>0.2</v>
      </c>
      <c r="E41" s="221">
        <f>SUM(E38:E40)*D41</f>
        <v>556.91999999999996</v>
      </c>
      <c r="F41" s="221"/>
      <c r="J41" s="546" t="s">
        <v>4</v>
      </c>
      <c r="K41" s="546"/>
      <c r="L41" s="106">
        <v>0.2</v>
      </c>
      <c r="M41" s="230">
        <f>SUM(M38:M40)*L41</f>
        <v>723.99600000000009</v>
      </c>
      <c r="N41" s="230"/>
      <c r="P41" s="546" t="s">
        <v>4</v>
      </c>
      <c r="Q41" s="546"/>
      <c r="R41" s="106">
        <v>0.2</v>
      </c>
      <c r="S41" s="230">
        <f>SUM(S38:S40)*R41</f>
        <v>886.61664000000007</v>
      </c>
      <c r="T41" s="230"/>
    </row>
    <row r="42" spans="2:20" ht="15">
      <c r="B42" s="547" t="s">
        <v>128</v>
      </c>
      <c r="C42" s="546"/>
      <c r="D42" s="106">
        <v>0</v>
      </c>
      <c r="E42" s="221">
        <f>SUM(E38:E41)*D42</f>
        <v>0</v>
      </c>
      <c r="F42" s="221"/>
      <c r="J42" s="547" t="s">
        <v>128</v>
      </c>
      <c r="K42" s="546"/>
      <c r="L42" s="106">
        <v>0</v>
      </c>
      <c r="M42" s="230">
        <f>SUM(M38:M41)*L42</f>
        <v>0</v>
      </c>
      <c r="N42" s="230"/>
      <c r="P42" s="547" t="s">
        <v>128</v>
      </c>
      <c r="Q42" s="546"/>
      <c r="R42" s="106">
        <v>0</v>
      </c>
      <c r="S42" s="230">
        <f>SUM(S38:S41)*R42</f>
        <v>0</v>
      </c>
      <c r="T42" s="230"/>
    </row>
    <row r="43" spans="2:20" ht="15">
      <c r="B43" s="548" t="s">
        <v>123</v>
      </c>
      <c r="C43" s="548"/>
      <c r="D43" s="548"/>
      <c r="E43" s="108">
        <f>SUM(E38:E42)</f>
        <v>3341.52</v>
      </c>
      <c r="F43" s="223" t="s">
        <v>124</v>
      </c>
      <c r="J43" s="548" t="s">
        <v>123</v>
      </c>
      <c r="K43" s="548"/>
      <c r="L43" s="548"/>
      <c r="M43" s="108">
        <f>SUM(M38:M42)</f>
        <v>4343.9760000000006</v>
      </c>
      <c r="N43" s="232" t="s">
        <v>124</v>
      </c>
      <c r="P43" s="548" t="s">
        <v>123</v>
      </c>
      <c r="Q43" s="548"/>
      <c r="R43" s="548"/>
      <c r="S43" s="108">
        <f>SUM(S38:S42)</f>
        <v>5319.6998400000002</v>
      </c>
      <c r="T43" s="232" t="s">
        <v>124</v>
      </c>
    </row>
    <row r="44" spans="2:20" ht="15">
      <c r="B44" s="546"/>
      <c r="C44" s="546"/>
      <c r="D44" s="221"/>
      <c r="E44" s="110">
        <f>E43/10.764</f>
        <v>310.43478260869568</v>
      </c>
      <c r="F44" s="111" t="s">
        <v>125</v>
      </c>
      <c r="J44" s="546"/>
      <c r="K44" s="546"/>
      <c r="L44" s="230"/>
      <c r="M44" s="110">
        <f>M43/10.764</f>
        <v>403.56521739130443</v>
      </c>
      <c r="N44" s="111" t="s">
        <v>125</v>
      </c>
      <c r="P44" s="546"/>
      <c r="Q44" s="546"/>
      <c r="R44" s="230"/>
      <c r="S44" s="110">
        <f>S43/10.764</f>
        <v>494.21217391304356</v>
      </c>
      <c r="T44" s="111" t="s">
        <v>125</v>
      </c>
    </row>
    <row r="46" spans="2:20" ht="15">
      <c r="B46" s="549" t="str">
        <f>CONCATENATE(C47,"+",C48,"+",C49,"+",C50,"+",C51)</f>
        <v>6mm CTG+10MM+5mm CTG++</v>
      </c>
      <c r="C46" s="550"/>
      <c r="D46" s="550"/>
      <c r="E46" s="550"/>
      <c r="F46" s="550"/>
      <c r="J46" s="549" t="str">
        <f>CONCATENATE(K47,"+",K48,"+",K49,"+",K50,"+",K51)</f>
        <v>6mm CTG+10MM+5mm CTG++</v>
      </c>
      <c r="K46" s="550"/>
      <c r="L46" s="550"/>
      <c r="M46" s="550"/>
      <c r="N46" s="550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1" t="s">
        <v>102</v>
      </c>
      <c r="C56" s="551"/>
      <c r="D56" s="551"/>
      <c r="E56" s="224">
        <f>SUM(E47:E55)</f>
        <v>2572.5</v>
      </c>
      <c r="F56" s="224"/>
      <c r="J56" s="551" t="s">
        <v>102</v>
      </c>
      <c r="K56" s="551"/>
      <c r="L56" s="551"/>
      <c r="M56" s="233">
        <f>SUM(M47:M55)</f>
        <v>3360</v>
      </c>
      <c r="N56" s="233"/>
    </row>
    <row r="57" spans="2:14" ht="15">
      <c r="B57" s="547" t="s">
        <v>87</v>
      </c>
      <c r="C57" s="546"/>
      <c r="D57" s="106">
        <v>0.02</v>
      </c>
      <c r="E57" s="221">
        <f>E56*D57</f>
        <v>51.45</v>
      </c>
      <c r="F57" s="221"/>
      <c r="J57" s="547" t="s">
        <v>87</v>
      </c>
      <c r="K57" s="546"/>
      <c r="L57" s="106">
        <v>0.02</v>
      </c>
      <c r="M57" s="230">
        <f>M56*L57</f>
        <v>67.2</v>
      </c>
      <c r="N57" s="230"/>
    </row>
    <row r="58" spans="2:14" ht="15">
      <c r="B58" s="546" t="s">
        <v>122</v>
      </c>
      <c r="C58" s="546"/>
      <c r="D58" s="106">
        <v>0.04</v>
      </c>
      <c r="E58" s="221">
        <f>SUM(E56:E57)*D58</f>
        <v>104.958</v>
      </c>
      <c r="F58" s="221"/>
      <c r="J58" s="546" t="s">
        <v>122</v>
      </c>
      <c r="K58" s="546"/>
      <c r="L58" s="106">
        <v>0.04</v>
      </c>
      <c r="M58" s="230">
        <f>SUM(M56:M57)*L58</f>
        <v>137.08799999999999</v>
      </c>
      <c r="N58" s="230"/>
    </row>
    <row r="59" spans="2:14" ht="15">
      <c r="B59" s="546" t="s">
        <v>4</v>
      </c>
      <c r="C59" s="546"/>
      <c r="D59" s="106">
        <v>0.2</v>
      </c>
      <c r="E59" s="221">
        <f>SUM(E56:E58)*D59</f>
        <v>545.78160000000003</v>
      </c>
      <c r="F59" s="221"/>
      <c r="J59" s="546" t="s">
        <v>4</v>
      </c>
      <c r="K59" s="546"/>
      <c r="L59" s="106">
        <v>0.2</v>
      </c>
      <c r="M59" s="230">
        <f>SUM(M56:M58)*L59</f>
        <v>712.85760000000005</v>
      </c>
      <c r="N59" s="230"/>
    </row>
    <row r="60" spans="2:14" ht="15">
      <c r="B60" s="547" t="s">
        <v>128</v>
      </c>
      <c r="C60" s="546"/>
      <c r="D60" s="106">
        <v>0</v>
      </c>
      <c r="E60" s="221">
        <f>SUM(E56:E59)*D60</f>
        <v>0</v>
      </c>
      <c r="F60" s="221"/>
      <c r="J60" s="547" t="s">
        <v>128</v>
      </c>
      <c r="K60" s="546"/>
      <c r="L60" s="106">
        <v>0</v>
      </c>
      <c r="M60" s="230">
        <f>SUM(M56:M59)*L60</f>
        <v>0</v>
      </c>
      <c r="N60" s="230"/>
    </row>
    <row r="61" spans="2:14" ht="15">
      <c r="B61" s="548" t="s">
        <v>123</v>
      </c>
      <c r="C61" s="548"/>
      <c r="D61" s="548"/>
      <c r="E61" s="108">
        <f>SUM(E56:E60)</f>
        <v>3274.6895999999997</v>
      </c>
      <c r="F61" s="223" t="s">
        <v>124</v>
      </c>
      <c r="J61" s="548" t="s">
        <v>123</v>
      </c>
      <c r="K61" s="548"/>
      <c r="L61" s="548"/>
      <c r="M61" s="108">
        <f>SUM(M56:M60)</f>
        <v>4277.1455999999998</v>
      </c>
      <c r="N61" s="232" t="s">
        <v>124</v>
      </c>
    </row>
    <row r="62" spans="2:14" ht="15">
      <c r="B62" s="546"/>
      <c r="C62" s="546"/>
      <c r="D62" s="221"/>
      <c r="E62" s="110">
        <f>E61/10.764</f>
        <v>304.22608695652173</v>
      </c>
      <c r="F62" s="111" t="s">
        <v>125</v>
      </c>
      <c r="J62" s="546"/>
      <c r="K62" s="546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1360</v>
      </c>
    </row>
    <row r="5" spans="3:5">
      <c r="C5" s="236" t="s">
        <v>397</v>
      </c>
      <c r="D5" s="236" t="s">
        <v>395</v>
      </c>
      <c r="E5" s="309">
        <f>ROUND(Pricing!U104,0.1)/40</f>
        <v>40.799999999999997</v>
      </c>
    </row>
    <row r="6" spans="3:5">
      <c r="C6" s="236" t="s">
        <v>83</v>
      </c>
      <c r="D6" s="236" t="s">
        <v>394</v>
      </c>
      <c r="E6" s="309">
        <f>ROUND(Pricing!V104,0.1)</f>
        <v>85</v>
      </c>
    </row>
    <row r="7" spans="3:5">
      <c r="C7" s="236" t="s">
        <v>401</v>
      </c>
      <c r="D7" s="236" t="s">
        <v>393</v>
      </c>
      <c r="E7" s="309">
        <f>ROUND(Pricing!W104,0.1)</f>
        <v>1360</v>
      </c>
    </row>
    <row r="8" spans="3:5">
      <c r="C8" s="236" t="s">
        <v>398</v>
      </c>
      <c r="D8" s="236" t="s">
        <v>393</v>
      </c>
      <c r="E8" s="309">
        <f>ROUND(Pricing!X104,0.1)</f>
        <v>2719</v>
      </c>
    </row>
    <row r="9" spans="3:5">
      <c r="C9" t="s">
        <v>223</v>
      </c>
      <c r="D9" s="236" t="s">
        <v>396</v>
      </c>
      <c r="E9" s="309">
        <f>ROUND(Pricing!Y104,0.1)</f>
        <v>816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8"/>
  <sheetViews>
    <sheetView workbookViewId="0">
      <selection activeCell="A2" sqref="A2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408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409</v>
      </c>
      <c r="G1" s="315" t="s">
        <v>410</v>
      </c>
      <c r="H1" s="315" t="s">
        <v>411</v>
      </c>
      <c r="I1" s="315" t="s">
        <v>114</v>
      </c>
      <c r="J1" s="315" t="s">
        <v>412</v>
      </c>
      <c r="K1" s="315" t="s">
        <v>9</v>
      </c>
      <c r="L1" s="316" t="s">
        <v>216</v>
      </c>
      <c r="M1" s="315" t="s">
        <v>219</v>
      </c>
      <c r="N1" s="315" t="s">
        <v>413</v>
      </c>
      <c r="O1" s="315" t="s">
        <v>414</v>
      </c>
      <c r="P1" s="315" t="s">
        <v>190</v>
      </c>
      <c r="Q1" s="315" t="s">
        <v>415</v>
      </c>
      <c r="R1" s="315" t="s">
        <v>416</v>
      </c>
      <c r="S1" s="315" t="s">
        <v>417</v>
      </c>
      <c r="T1" s="315" t="s">
        <v>278</v>
      </c>
      <c r="U1" s="315" t="s">
        <v>418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FIXED GLASS 2 NO'S</v>
      </c>
      <c r="D2" s="318" t="str">
        <f>'BD Team'!E9</f>
        <v>12MM</v>
      </c>
      <c r="E2" s="318" t="str">
        <f>'BD Team'!G9</f>
        <v>GF - DRAWING</v>
      </c>
      <c r="F2" s="318" t="str">
        <f>'BD Team'!F9</f>
        <v>NO</v>
      </c>
      <c r="I2" s="318">
        <f>'BD Team'!H9</f>
        <v>7392</v>
      </c>
      <c r="J2" s="318">
        <f>'BD Team'!I9</f>
        <v>1220</v>
      </c>
      <c r="K2" s="318">
        <f>'BD Team'!J9</f>
        <v>1</v>
      </c>
      <c r="L2" s="319">
        <f>'BD Team'!K9</f>
        <v>184.61</v>
      </c>
      <c r="M2" s="318">
        <f>Pricing!O4</f>
        <v>1890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 2 NO'S</v>
      </c>
      <c r="D3" s="318" t="str">
        <f>'BD Team'!E10</f>
        <v>12MM</v>
      </c>
      <c r="E3" s="318" t="str">
        <f>'BD Team'!G10</f>
        <v>GF - DRAWING OPEN TO SKY</v>
      </c>
      <c r="F3" s="318" t="str">
        <f>'BD Team'!F10</f>
        <v>NO</v>
      </c>
      <c r="I3" s="318">
        <f>'BD Team'!H10</f>
        <v>4192</v>
      </c>
      <c r="J3" s="318">
        <f>'BD Team'!I10</f>
        <v>3506</v>
      </c>
      <c r="K3" s="318">
        <f>'BD Team'!J10</f>
        <v>1</v>
      </c>
      <c r="L3" s="319">
        <f>'BD Team'!K10</f>
        <v>294.02</v>
      </c>
      <c r="M3" s="318">
        <f>Pricing!O5</f>
        <v>1890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M14600</v>
      </c>
      <c r="C4" s="318" t="str">
        <f>'BD Team'!D11</f>
        <v>3 TRACK 2 SHUTTER SLIDING WINDOW</v>
      </c>
      <c r="D4" s="318" t="str">
        <f>'BD Team'!E11</f>
        <v>10MM</v>
      </c>
      <c r="E4" s="318" t="str">
        <f>'BD Team'!G11</f>
        <v>GF - WET KITCHEN</v>
      </c>
      <c r="F4" s="318" t="str">
        <f>'BD Team'!F11</f>
        <v>SS</v>
      </c>
      <c r="I4" s="318">
        <f>'BD Team'!H11</f>
        <v>1830</v>
      </c>
      <c r="J4" s="318">
        <f>'BD Team'!I11</f>
        <v>610</v>
      </c>
      <c r="K4" s="318">
        <f>'BD Team'!J11</f>
        <v>1</v>
      </c>
      <c r="L4" s="319">
        <f>'BD Team'!K11</f>
        <v>250.1</v>
      </c>
      <c r="M4" s="318">
        <f>Pricing!O6</f>
        <v>1589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M15000</v>
      </c>
      <c r="C5" s="318" t="str">
        <f>'BD Team'!D12</f>
        <v>FIXED GLASS</v>
      </c>
      <c r="D5" s="318" t="str">
        <f>'BD Team'!E12</f>
        <v>12MM</v>
      </c>
      <c r="E5" s="318" t="str">
        <f>'BD Team'!G12</f>
        <v>GF - OPEN KITCHEN</v>
      </c>
      <c r="F5" s="318" t="str">
        <f>'BD Team'!F12</f>
        <v>NO</v>
      </c>
      <c r="I5" s="318">
        <f>'BD Team'!H12</f>
        <v>1830</v>
      </c>
      <c r="J5" s="318">
        <f>'BD Team'!I12</f>
        <v>2896</v>
      </c>
      <c r="K5" s="318">
        <f>'BD Team'!J12</f>
        <v>1</v>
      </c>
      <c r="L5" s="319">
        <f>'BD Team'!K12</f>
        <v>80.98</v>
      </c>
      <c r="M5" s="318">
        <f>Pricing!O7</f>
        <v>1890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W4A</v>
      </c>
      <c r="B6" s="318" t="str">
        <f>'BD Team'!C13</f>
        <v>M14600</v>
      </c>
      <c r="C6" s="318" t="str">
        <f>'BD Team'!D13</f>
        <v>2 TRACK 4 SHUTTER SLIDING DOOR</v>
      </c>
      <c r="D6" s="318" t="str">
        <f>'BD Team'!E13</f>
        <v>10MM</v>
      </c>
      <c r="E6" s="318" t="str">
        <f>'BD Team'!G13</f>
        <v>GF - OPEN KITCHEN / DINING</v>
      </c>
      <c r="F6" s="318" t="str">
        <f>'BD Team'!F13</f>
        <v>RETRACTABLE</v>
      </c>
      <c r="I6" s="318">
        <f>'BD Team'!H13</f>
        <v>4268</v>
      </c>
      <c r="J6" s="318">
        <f>'BD Team'!I13</f>
        <v>2896</v>
      </c>
      <c r="K6" s="318">
        <f>'BD Team'!J13</f>
        <v>1</v>
      </c>
      <c r="L6" s="319">
        <f>'BD Team'!K13</f>
        <v>1025.04</v>
      </c>
      <c r="M6" s="318">
        <f>Pricing!O8</f>
        <v>1589</v>
      </c>
      <c r="N6" s="318">
        <f>Pricing!Q8</f>
        <v>0</v>
      </c>
      <c r="O6" s="318">
        <f>Pricing!R8</f>
        <v>9149.4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W5</v>
      </c>
      <c r="B7" s="318" t="str">
        <f>'BD Team'!C14</f>
        <v>M15000</v>
      </c>
      <c r="C7" s="318" t="str">
        <f>'BD Team'!D14</f>
        <v>TOP HUNG WINDOW</v>
      </c>
      <c r="D7" s="318" t="str">
        <f>'BD Team'!E14</f>
        <v>12MM (F)</v>
      </c>
      <c r="E7" s="318" t="str">
        <f>'BD Team'!G14</f>
        <v>GF - TOILET</v>
      </c>
      <c r="F7" s="318" t="str">
        <f>'BD Team'!F14</f>
        <v>NO</v>
      </c>
      <c r="I7" s="318">
        <f>'BD Team'!H14</f>
        <v>610</v>
      </c>
      <c r="J7" s="318">
        <f>'BD Team'!I14</f>
        <v>1068</v>
      </c>
      <c r="K7" s="318">
        <f>'BD Team'!J14</f>
        <v>1</v>
      </c>
      <c r="L7" s="319">
        <f>'BD Team'!K14</f>
        <v>188.98</v>
      </c>
      <c r="M7" s="318">
        <f>Pricing!O9</f>
        <v>2892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W6</v>
      </c>
      <c r="B8" s="318" t="str">
        <f>'BD Team'!C15</f>
        <v>M14600</v>
      </c>
      <c r="C8" s="318" t="str">
        <f>'BD Team'!D15</f>
        <v>3 TRACK 2 SHUTTER SLIDING WINDOW</v>
      </c>
      <c r="D8" s="318" t="str">
        <f>'BD Team'!E15</f>
        <v>10MM</v>
      </c>
      <c r="E8" s="318" t="str">
        <f>'BD Team'!G15</f>
        <v>GF - BEDROOM</v>
      </c>
      <c r="F8" s="318" t="str">
        <f>'BD Team'!F15</f>
        <v>SS</v>
      </c>
      <c r="I8" s="318">
        <f>'BD Team'!H15</f>
        <v>1830</v>
      </c>
      <c r="J8" s="318">
        <f>'BD Team'!I15</f>
        <v>2592</v>
      </c>
      <c r="K8" s="318">
        <f>'BD Team'!J15</f>
        <v>1</v>
      </c>
      <c r="L8" s="319">
        <f>'BD Team'!K15</f>
        <v>522.89</v>
      </c>
      <c r="M8" s="318">
        <f>Pricing!O10</f>
        <v>1589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W7</v>
      </c>
      <c r="B9" s="318" t="str">
        <f>'BD Team'!C16</f>
        <v>M15000</v>
      </c>
      <c r="C9" s="318" t="str">
        <f>'BD Team'!D16</f>
        <v>FIXED GLASS</v>
      </c>
      <c r="D9" s="318" t="str">
        <f>'BD Team'!E16</f>
        <v>12MM (F)</v>
      </c>
      <c r="E9" s="318" t="str">
        <f>'BD Team'!G16</f>
        <v>GF - POWDER ROOM</v>
      </c>
      <c r="F9" s="318" t="str">
        <f>'BD Team'!F16</f>
        <v>NO</v>
      </c>
      <c r="I9" s="318">
        <f>'BD Team'!H16</f>
        <v>3202</v>
      </c>
      <c r="J9" s="318">
        <f>'BD Team'!I16</f>
        <v>610</v>
      </c>
      <c r="K9" s="318">
        <f>'BD Team'!J16</f>
        <v>1</v>
      </c>
      <c r="L9" s="319">
        <f>'BD Team'!K16</f>
        <v>66.75</v>
      </c>
      <c r="M9" s="318">
        <f>Pricing!O11</f>
        <v>2892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W8</v>
      </c>
      <c r="B10" s="318" t="str">
        <f>'BD Team'!C17</f>
        <v>M15000</v>
      </c>
      <c r="C10" s="318" t="str">
        <f>'BD Team'!D17</f>
        <v>FIXED GLASS 3 NO'S</v>
      </c>
      <c r="D10" s="318" t="str">
        <f>'BD Team'!E17</f>
        <v>12MM</v>
      </c>
      <c r="E10" s="318" t="str">
        <f>'BD Team'!G17</f>
        <v>GF - WIDE PASSAGE</v>
      </c>
      <c r="F10" s="318" t="str">
        <f>'BD Team'!F17</f>
        <v>NO</v>
      </c>
      <c r="I10" s="318">
        <f>'BD Team'!H17</f>
        <v>6326</v>
      </c>
      <c r="J10" s="318">
        <f>'BD Team'!I17</f>
        <v>3354</v>
      </c>
      <c r="K10" s="318">
        <f>'BD Team'!J17</f>
        <v>1</v>
      </c>
      <c r="L10" s="319">
        <f>'BD Team'!K17</f>
        <v>443.17</v>
      </c>
      <c r="M10" s="318">
        <f>Pricing!O12</f>
        <v>1890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W9</v>
      </c>
      <c r="B11" s="318" t="str">
        <f>'BD Team'!C18</f>
        <v>M15000</v>
      </c>
      <c r="C11" s="318" t="str">
        <f>'BD Team'!D18</f>
        <v>FIXED GLASS 3 NO'S CORNOR WINDOW</v>
      </c>
      <c r="D11" s="318" t="str">
        <f>'BD Team'!E18</f>
        <v>12MM</v>
      </c>
      <c r="E11" s="318" t="str">
        <f>'BD Team'!G18</f>
        <v>1F - BALCONY</v>
      </c>
      <c r="F11" s="318" t="str">
        <f>'BD Team'!F18</f>
        <v>NO</v>
      </c>
      <c r="I11" s="318">
        <f>'BD Team'!H18</f>
        <v>2706</v>
      </c>
      <c r="J11" s="318">
        <f>'BD Team'!I18</f>
        <v>3048</v>
      </c>
      <c r="K11" s="318">
        <f>'BD Team'!J18</f>
        <v>1</v>
      </c>
      <c r="L11" s="319">
        <f>'BD Team'!K18</f>
        <v>455.48</v>
      </c>
      <c r="M11" s="318">
        <f>Pricing!O13</f>
        <v>1890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W9A</v>
      </c>
      <c r="B12" s="318" t="str">
        <f>'BD Team'!C19</f>
        <v>M14600</v>
      </c>
      <c r="C12" s="318" t="str">
        <f>'BD Team'!D19</f>
        <v>2 TRACK 2 SHUTTER SLIDING DOOR</v>
      </c>
      <c r="D12" s="318" t="str">
        <f>'BD Team'!E19</f>
        <v>10MM</v>
      </c>
      <c r="E12" s="318" t="str">
        <f>'BD Team'!G19</f>
        <v>1F - BALCONY</v>
      </c>
      <c r="F12" s="318" t="str">
        <f>'BD Team'!F19</f>
        <v>RETRACTABLE</v>
      </c>
      <c r="I12" s="318">
        <f>'BD Team'!H19</f>
        <v>2134</v>
      </c>
      <c r="J12" s="318">
        <f>'BD Team'!I19</f>
        <v>3048</v>
      </c>
      <c r="K12" s="318">
        <f>'BD Team'!J19</f>
        <v>1</v>
      </c>
      <c r="L12" s="319">
        <f>'BD Team'!K19</f>
        <v>522.96</v>
      </c>
      <c r="M12" s="318">
        <f>Pricing!O14</f>
        <v>1589</v>
      </c>
      <c r="N12" s="318">
        <f>Pricing!Q14</f>
        <v>0</v>
      </c>
      <c r="O12" s="318">
        <f>Pricing!R14</f>
        <v>10225.799999999999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W10</v>
      </c>
      <c r="B13" s="318" t="str">
        <f>'BD Team'!C20</f>
        <v>M15000</v>
      </c>
      <c r="C13" s="318" t="str">
        <f>'BD Team'!D20</f>
        <v>FIXED GLASS</v>
      </c>
      <c r="D13" s="318" t="str">
        <f>'BD Team'!E20</f>
        <v>12MM</v>
      </c>
      <c r="E13" s="318" t="str">
        <f>'BD Team'!G20</f>
        <v>1F - POOJA ROOM</v>
      </c>
      <c r="F13" s="318" t="str">
        <f>'BD Team'!F20</f>
        <v>NO</v>
      </c>
      <c r="I13" s="318">
        <f>'BD Team'!H20</f>
        <v>916</v>
      </c>
      <c r="J13" s="318">
        <f>'BD Team'!I20</f>
        <v>2744</v>
      </c>
      <c r="K13" s="318">
        <f>'BD Team'!J20</f>
        <v>1</v>
      </c>
      <c r="L13" s="319">
        <f>'BD Team'!K20</f>
        <v>64.03</v>
      </c>
      <c r="M13" s="318">
        <f>Pricing!O15</f>
        <v>1890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W11</v>
      </c>
      <c r="B14" s="318" t="str">
        <f>'BD Team'!C21</f>
        <v>M15000</v>
      </c>
      <c r="C14" s="318" t="str">
        <f>'BD Team'!D21</f>
        <v>FIXED GLASS</v>
      </c>
      <c r="D14" s="318" t="str">
        <f>'BD Team'!E21</f>
        <v>12MM</v>
      </c>
      <c r="E14" s="318" t="str">
        <f>'BD Team'!G21</f>
        <v>1F - PRANEETH BEDROOM</v>
      </c>
      <c r="F14" s="318" t="str">
        <f>'BD Team'!F21</f>
        <v>NO</v>
      </c>
      <c r="I14" s="318">
        <f>'BD Team'!H21</f>
        <v>1000</v>
      </c>
      <c r="J14" s="318">
        <f>'BD Team'!I21</f>
        <v>2200</v>
      </c>
      <c r="K14" s="318">
        <f>'BD Team'!J21</f>
        <v>2</v>
      </c>
      <c r="L14" s="319">
        <f>'BD Team'!K21</f>
        <v>56.78</v>
      </c>
      <c r="M14" s="318">
        <f>Pricing!O16</f>
        <v>1890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W12</v>
      </c>
      <c r="B15" s="318" t="str">
        <f>'BD Team'!C22</f>
        <v>M15000</v>
      </c>
      <c r="C15" s="318" t="str">
        <f>'BD Team'!D22</f>
        <v>TOP HUNG WINDOW WITH TOP FIXED</v>
      </c>
      <c r="D15" s="318" t="str">
        <f>'BD Team'!E22</f>
        <v>12MM (F)</v>
      </c>
      <c r="E15" s="318" t="str">
        <f>'BD Team'!G22</f>
        <v>1F - PRANEETH BEDROOM TOILET</v>
      </c>
      <c r="F15" s="318" t="str">
        <f>'BD Team'!F22</f>
        <v>NO</v>
      </c>
      <c r="I15" s="318">
        <f>'BD Team'!H22</f>
        <v>610</v>
      </c>
      <c r="J15" s="318">
        <f>'BD Team'!I22</f>
        <v>1830</v>
      </c>
      <c r="K15" s="318">
        <f>'BD Team'!J22</f>
        <v>1</v>
      </c>
      <c r="L15" s="319">
        <f>'BD Team'!K22</f>
        <v>223.57</v>
      </c>
      <c r="M15" s="318">
        <f>Pricing!O17</f>
        <v>2892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W13</v>
      </c>
      <c r="B16" s="318" t="str">
        <f>'BD Team'!C23</f>
        <v>M14600</v>
      </c>
      <c r="C16" s="318" t="str">
        <f>'BD Team'!D23</f>
        <v>3 TRACK 2 SHUTTER SLIDING DOOR</v>
      </c>
      <c r="D16" s="318" t="str">
        <f>'BD Team'!E23</f>
        <v>10MM</v>
      </c>
      <c r="E16" s="318" t="str">
        <f>'BD Team'!G23</f>
        <v>1F - MASTER BEDROOM</v>
      </c>
      <c r="F16" s="318" t="str">
        <f>'BD Team'!F23</f>
        <v>SS</v>
      </c>
      <c r="I16" s="318">
        <f>'BD Team'!H23</f>
        <v>1906</v>
      </c>
      <c r="J16" s="318">
        <f>'BD Team'!I23</f>
        <v>2744</v>
      </c>
      <c r="K16" s="318">
        <f>'BD Team'!J23</f>
        <v>1</v>
      </c>
      <c r="L16" s="319">
        <f>'BD Team'!K23</f>
        <v>576.78</v>
      </c>
      <c r="M16" s="318">
        <f>Pricing!O18</f>
        <v>1589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W14</v>
      </c>
      <c r="B17" s="318" t="str">
        <f>'BD Team'!C24</f>
        <v>M15000</v>
      </c>
      <c r="C17" s="318" t="str">
        <f>'BD Team'!D24</f>
        <v>FIXED GLASS</v>
      </c>
      <c r="D17" s="318" t="str">
        <f>'BD Team'!E24</f>
        <v>12MM</v>
      </c>
      <c r="E17" s="318" t="str">
        <f>'BD Team'!G24</f>
        <v>1F - MASTER BEDROOM</v>
      </c>
      <c r="F17" s="318" t="str">
        <f>'BD Team'!F24</f>
        <v>NO</v>
      </c>
      <c r="I17" s="318">
        <f>'BD Team'!H24</f>
        <v>916</v>
      </c>
      <c r="J17" s="318">
        <f>'BD Team'!I24</f>
        <v>2896</v>
      </c>
      <c r="K17" s="318">
        <f>'BD Team'!J24</f>
        <v>2</v>
      </c>
      <c r="L17" s="319">
        <f>'BD Team'!K24</f>
        <v>66.42</v>
      </c>
      <c r="M17" s="318">
        <f>Pricing!O19</f>
        <v>1890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W15</v>
      </c>
      <c r="B18" s="318" t="str">
        <f>'BD Team'!C25</f>
        <v>M15000</v>
      </c>
      <c r="C18" s="318" t="str">
        <f>'BD Team'!D25</f>
        <v>FIXED GLASS</v>
      </c>
      <c r="D18" s="318" t="str">
        <f>'BD Team'!E25</f>
        <v>12MM (F)</v>
      </c>
      <c r="E18" s="318" t="str">
        <f>'BD Team'!G25</f>
        <v>1F - MASTER TOILET</v>
      </c>
      <c r="F18" s="318" t="str">
        <f>'BD Team'!F25</f>
        <v>NO</v>
      </c>
      <c r="I18" s="318">
        <f>'BD Team'!H25</f>
        <v>458</v>
      </c>
      <c r="J18" s="318">
        <f>'BD Team'!I25</f>
        <v>2896</v>
      </c>
      <c r="K18" s="318">
        <f>'BD Team'!J25</f>
        <v>4</v>
      </c>
      <c r="L18" s="319">
        <f>'BD Team'!K25</f>
        <v>59.04</v>
      </c>
      <c r="M18" s="318">
        <f>Pricing!O20</f>
        <v>2892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W16</v>
      </c>
      <c r="B19" s="318" t="str">
        <f>'BD Team'!C26</f>
        <v>M15000</v>
      </c>
      <c r="C19" s="318" t="str">
        <f>'BD Team'!D26</f>
        <v>FIXED GLASS</v>
      </c>
      <c r="D19" s="318" t="str">
        <f>'BD Team'!E26</f>
        <v>12MM (F)</v>
      </c>
      <c r="E19" s="318" t="str">
        <f>'BD Team'!G26</f>
        <v>1F - MASTER DRESSING</v>
      </c>
      <c r="F19" s="318" t="str">
        <f>'BD Team'!F26</f>
        <v>NO</v>
      </c>
      <c r="I19" s="318">
        <f>'BD Team'!H26</f>
        <v>916</v>
      </c>
      <c r="J19" s="318">
        <f>'BD Team'!I26</f>
        <v>2896</v>
      </c>
      <c r="K19" s="318">
        <f>'BD Team'!J26</f>
        <v>1</v>
      </c>
      <c r="L19" s="319">
        <f>'BD Team'!K26</f>
        <v>66.42</v>
      </c>
      <c r="M19" s="318">
        <f>Pricing!O21</f>
        <v>2892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W17</v>
      </c>
      <c r="B20" s="318" t="str">
        <f>'BD Team'!C27</f>
        <v>M15000</v>
      </c>
      <c r="C20" s="318" t="str">
        <f>'BD Team'!D27</f>
        <v>TOP HUNG WINDOW</v>
      </c>
      <c r="D20" s="318" t="str">
        <f>'BD Team'!E27</f>
        <v>12MM (F)</v>
      </c>
      <c r="E20" s="318" t="str">
        <f>'BD Team'!G27</f>
        <v>1F - GBR TOILET</v>
      </c>
      <c r="F20" s="318" t="str">
        <f>'BD Team'!F27</f>
        <v>NO</v>
      </c>
      <c r="I20" s="318">
        <f>'BD Team'!H27</f>
        <v>916</v>
      </c>
      <c r="J20" s="318">
        <f>'BD Team'!I27</f>
        <v>1068</v>
      </c>
      <c r="K20" s="318">
        <f>'BD Team'!J27</f>
        <v>1</v>
      </c>
      <c r="L20" s="319">
        <f>'BD Team'!K27</f>
        <v>220.03</v>
      </c>
      <c r="M20" s="318">
        <f>Pricing!O22</f>
        <v>2892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W18</v>
      </c>
      <c r="B21" s="318" t="str">
        <f>'BD Team'!C28</f>
        <v>M15000</v>
      </c>
      <c r="C21" s="318" t="str">
        <f>'BD Team'!D28</f>
        <v>FIXED GLASS</v>
      </c>
      <c r="D21" s="318" t="str">
        <f>'BD Team'!E28</f>
        <v>12MM</v>
      </c>
      <c r="E21" s="318" t="str">
        <f>'BD Team'!G28</f>
        <v>1F - GUEST BEDROOM</v>
      </c>
      <c r="F21" s="318" t="str">
        <f>'BD Team'!F28</f>
        <v>NO</v>
      </c>
      <c r="I21" s="318">
        <f>'BD Team'!H28</f>
        <v>1000</v>
      </c>
      <c r="J21" s="318">
        <f>'BD Team'!I28</f>
        <v>2200</v>
      </c>
      <c r="K21" s="318">
        <f>'BD Team'!J28</f>
        <v>1</v>
      </c>
      <c r="L21" s="319">
        <f>'BD Team'!K28</f>
        <v>56.78</v>
      </c>
      <c r="M21" s="318">
        <f>Pricing!O23</f>
        <v>1890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W19</v>
      </c>
      <c r="B22" s="318" t="str">
        <f>'BD Team'!C29</f>
        <v>M15000</v>
      </c>
      <c r="C22" s="318" t="str">
        <f>'BD Team'!D29</f>
        <v>FIXED GLASS 2 NO'S</v>
      </c>
      <c r="D22" s="318" t="str">
        <f>'BD Team'!E29</f>
        <v>12MM</v>
      </c>
      <c r="E22" s="318" t="str">
        <f>'BD Team'!G29</f>
        <v>1F - GUEST BEDROOM</v>
      </c>
      <c r="F22" s="318" t="str">
        <f>'BD Team'!F29</f>
        <v>NO</v>
      </c>
      <c r="I22" s="318">
        <f>'BD Team'!H29</f>
        <v>3278</v>
      </c>
      <c r="J22" s="318">
        <f>'BD Team'!I29</f>
        <v>2440</v>
      </c>
      <c r="K22" s="318">
        <f>'BD Team'!J29</f>
        <v>1</v>
      </c>
      <c r="L22" s="319">
        <f>'BD Team'!K29</f>
        <v>170.84</v>
      </c>
      <c r="M22" s="318">
        <f>Pricing!O24</f>
        <v>1890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W20</v>
      </c>
      <c r="B23" s="318" t="str">
        <f>'BD Team'!C30</f>
        <v>M15000</v>
      </c>
      <c r="C23" s="318" t="str">
        <f>'BD Team'!D30</f>
        <v>FIXED GLASS 3 NO'S</v>
      </c>
      <c r="D23" s="318" t="str">
        <f>'BD Team'!E30</f>
        <v>12MM</v>
      </c>
      <c r="E23" s="318" t="str">
        <f>'BD Team'!G30</f>
        <v>1F - LOUNGE</v>
      </c>
      <c r="F23" s="318" t="str">
        <f>'BD Team'!F30</f>
        <v>NO</v>
      </c>
      <c r="I23" s="318">
        <f>'BD Team'!H30</f>
        <v>6326</v>
      </c>
      <c r="J23" s="318">
        <f>'BD Team'!I30</f>
        <v>2400</v>
      </c>
      <c r="K23" s="318">
        <f>'BD Team'!J30</f>
        <v>1</v>
      </c>
      <c r="L23" s="319">
        <f>'BD Team'!K30</f>
        <v>287.54000000000002</v>
      </c>
      <c r="M23" s="318">
        <f>Pricing!O25</f>
        <v>1890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W21</v>
      </c>
      <c r="B24" s="318" t="str">
        <f>'BD Team'!C31</f>
        <v>SF85</v>
      </c>
      <c r="C24" s="318" t="str">
        <f>'BD Team'!D31</f>
        <v>4 LEAF SLIDE &amp; FOLD DOOR</v>
      </c>
      <c r="D24" s="318" t="str">
        <f>'BD Team'!E31</f>
        <v>24MM</v>
      </c>
      <c r="E24" s="318" t="str">
        <f>'BD Team'!G31</f>
        <v>2F - OPEN BALCONY</v>
      </c>
      <c r="F24" s="318" t="str">
        <f>'BD Team'!F31</f>
        <v>NO</v>
      </c>
      <c r="I24" s="318">
        <f>'BD Team'!H31</f>
        <v>3658</v>
      </c>
      <c r="J24" s="318">
        <f>'BD Team'!I31</f>
        <v>3302</v>
      </c>
      <c r="K24" s="318">
        <f>'BD Team'!J31</f>
        <v>1</v>
      </c>
      <c r="L24" s="319">
        <f>'BD Team'!K31</f>
        <v>3483.31</v>
      </c>
      <c r="M24" s="318">
        <f>Pricing!O26</f>
        <v>2805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W22</v>
      </c>
      <c r="B25" s="318" t="str">
        <f>'BD Team'!C32</f>
        <v>M15000</v>
      </c>
      <c r="C25" s="318" t="str">
        <f>'BD Team'!D32</f>
        <v>FIXED GLASS 4 NO'S</v>
      </c>
      <c r="D25" s="318" t="str">
        <f>'BD Team'!E32</f>
        <v>12MM</v>
      </c>
      <c r="E25" s="318" t="str">
        <f>'BD Team'!G32</f>
        <v>2F - BILLARDS</v>
      </c>
      <c r="F25" s="318" t="str">
        <f>'BD Team'!F32</f>
        <v>NO</v>
      </c>
      <c r="I25" s="318">
        <f>'BD Team'!H32</f>
        <v>6326</v>
      </c>
      <c r="J25" s="318">
        <f>'BD Team'!I32</f>
        <v>3302</v>
      </c>
      <c r="K25" s="318">
        <f>'BD Team'!J32</f>
        <v>1</v>
      </c>
      <c r="L25" s="319">
        <f>'BD Team'!K32</f>
        <v>582.73</v>
      </c>
      <c r="M25" s="318">
        <f>Pricing!O27</f>
        <v>1890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W23</v>
      </c>
      <c r="B26" s="318" t="str">
        <f>'BD Team'!C33</f>
        <v>M15000</v>
      </c>
      <c r="C26" s="318" t="str">
        <f>'BD Team'!D33</f>
        <v>FIXED GLASS 3 NO'S</v>
      </c>
      <c r="D26" s="318" t="str">
        <f>'BD Team'!E33</f>
        <v>12MM</v>
      </c>
      <c r="E26" s="318" t="str">
        <f>'BD Team'!G33</f>
        <v>2F - HOME THEATER</v>
      </c>
      <c r="F26" s="318" t="str">
        <f>'BD Team'!F33</f>
        <v>NO</v>
      </c>
      <c r="I26" s="318">
        <f>'BD Team'!H33</f>
        <v>4878</v>
      </c>
      <c r="J26" s="318">
        <f>'BD Team'!I33</f>
        <v>2896</v>
      </c>
      <c r="K26" s="318">
        <f>'BD Team'!J33</f>
        <v>1</v>
      </c>
      <c r="L26" s="319">
        <f>'BD Team'!K33</f>
        <v>380.62</v>
      </c>
      <c r="M26" s="318">
        <f>Pricing!O28</f>
        <v>1890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W24</v>
      </c>
      <c r="B27" s="318" t="str">
        <f>'BD Team'!C34</f>
        <v>M15000</v>
      </c>
      <c r="C27" s="318" t="str">
        <f>'BD Team'!D34</f>
        <v>FIXED GLASS 2 NO'S</v>
      </c>
      <c r="D27" s="318" t="str">
        <f>'BD Team'!E34</f>
        <v>12MM</v>
      </c>
      <c r="E27" s="318" t="str">
        <f>'BD Team'!G34</f>
        <v>2F - BEDROOM</v>
      </c>
      <c r="F27" s="318" t="str">
        <f>'BD Team'!F34</f>
        <v>NO</v>
      </c>
      <c r="I27" s="318">
        <f>'BD Team'!H34</f>
        <v>2744</v>
      </c>
      <c r="J27" s="318">
        <f>'BD Team'!I34</f>
        <v>2896</v>
      </c>
      <c r="K27" s="318">
        <f>'BD Team'!J34</f>
        <v>1</v>
      </c>
      <c r="L27" s="319">
        <f>'BD Team'!K34</f>
        <v>181.27</v>
      </c>
      <c r="M27" s="318">
        <f>Pricing!O29</f>
        <v>1890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W25</v>
      </c>
      <c r="B28" s="318" t="str">
        <f>'BD Team'!C35</f>
        <v>M15000</v>
      </c>
      <c r="C28" s="318" t="str">
        <f>'BD Team'!D35</f>
        <v>FIXED GLASS</v>
      </c>
      <c r="D28" s="318" t="str">
        <f>'BD Team'!E35</f>
        <v>12MM</v>
      </c>
      <c r="E28" s="318" t="str">
        <f>'BD Team'!G35</f>
        <v>2F - SON'S BEDROOM</v>
      </c>
      <c r="F28" s="318" t="str">
        <f>'BD Team'!F35</f>
        <v>NO</v>
      </c>
      <c r="I28" s="318">
        <f>'BD Team'!H35</f>
        <v>382</v>
      </c>
      <c r="J28" s="318">
        <f>'BD Team'!I35</f>
        <v>2896</v>
      </c>
      <c r="K28" s="318">
        <f>'BD Team'!J35</f>
        <v>3</v>
      </c>
      <c r="L28" s="319">
        <f>'BD Team'!K35</f>
        <v>57.85</v>
      </c>
      <c r="M28" s="318">
        <f>Pricing!O30</f>
        <v>1890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W26</v>
      </c>
      <c r="B29" s="318" t="str">
        <f>'BD Team'!C36</f>
        <v>M15000</v>
      </c>
      <c r="C29" s="318" t="str">
        <f>'BD Team'!D36</f>
        <v>FIXED GLASS</v>
      </c>
      <c r="D29" s="318" t="str">
        <f>'BD Team'!E36</f>
        <v>12MM (F)</v>
      </c>
      <c r="E29" s="318" t="str">
        <f>'BD Team'!G36</f>
        <v>2F - BATHROOM</v>
      </c>
      <c r="F29" s="318" t="str">
        <f>'BD Team'!F36</f>
        <v>NO</v>
      </c>
      <c r="I29" s="318">
        <f>'BD Team'!H36</f>
        <v>534</v>
      </c>
      <c r="J29" s="318">
        <f>'BD Team'!I36</f>
        <v>2896</v>
      </c>
      <c r="K29" s="318">
        <f>'BD Team'!J36</f>
        <v>1</v>
      </c>
      <c r="L29" s="319">
        <f>'BD Team'!K36</f>
        <v>60.4</v>
      </c>
      <c r="M29" s="318">
        <f>Pricing!O31</f>
        <v>2892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W27</v>
      </c>
      <c r="B30" s="318" t="str">
        <f>'BD Team'!C37</f>
        <v>M15000</v>
      </c>
      <c r="C30" s="318" t="str">
        <f>'BD Team'!D37</f>
        <v>FIXED GLASS</v>
      </c>
      <c r="D30" s="318" t="str">
        <f>'BD Team'!E37</f>
        <v>12MM (F)</v>
      </c>
      <c r="E30" s="318" t="str">
        <f>'BD Team'!G37</f>
        <v>2F - BATHROOM</v>
      </c>
      <c r="F30" s="318" t="str">
        <f>'BD Team'!F37</f>
        <v>NO</v>
      </c>
      <c r="I30" s="318">
        <f>'BD Team'!H37</f>
        <v>610</v>
      </c>
      <c r="J30" s="318">
        <f>'BD Team'!I37</f>
        <v>2896</v>
      </c>
      <c r="K30" s="318">
        <f>'BD Team'!J37</f>
        <v>1</v>
      </c>
      <c r="L30" s="319">
        <f>'BD Team'!K37</f>
        <v>61.6</v>
      </c>
      <c r="M30" s="318">
        <f>Pricing!O32</f>
        <v>2892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W28</v>
      </c>
      <c r="B31" s="318" t="str">
        <f>'BD Team'!C38</f>
        <v>M15000</v>
      </c>
      <c r="C31" s="318" t="str">
        <f>'BD Team'!D38</f>
        <v>FIXED GLASS</v>
      </c>
      <c r="D31" s="318" t="str">
        <f>'BD Team'!E38</f>
        <v>12MM (F)</v>
      </c>
      <c r="E31" s="318" t="str">
        <f>'BD Team'!G38</f>
        <v>2F - DRESSING</v>
      </c>
      <c r="F31" s="318" t="str">
        <f>'BD Team'!F38</f>
        <v>NO</v>
      </c>
      <c r="I31" s="318">
        <f>'BD Team'!H38</f>
        <v>916</v>
      </c>
      <c r="J31" s="318">
        <f>'BD Team'!I38</f>
        <v>2896</v>
      </c>
      <c r="K31" s="318">
        <f>'BD Team'!J38</f>
        <v>1</v>
      </c>
      <c r="L31" s="319">
        <f>'BD Team'!K38</f>
        <v>66.42</v>
      </c>
      <c r="M31" s="318">
        <f>Pricing!O33</f>
        <v>2892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W29</v>
      </c>
      <c r="B32" s="318" t="str">
        <f>'BD Team'!C39</f>
        <v>M15000</v>
      </c>
      <c r="C32" s="318" t="str">
        <f>'BD Team'!D39</f>
        <v>TOP HUNG WINDOW</v>
      </c>
      <c r="D32" s="318" t="str">
        <f>'BD Team'!E39</f>
        <v>12MM (F)</v>
      </c>
      <c r="E32" s="318" t="str">
        <f>'BD Team'!G39</f>
        <v>2F - PW. ROOM</v>
      </c>
      <c r="F32" s="318" t="str">
        <f>'BD Team'!F39</f>
        <v>NO</v>
      </c>
      <c r="I32" s="318">
        <f>'BD Team'!H39</f>
        <v>916</v>
      </c>
      <c r="J32" s="318">
        <f>'BD Team'!I39</f>
        <v>1068</v>
      </c>
      <c r="K32" s="318">
        <f>'BD Team'!J39</f>
        <v>1</v>
      </c>
      <c r="L32" s="319">
        <f>'BD Team'!K39</f>
        <v>204.58</v>
      </c>
      <c r="M32" s="318">
        <f>Pricing!O34</f>
        <v>2892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W30</v>
      </c>
      <c r="B33" s="318" t="str">
        <f>'BD Team'!C40</f>
        <v>M15000</v>
      </c>
      <c r="C33" s="318" t="str">
        <f>'BD Team'!D40</f>
        <v>TOP HUNG WINDOW WITH TOP FIXED</v>
      </c>
      <c r="D33" s="318" t="str">
        <f>'BD Team'!E40</f>
        <v>12MM</v>
      </c>
      <c r="E33" s="318" t="str">
        <f>'BD Team'!G40</f>
        <v>2F - STORE</v>
      </c>
      <c r="F33" s="318" t="str">
        <f>'BD Team'!F40</f>
        <v>NO</v>
      </c>
      <c r="I33" s="318">
        <f>'BD Team'!H40</f>
        <v>916</v>
      </c>
      <c r="J33" s="318">
        <f>'BD Team'!I40</f>
        <v>1830</v>
      </c>
      <c r="K33" s="318">
        <f>'BD Team'!J40</f>
        <v>1</v>
      </c>
      <c r="L33" s="319">
        <f>'BD Team'!K40</f>
        <v>246.33</v>
      </c>
      <c r="M33" s="318">
        <f>Pricing!O35</f>
        <v>1890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W31</v>
      </c>
      <c r="B34" s="318" t="str">
        <f>'BD Team'!C41</f>
        <v>M15000</v>
      </c>
      <c r="C34" s="318" t="str">
        <f>'BD Team'!D41</f>
        <v>FIXED GLASS 2 NO'S</v>
      </c>
      <c r="D34" s="318" t="str">
        <f>'BD Team'!E41</f>
        <v>12MM</v>
      </c>
      <c r="E34" s="318" t="str">
        <f>'BD Team'!G41</f>
        <v>2F - GYM</v>
      </c>
      <c r="F34" s="318" t="str">
        <f>'BD Team'!F41</f>
        <v>NO</v>
      </c>
      <c r="I34" s="318">
        <f>'BD Team'!H41</f>
        <v>3278</v>
      </c>
      <c r="J34" s="318">
        <f>'BD Team'!I41</f>
        <v>3302</v>
      </c>
      <c r="K34" s="318">
        <f>'BD Team'!J41</f>
        <v>1</v>
      </c>
      <c r="L34" s="319">
        <f>'BD Team'!K41</f>
        <v>251.69</v>
      </c>
      <c r="M34" s="318">
        <f>Pricing!O36</f>
        <v>1890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W32</v>
      </c>
      <c r="B35" s="318" t="str">
        <f>'BD Team'!C42</f>
        <v>M15000</v>
      </c>
      <c r="C35" s="318" t="str">
        <f>'BD Team'!D42</f>
        <v>FIXED GLASS 2 NO'S</v>
      </c>
      <c r="D35" s="318" t="str">
        <f>'BD Team'!E42</f>
        <v>12MM</v>
      </c>
      <c r="E35" s="318" t="str">
        <f>'BD Team'!G42</f>
        <v>2F - GYM</v>
      </c>
      <c r="F35" s="318" t="str">
        <f>'BD Team'!F42</f>
        <v>NO</v>
      </c>
      <c r="I35" s="318">
        <f>'BD Team'!H42</f>
        <v>3734</v>
      </c>
      <c r="J35" s="318">
        <f>'BD Team'!I42</f>
        <v>3302</v>
      </c>
      <c r="K35" s="318">
        <f>'BD Team'!J42</f>
        <v>1</v>
      </c>
      <c r="L35" s="319">
        <f>'BD Team'!K42</f>
        <v>258.88</v>
      </c>
      <c r="M35" s="318">
        <f>Pricing!O37</f>
        <v>1890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W33</v>
      </c>
      <c r="B36" s="318" t="str">
        <f>'BD Team'!C43</f>
        <v>M15000</v>
      </c>
      <c r="C36" s="318" t="str">
        <f>'BD Team'!D43</f>
        <v>TOP HUNG WINDOW</v>
      </c>
      <c r="D36" s="318" t="str">
        <f>'BD Team'!E43</f>
        <v>12MM (F)</v>
      </c>
      <c r="E36" s="318" t="str">
        <f>'BD Team'!G43</f>
        <v>POOL AREA DRESS</v>
      </c>
      <c r="F36" s="318" t="str">
        <f>'BD Team'!F43</f>
        <v>NO</v>
      </c>
      <c r="I36" s="318">
        <f>'BD Team'!H43</f>
        <v>500</v>
      </c>
      <c r="J36" s="318">
        <f>'BD Team'!I43</f>
        <v>1020</v>
      </c>
      <c r="K36" s="318">
        <f>'BD Team'!J43</f>
        <v>1</v>
      </c>
      <c r="L36" s="319">
        <f>'BD Team'!K43</f>
        <v>150.78</v>
      </c>
      <c r="M36" s="318">
        <f>Pricing!O38</f>
        <v>2892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W34</v>
      </c>
      <c r="B37" s="318" t="str">
        <f>'BD Team'!C44</f>
        <v>M15000</v>
      </c>
      <c r="C37" s="318" t="str">
        <f>'BD Team'!D44</f>
        <v>FIXED GLASS 2 NO'S</v>
      </c>
      <c r="D37" s="318" t="str">
        <f>'BD Team'!E44</f>
        <v>12MM</v>
      </c>
      <c r="E37" s="318" t="str">
        <f>'BD Team'!G44</f>
        <v>POOL AREA</v>
      </c>
      <c r="F37" s="318" t="str">
        <f>'BD Team'!F44</f>
        <v>NO</v>
      </c>
      <c r="I37" s="318">
        <f>'BD Team'!H44</f>
        <v>3200</v>
      </c>
      <c r="J37" s="318">
        <f>'BD Team'!I44</f>
        <v>2600</v>
      </c>
      <c r="K37" s="318">
        <f>'BD Team'!J44</f>
        <v>1</v>
      </c>
      <c r="L37" s="319">
        <f>'BD Team'!K44</f>
        <v>176.23</v>
      </c>
      <c r="M37" s="318">
        <f>Pricing!O39</f>
        <v>1890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W35</v>
      </c>
      <c r="B38" s="318" t="str">
        <f>'BD Team'!C45</f>
        <v>M15000</v>
      </c>
      <c r="C38" s="318" t="str">
        <f>'BD Team'!D45</f>
        <v>FIXED GLASS</v>
      </c>
      <c r="D38" s="318" t="str">
        <f>'BD Team'!E45</f>
        <v>12MM</v>
      </c>
      <c r="E38" s="318" t="str">
        <f>'BD Team'!G45</f>
        <v>POOL AREA</v>
      </c>
      <c r="F38" s="318" t="str">
        <f>'BD Team'!F45</f>
        <v>NO</v>
      </c>
      <c r="I38" s="318">
        <f>'BD Team'!H45</f>
        <v>2300</v>
      </c>
      <c r="J38" s="318">
        <f>'BD Team'!I45</f>
        <v>2600</v>
      </c>
      <c r="K38" s="318">
        <f>'BD Team'!J45</f>
        <v>1</v>
      </c>
      <c r="L38" s="319">
        <f>'BD Team'!K45</f>
        <v>83.72</v>
      </c>
      <c r="M38" s="318">
        <f>Pricing!O40</f>
        <v>1890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7" zoomScale="75" zoomScaleNormal="75" zoomScaleSheetLayoutView="75" workbookViewId="0">
      <selection activeCell="B46" sqref="B4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9" t="s">
        <v>126</v>
      </c>
      <c r="B2" s="329"/>
      <c r="C2" s="329"/>
      <c r="D2" s="329"/>
      <c r="E2" s="162" t="s">
        <v>421</v>
      </c>
      <c r="F2" s="137"/>
      <c r="G2" s="163"/>
      <c r="H2" s="330" t="s">
        <v>185</v>
      </c>
      <c r="I2" s="331"/>
      <c r="J2" s="165" t="s">
        <v>420</v>
      </c>
      <c r="K2" s="167"/>
      <c r="L2" s="104" t="s">
        <v>208</v>
      </c>
      <c r="M2" s="104" t="s">
        <v>382</v>
      </c>
    </row>
    <row r="3" spans="1:13" s="104" customFormat="1">
      <c r="A3" s="329" t="s">
        <v>127</v>
      </c>
      <c r="B3" s="329"/>
      <c r="C3" s="329"/>
      <c r="D3" s="329"/>
      <c r="E3" s="162" t="s">
        <v>422</v>
      </c>
      <c r="F3" s="136" t="s">
        <v>183</v>
      </c>
      <c r="G3" s="162" t="s">
        <v>419</v>
      </c>
      <c r="H3" s="330" t="s">
        <v>186</v>
      </c>
      <c r="I3" s="331"/>
      <c r="J3" s="166">
        <v>43664</v>
      </c>
      <c r="K3" s="167"/>
      <c r="L3" s="104" t="s">
        <v>258</v>
      </c>
      <c r="M3" s="104" t="s">
        <v>383</v>
      </c>
    </row>
    <row r="4" spans="1:13" s="104" customFormat="1" ht="18">
      <c r="A4" s="329" t="s">
        <v>169</v>
      </c>
      <c r="B4" s="329"/>
      <c r="C4" s="329"/>
      <c r="D4" s="329"/>
      <c r="E4" s="162" t="s">
        <v>370</v>
      </c>
      <c r="F4" s="135"/>
      <c r="G4" s="164"/>
      <c r="H4" s="330" t="s">
        <v>187</v>
      </c>
      <c r="I4" s="331"/>
      <c r="J4" s="165" t="s">
        <v>386</v>
      </c>
      <c r="K4" s="167"/>
      <c r="L4" s="104" t="s">
        <v>259</v>
      </c>
      <c r="M4" s="104" t="s">
        <v>384</v>
      </c>
    </row>
    <row r="5" spans="1:13" s="104" customFormat="1">
      <c r="A5" s="329" t="s">
        <v>177</v>
      </c>
      <c r="B5" s="329"/>
      <c r="C5" s="329"/>
      <c r="D5" s="329"/>
      <c r="E5" s="162" t="s">
        <v>423</v>
      </c>
      <c r="F5" s="136" t="s">
        <v>184</v>
      </c>
      <c r="G5" s="162" t="s">
        <v>208</v>
      </c>
      <c r="H5" s="330" t="s">
        <v>376</v>
      </c>
      <c r="I5" s="331"/>
      <c r="J5" s="165"/>
      <c r="K5" s="167"/>
      <c r="L5" s="104" t="s">
        <v>260</v>
      </c>
      <c r="M5" s="104" t="s">
        <v>385</v>
      </c>
    </row>
    <row r="6" spans="1:13" ht="18">
      <c r="A6" s="329"/>
      <c r="B6" s="329"/>
      <c r="C6" s="329"/>
      <c r="D6" s="329"/>
      <c r="E6" s="133"/>
      <c r="F6" s="133"/>
      <c r="G6" s="323"/>
      <c r="H6" s="323"/>
      <c r="I6" s="323"/>
      <c r="J6" s="323"/>
      <c r="K6" s="134"/>
      <c r="L6" s="47" t="s">
        <v>261</v>
      </c>
      <c r="M6" s="47" t="s">
        <v>110</v>
      </c>
    </row>
    <row r="7" spans="1:13" ht="38.25" customHeight="1">
      <c r="A7" s="324" t="s">
        <v>62</v>
      </c>
      <c r="B7" s="326" t="s">
        <v>116</v>
      </c>
      <c r="C7" s="151" t="s">
        <v>206</v>
      </c>
      <c r="D7" s="326" t="s">
        <v>118</v>
      </c>
      <c r="E7" s="326" t="s">
        <v>117</v>
      </c>
      <c r="F7" s="326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1" t="s">
        <v>220</v>
      </c>
      <c r="L7" s="47" t="s">
        <v>262</v>
      </c>
      <c r="M7" s="47" t="s">
        <v>386</v>
      </c>
    </row>
    <row r="8" spans="1:13">
      <c r="A8" s="325"/>
      <c r="B8" s="327"/>
      <c r="C8" s="152"/>
      <c r="D8" s="327"/>
      <c r="E8" s="327"/>
      <c r="F8" s="328"/>
      <c r="G8" s="102" t="s">
        <v>2</v>
      </c>
      <c r="H8" s="102" t="s">
        <v>68</v>
      </c>
      <c r="I8" s="115" t="s">
        <v>68</v>
      </c>
      <c r="J8" s="116" t="s">
        <v>113</v>
      </c>
      <c r="K8" s="322"/>
      <c r="M8" s="47" t="s">
        <v>404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270</v>
      </c>
      <c r="F9" s="113" t="s">
        <v>427</v>
      </c>
      <c r="G9" s="113" t="s">
        <v>428</v>
      </c>
      <c r="H9" s="113">
        <v>7392</v>
      </c>
      <c r="I9" s="113">
        <v>1220</v>
      </c>
      <c r="J9" s="113">
        <v>1</v>
      </c>
      <c r="K9" s="123">
        <v>184.61</v>
      </c>
    </row>
    <row r="10" spans="1:13" ht="20.100000000000001" customHeight="1">
      <c r="A10" s="113">
        <v>2</v>
      </c>
      <c r="B10" s="113" t="s">
        <v>429</v>
      </c>
      <c r="C10" s="113" t="s">
        <v>425</v>
      </c>
      <c r="D10" s="113" t="s">
        <v>426</v>
      </c>
      <c r="E10" s="113" t="s">
        <v>270</v>
      </c>
      <c r="F10" s="113" t="s">
        <v>427</v>
      </c>
      <c r="G10" s="113" t="s">
        <v>430</v>
      </c>
      <c r="H10" s="113">
        <v>4192</v>
      </c>
      <c r="I10" s="113">
        <v>3506</v>
      </c>
      <c r="J10" s="113">
        <v>1</v>
      </c>
      <c r="K10" s="123">
        <v>294.02</v>
      </c>
      <c r="L10" s="47" t="s">
        <v>283</v>
      </c>
    </row>
    <row r="11" spans="1:13" ht="20.100000000000001" customHeight="1">
      <c r="A11" s="113">
        <v>3</v>
      </c>
      <c r="B11" s="113" t="s">
        <v>431</v>
      </c>
      <c r="C11" s="113" t="s">
        <v>432</v>
      </c>
      <c r="D11" s="113" t="s">
        <v>433</v>
      </c>
      <c r="E11" s="113" t="s">
        <v>271</v>
      </c>
      <c r="F11" s="113" t="s">
        <v>434</v>
      </c>
      <c r="G11" s="113" t="s">
        <v>435</v>
      </c>
      <c r="H11" s="113">
        <v>1830</v>
      </c>
      <c r="I11" s="113">
        <v>610</v>
      </c>
      <c r="J11" s="113">
        <v>1</v>
      </c>
      <c r="K11" s="123">
        <v>250.1</v>
      </c>
      <c r="L11" s="47" t="s">
        <v>282</v>
      </c>
    </row>
    <row r="12" spans="1:13" ht="20.100000000000001" customHeight="1">
      <c r="A12" s="113">
        <v>4</v>
      </c>
      <c r="B12" s="113" t="s">
        <v>436</v>
      </c>
      <c r="C12" s="113" t="s">
        <v>425</v>
      </c>
      <c r="D12" s="113" t="s">
        <v>437</v>
      </c>
      <c r="E12" s="113" t="s">
        <v>270</v>
      </c>
      <c r="F12" s="113" t="s">
        <v>427</v>
      </c>
      <c r="G12" s="113" t="s">
        <v>438</v>
      </c>
      <c r="H12" s="113">
        <v>1830</v>
      </c>
      <c r="I12" s="113">
        <v>2896</v>
      </c>
      <c r="J12" s="113">
        <v>1</v>
      </c>
      <c r="K12" s="123">
        <v>80.98</v>
      </c>
      <c r="L12" s="47" t="s">
        <v>366</v>
      </c>
    </row>
    <row r="13" spans="1:13" ht="20.100000000000001" customHeight="1">
      <c r="A13" s="113">
        <v>5</v>
      </c>
      <c r="B13" s="113" t="s">
        <v>439</v>
      </c>
      <c r="C13" s="113" t="s">
        <v>432</v>
      </c>
      <c r="D13" s="113" t="s">
        <v>440</v>
      </c>
      <c r="E13" s="113" t="s">
        <v>271</v>
      </c>
      <c r="F13" s="113" t="s">
        <v>441</v>
      </c>
      <c r="G13" s="113" t="s">
        <v>442</v>
      </c>
      <c r="H13" s="113">
        <v>4268</v>
      </c>
      <c r="I13" s="113">
        <v>2896</v>
      </c>
      <c r="J13" s="113">
        <v>1</v>
      </c>
      <c r="K13" s="123">
        <v>1025.04</v>
      </c>
      <c r="L13" s="47" t="s">
        <v>367</v>
      </c>
    </row>
    <row r="14" spans="1:13">
      <c r="A14" s="113">
        <v>6</v>
      </c>
      <c r="B14" s="113" t="s">
        <v>443</v>
      </c>
      <c r="C14" s="113" t="s">
        <v>425</v>
      </c>
      <c r="D14" s="113" t="s">
        <v>444</v>
      </c>
      <c r="E14" s="113" t="s">
        <v>445</v>
      </c>
      <c r="F14" s="113" t="s">
        <v>427</v>
      </c>
      <c r="G14" s="113" t="s">
        <v>446</v>
      </c>
      <c r="H14" s="113">
        <v>610</v>
      </c>
      <c r="I14" s="113">
        <v>1068</v>
      </c>
      <c r="J14" s="113">
        <v>1</v>
      </c>
      <c r="K14" s="123">
        <v>188.98</v>
      </c>
      <c r="L14" s="47" t="s">
        <v>368</v>
      </c>
    </row>
    <row r="15" spans="1:13" ht="20.100000000000001" customHeight="1">
      <c r="A15" s="113">
        <v>7</v>
      </c>
      <c r="B15" s="113" t="s">
        <v>447</v>
      </c>
      <c r="C15" s="113" t="s">
        <v>432</v>
      </c>
      <c r="D15" s="113" t="s">
        <v>433</v>
      </c>
      <c r="E15" s="113" t="s">
        <v>271</v>
      </c>
      <c r="F15" s="113" t="s">
        <v>434</v>
      </c>
      <c r="G15" s="113" t="s">
        <v>448</v>
      </c>
      <c r="H15" s="113">
        <v>1830</v>
      </c>
      <c r="I15" s="113">
        <v>2592</v>
      </c>
      <c r="J15" s="113">
        <v>1</v>
      </c>
      <c r="K15" s="123">
        <v>522.89</v>
      </c>
      <c r="L15" s="47" t="s">
        <v>369</v>
      </c>
    </row>
    <row r="16" spans="1:13" ht="20.100000000000001" customHeight="1">
      <c r="A16" s="113">
        <v>8</v>
      </c>
      <c r="B16" s="113" t="s">
        <v>449</v>
      </c>
      <c r="C16" s="113" t="s">
        <v>425</v>
      </c>
      <c r="D16" s="113" t="s">
        <v>437</v>
      </c>
      <c r="E16" s="113" t="s">
        <v>445</v>
      </c>
      <c r="F16" s="113" t="s">
        <v>427</v>
      </c>
      <c r="G16" s="113" t="s">
        <v>450</v>
      </c>
      <c r="H16" s="113">
        <v>3202</v>
      </c>
      <c r="I16" s="113">
        <v>610</v>
      </c>
      <c r="J16" s="113">
        <v>1</v>
      </c>
      <c r="K16" s="123">
        <v>66.75</v>
      </c>
      <c r="L16" s="47" t="s">
        <v>370</v>
      </c>
    </row>
    <row r="17" spans="1:12" ht="20.100000000000001" customHeight="1">
      <c r="A17" s="113">
        <v>9</v>
      </c>
      <c r="B17" s="113" t="s">
        <v>451</v>
      </c>
      <c r="C17" s="113" t="s">
        <v>425</v>
      </c>
      <c r="D17" s="113" t="s">
        <v>452</v>
      </c>
      <c r="E17" s="113" t="s">
        <v>270</v>
      </c>
      <c r="F17" s="113" t="s">
        <v>427</v>
      </c>
      <c r="G17" s="113" t="s">
        <v>453</v>
      </c>
      <c r="H17" s="113">
        <v>6326</v>
      </c>
      <c r="I17" s="113">
        <v>3354</v>
      </c>
      <c r="J17" s="113">
        <v>1</v>
      </c>
      <c r="K17" s="123">
        <v>443.17</v>
      </c>
      <c r="L17" s="47" t="s">
        <v>371</v>
      </c>
    </row>
    <row r="18" spans="1:12" ht="20.100000000000001" customHeight="1">
      <c r="A18" s="113">
        <v>10</v>
      </c>
      <c r="B18" s="113" t="s">
        <v>454</v>
      </c>
      <c r="C18" s="113" t="s">
        <v>425</v>
      </c>
      <c r="D18" s="113" t="s">
        <v>455</v>
      </c>
      <c r="E18" s="113" t="s">
        <v>270</v>
      </c>
      <c r="F18" s="113" t="s">
        <v>427</v>
      </c>
      <c r="G18" s="113" t="s">
        <v>456</v>
      </c>
      <c r="H18" s="113">
        <v>2706</v>
      </c>
      <c r="I18" s="113">
        <v>3048</v>
      </c>
      <c r="J18" s="113">
        <v>1</v>
      </c>
      <c r="K18" s="123">
        <v>455.48</v>
      </c>
      <c r="L18" s="47" t="s">
        <v>372</v>
      </c>
    </row>
    <row r="19" spans="1:12" ht="20.100000000000001" customHeight="1">
      <c r="A19" s="113">
        <v>11</v>
      </c>
      <c r="B19" s="113" t="s">
        <v>457</v>
      </c>
      <c r="C19" s="113" t="s">
        <v>432</v>
      </c>
      <c r="D19" s="113" t="s">
        <v>458</v>
      </c>
      <c r="E19" s="113" t="s">
        <v>271</v>
      </c>
      <c r="F19" s="113" t="s">
        <v>441</v>
      </c>
      <c r="G19" s="113" t="s">
        <v>456</v>
      </c>
      <c r="H19" s="113">
        <v>2134</v>
      </c>
      <c r="I19" s="113">
        <v>3048</v>
      </c>
      <c r="J19" s="113">
        <v>1</v>
      </c>
      <c r="K19" s="123">
        <v>522.96</v>
      </c>
      <c r="L19" s="47" t="s">
        <v>373</v>
      </c>
    </row>
    <row r="20" spans="1:12">
      <c r="A20" s="113">
        <v>12</v>
      </c>
      <c r="B20" s="113" t="s">
        <v>459</v>
      </c>
      <c r="C20" s="113" t="s">
        <v>425</v>
      </c>
      <c r="D20" s="113" t="s">
        <v>437</v>
      </c>
      <c r="E20" s="113" t="s">
        <v>270</v>
      </c>
      <c r="F20" s="113" t="s">
        <v>427</v>
      </c>
      <c r="G20" s="113" t="s">
        <v>460</v>
      </c>
      <c r="H20" s="113">
        <v>916</v>
      </c>
      <c r="I20" s="113">
        <v>2744</v>
      </c>
      <c r="J20" s="113">
        <v>1</v>
      </c>
      <c r="K20" s="123">
        <v>64.03</v>
      </c>
      <c r="L20" s="47" t="s">
        <v>387</v>
      </c>
    </row>
    <row r="21" spans="1:12" ht="20.100000000000001" customHeight="1">
      <c r="A21" s="113">
        <v>13</v>
      </c>
      <c r="B21" s="113" t="s">
        <v>461</v>
      </c>
      <c r="C21" s="113" t="s">
        <v>425</v>
      </c>
      <c r="D21" s="113" t="s">
        <v>437</v>
      </c>
      <c r="E21" s="113" t="s">
        <v>270</v>
      </c>
      <c r="F21" s="113" t="s">
        <v>427</v>
      </c>
      <c r="G21" s="113" t="s">
        <v>462</v>
      </c>
      <c r="H21" s="113">
        <v>1000</v>
      </c>
      <c r="I21" s="113">
        <v>2200</v>
      </c>
      <c r="J21" s="113">
        <v>2</v>
      </c>
      <c r="K21" s="123">
        <v>56.78</v>
      </c>
      <c r="L21" s="47" t="s">
        <v>388</v>
      </c>
    </row>
    <row r="22" spans="1:12" ht="20.100000000000001" customHeight="1">
      <c r="A22" s="113">
        <v>14</v>
      </c>
      <c r="B22" s="113" t="s">
        <v>463</v>
      </c>
      <c r="C22" s="113" t="s">
        <v>425</v>
      </c>
      <c r="D22" s="113" t="s">
        <v>464</v>
      </c>
      <c r="E22" s="113" t="s">
        <v>445</v>
      </c>
      <c r="F22" s="113" t="s">
        <v>427</v>
      </c>
      <c r="G22" s="113" t="s">
        <v>465</v>
      </c>
      <c r="H22" s="113">
        <v>610</v>
      </c>
      <c r="I22" s="113">
        <v>1830</v>
      </c>
      <c r="J22" s="113">
        <v>1</v>
      </c>
      <c r="K22" s="123">
        <v>223.57</v>
      </c>
      <c r="L22" s="47" t="s">
        <v>389</v>
      </c>
    </row>
    <row r="23" spans="1:12" ht="20.100000000000001" customHeight="1">
      <c r="A23" s="113">
        <v>15</v>
      </c>
      <c r="B23" s="113" t="s">
        <v>466</v>
      </c>
      <c r="C23" s="113" t="s">
        <v>432</v>
      </c>
      <c r="D23" s="113" t="s">
        <v>467</v>
      </c>
      <c r="E23" s="113" t="s">
        <v>271</v>
      </c>
      <c r="F23" s="113" t="s">
        <v>434</v>
      </c>
      <c r="G23" s="113" t="s">
        <v>468</v>
      </c>
      <c r="H23" s="113">
        <v>1906</v>
      </c>
      <c r="I23" s="113">
        <v>2744</v>
      </c>
      <c r="J23" s="113">
        <v>1</v>
      </c>
      <c r="K23" s="123">
        <v>576.78</v>
      </c>
      <c r="L23" s="47" t="s">
        <v>405</v>
      </c>
    </row>
    <row r="24" spans="1:12" ht="20.100000000000001" customHeight="1">
      <c r="A24" s="113">
        <v>16</v>
      </c>
      <c r="B24" s="113" t="s">
        <v>469</v>
      </c>
      <c r="C24" s="113" t="s">
        <v>425</v>
      </c>
      <c r="D24" s="113" t="s">
        <v>437</v>
      </c>
      <c r="E24" s="113" t="s">
        <v>270</v>
      </c>
      <c r="F24" s="113" t="s">
        <v>427</v>
      </c>
      <c r="G24" s="113" t="s">
        <v>468</v>
      </c>
      <c r="H24" s="113">
        <v>916</v>
      </c>
      <c r="I24" s="113">
        <v>2896</v>
      </c>
      <c r="J24" s="113">
        <v>2</v>
      </c>
      <c r="K24" s="123">
        <v>66.42</v>
      </c>
    </row>
    <row r="25" spans="1:12" ht="20.100000000000001" customHeight="1">
      <c r="A25" s="113">
        <v>17</v>
      </c>
      <c r="B25" s="113" t="s">
        <v>470</v>
      </c>
      <c r="C25" s="113" t="s">
        <v>425</v>
      </c>
      <c r="D25" s="113" t="s">
        <v>437</v>
      </c>
      <c r="E25" s="113" t="s">
        <v>445</v>
      </c>
      <c r="F25" s="113" t="s">
        <v>427</v>
      </c>
      <c r="G25" s="113" t="s">
        <v>471</v>
      </c>
      <c r="H25" s="113">
        <v>458</v>
      </c>
      <c r="I25" s="113">
        <v>2896</v>
      </c>
      <c r="J25" s="113">
        <v>4</v>
      </c>
      <c r="K25" s="123">
        <v>59.04</v>
      </c>
    </row>
    <row r="26" spans="1:12">
      <c r="A26" s="113">
        <v>18</v>
      </c>
      <c r="B26" s="113" t="s">
        <v>472</v>
      </c>
      <c r="C26" s="113" t="s">
        <v>425</v>
      </c>
      <c r="D26" s="113" t="s">
        <v>437</v>
      </c>
      <c r="E26" s="113" t="s">
        <v>445</v>
      </c>
      <c r="F26" s="113" t="s">
        <v>427</v>
      </c>
      <c r="G26" s="113" t="s">
        <v>473</v>
      </c>
      <c r="H26" s="113">
        <v>916</v>
      </c>
      <c r="I26" s="113">
        <v>2896</v>
      </c>
      <c r="J26" s="113">
        <v>1</v>
      </c>
      <c r="K26" s="123">
        <v>66.42</v>
      </c>
    </row>
    <row r="27" spans="1:12" ht="20.100000000000001" customHeight="1">
      <c r="A27" s="113">
        <v>19</v>
      </c>
      <c r="B27" s="113" t="s">
        <v>474</v>
      </c>
      <c r="C27" s="113" t="s">
        <v>425</v>
      </c>
      <c r="D27" s="113" t="s">
        <v>444</v>
      </c>
      <c r="E27" s="113" t="s">
        <v>445</v>
      </c>
      <c r="F27" s="113" t="s">
        <v>427</v>
      </c>
      <c r="G27" s="113" t="s">
        <v>475</v>
      </c>
      <c r="H27" s="113">
        <v>916</v>
      </c>
      <c r="I27" s="113">
        <v>1068</v>
      </c>
      <c r="J27" s="113">
        <v>1</v>
      </c>
      <c r="K27" s="123">
        <v>220.03</v>
      </c>
    </row>
    <row r="28" spans="1:12" ht="20.100000000000001" customHeight="1">
      <c r="A28" s="113">
        <v>20</v>
      </c>
      <c r="B28" s="113" t="s">
        <v>476</v>
      </c>
      <c r="C28" s="113" t="s">
        <v>425</v>
      </c>
      <c r="D28" s="113" t="s">
        <v>437</v>
      </c>
      <c r="E28" s="113" t="s">
        <v>270</v>
      </c>
      <c r="F28" s="113" t="s">
        <v>427</v>
      </c>
      <c r="G28" s="113" t="s">
        <v>477</v>
      </c>
      <c r="H28" s="113">
        <v>1000</v>
      </c>
      <c r="I28" s="113">
        <v>2200</v>
      </c>
      <c r="J28" s="113">
        <v>1</v>
      </c>
      <c r="K28" s="123">
        <v>56.78</v>
      </c>
    </row>
    <row r="29" spans="1:12" ht="20.100000000000001" customHeight="1">
      <c r="A29" s="113">
        <v>21</v>
      </c>
      <c r="B29" s="113" t="s">
        <v>478</v>
      </c>
      <c r="C29" s="113" t="s">
        <v>425</v>
      </c>
      <c r="D29" s="113" t="s">
        <v>426</v>
      </c>
      <c r="E29" s="113" t="s">
        <v>270</v>
      </c>
      <c r="F29" s="113" t="s">
        <v>427</v>
      </c>
      <c r="G29" s="113" t="s">
        <v>477</v>
      </c>
      <c r="H29" s="113">
        <v>3278</v>
      </c>
      <c r="I29" s="113">
        <v>2440</v>
      </c>
      <c r="J29" s="113">
        <v>1</v>
      </c>
      <c r="K29" s="123">
        <v>170.84</v>
      </c>
    </row>
    <row r="30" spans="1:12" ht="20.100000000000001" customHeight="1">
      <c r="A30" s="113">
        <v>22</v>
      </c>
      <c r="B30" s="113" t="s">
        <v>479</v>
      </c>
      <c r="C30" s="113" t="s">
        <v>425</v>
      </c>
      <c r="D30" s="113" t="s">
        <v>452</v>
      </c>
      <c r="E30" s="113" t="s">
        <v>270</v>
      </c>
      <c r="F30" s="113" t="s">
        <v>427</v>
      </c>
      <c r="G30" s="113" t="s">
        <v>480</v>
      </c>
      <c r="H30" s="113">
        <v>6326</v>
      </c>
      <c r="I30" s="113">
        <v>2400</v>
      </c>
      <c r="J30" s="113">
        <v>1</v>
      </c>
      <c r="K30" s="123">
        <v>287.54000000000002</v>
      </c>
    </row>
    <row r="31" spans="1:12" ht="20.100000000000001" customHeight="1">
      <c r="A31" s="113">
        <v>23</v>
      </c>
      <c r="B31" s="113" t="s">
        <v>481</v>
      </c>
      <c r="C31" s="113" t="s">
        <v>482</v>
      </c>
      <c r="D31" s="113" t="s">
        <v>483</v>
      </c>
      <c r="E31" s="113" t="s">
        <v>264</v>
      </c>
      <c r="F31" s="113" t="s">
        <v>427</v>
      </c>
      <c r="G31" s="113" t="s">
        <v>484</v>
      </c>
      <c r="H31" s="113">
        <v>3658</v>
      </c>
      <c r="I31" s="113">
        <v>3302</v>
      </c>
      <c r="J31" s="113">
        <v>1</v>
      </c>
      <c r="K31" s="123">
        <v>3483.31</v>
      </c>
    </row>
    <row r="32" spans="1:12">
      <c r="A32" s="113">
        <v>24</v>
      </c>
      <c r="B32" s="113" t="s">
        <v>485</v>
      </c>
      <c r="C32" s="113" t="s">
        <v>425</v>
      </c>
      <c r="D32" s="113" t="s">
        <v>486</v>
      </c>
      <c r="E32" s="113" t="s">
        <v>270</v>
      </c>
      <c r="F32" s="113" t="s">
        <v>427</v>
      </c>
      <c r="G32" s="113" t="s">
        <v>487</v>
      </c>
      <c r="H32" s="113">
        <v>6326</v>
      </c>
      <c r="I32" s="113">
        <v>3302</v>
      </c>
      <c r="J32" s="113">
        <v>1</v>
      </c>
      <c r="K32" s="123">
        <v>582.73</v>
      </c>
    </row>
    <row r="33" spans="1:11" ht="20.100000000000001" customHeight="1">
      <c r="A33" s="113">
        <v>25</v>
      </c>
      <c r="B33" s="113" t="s">
        <v>488</v>
      </c>
      <c r="C33" s="113" t="s">
        <v>425</v>
      </c>
      <c r="D33" s="113" t="s">
        <v>452</v>
      </c>
      <c r="E33" s="113" t="s">
        <v>270</v>
      </c>
      <c r="F33" s="113" t="s">
        <v>427</v>
      </c>
      <c r="G33" s="113" t="s">
        <v>489</v>
      </c>
      <c r="H33" s="113">
        <v>4878</v>
      </c>
      <c r="I33" s="113">
        <v>2896</v>
      </c>
      <c r="J33" s="113">
        <v>1</v>
      </c>
      <c r="K33" s="123">
        <v>380.62</v>
      </c>
    </row>
    <row r="34" spans="1:11" ht="20.100000000000001" customHeight="1">
      <c r="A34" s="113">
        <v>26</v>
      </c>
      <c r="B34" s="113" t="s">
        <v>490</v>
      </c>
      <c r="C34" s="113" t="s">
        <v>425</v>
      </c>
      <c r="D34" s="113" t="s">
        <v>426</v>
      </c>
      <c r="E34" s="113" t="s">
        <v>270</v>
      </c>
      <c r="F34" s="113" t="s">
        <v>427</v>
      </c>
      <c r="G34" s="113" t="s">
        <v>491</v>
      </c>
      <c r="H34" s="113">
        <v>2744</v>
      </c>
      <c r="I34" s="113">
        <v>2896</v>
      </c>
      <c r="J34" s="113">
        <v>1</v>
      </c>
      <c r="K34" s="123">
        <v>181.27</v>
      </c>
    </row>
    <row r="35" spans="1:11" ht="20.100000000000001" customHeight="1">
      <c r="A35" s="113">
        <v>27</v>
      </c>
      <c r="B35" s="113" t="s">
        <v>492</v>
      </c>
      <c r="C35" s="113" t="s">
        <v>425</v>
      </c>
      <c r="D35" s="113" t="s">
        <v>437</v>
      </c>
      <c r="E35" s="113" t="s">
        <v>270</v>
      </c>
      <c r="F35" s="113" t="s">
        <v>427</v>
      </c>
      <c r="G35" s="113" t="s">
        <v>493</v>
      </c>
      <c r="H35" s="113">
        <v>382</v>
      </c>
      <c r="I35" s="113">
        <v>2896</v>
      </c>
      <c r="J35" s="113">
        <v>3</v>
      </c>
      <c r="K35" s="123">
        <v>57.85</v>
      </c>
    </row>
    <row r="36" spans="1:11" ht="20.100000000000001" customHeight="1">
      <c r="A36" s="113">
        <v>28</v>
      </c>
      <c r="B36" s="113" t="s">
        <v>494</v>
      </c>
      <c r="C36" s="113" t="s">
        <v>425</v>
      </c>
      <c r="D36" s="113" t="s">
        <v>437</v>
      </c>
      <c r="E36" s="113" t="s">
        <v>445</v>
      </c>
      <c r="F36" s="113" t="s">
        <v>427</v>
      </c>
      <c r="G36" s="113" t="s">
        <v>495</v>
      </c>
      <c r="H36" s="113">
        <v>534</v>
      </c>
      <c r="I36" s="113">
        <v>2896</v>
      </c>
      <c r="J36" s="113">
        <v>1</v>
      </c>
      <c r="K36" s="123">
        <v>60.4</v>
      </c>
    </row>
    <row r="37" spans="1:11" ht="20.100000000000001" customHeight="1">
      <c r="A37" s="113">
        <v>29</v>
      </c>
      <c r="B37" s="113" t="s">
        <v>496</v>
      </c>
      <c r="C37" s="113" t="s">
        <v>425</v>
      </c>
      <c r="D37" s="113" t="s">
        <v>437</v>
      </c>
      <c r="E37" s="113" t="s">
        <v>445</v>
      </c>
      <c r="F37" s="113" t="s">
        <v>427</v>
      </c>
      <c r="G37" s="113" t="s">
        <v>495</v>
      </c>
      <c r="H37" s="113">
        <v>610</v>
      </c>
      <c r="I37" s="113">
        <v>2896</v>
      </c>
      <c r="J37" s="113">
        <v>1</v>
      </c>
      <c r="K37" s="123">
        <v>61.6</v>
      </c>
    </row>
    <row r="38" spans="1:11">
      <c r="A38" s="113">
        <v>30</v>
      </c>
      <c r="B38" s="113" t="s">
        <v>497</v>
      </c>
      <c r="C38" s="113" t="s">
        <v>425</v>
      </c>
      <c r="D38" s="113" t="s">
        <v>437</v>
      </c>
      <c r="E38" s="113" t="s">
        <v>445</v>
      </c>
      <c r="F38" s="113" t="s">
        <v>427</v>
      </c>
      <c r="G38" s="113" t="s">
        <v>498</v>
      </c>
      <c r="H38" s="113">
        <v>916</v>
      </c>
      <c r="I38" s="113">
        <v>2896</v>
      </c>
      <c r="J38" s="113">
        <v>1</v>
      </c>
      <c r="K38" s="123">
        <v>66.42</v>
      </c>
    </row>
    <row r="39" spans="1:11" ht="20.100000000000001" customHeight="1">
      <c r="A39" s="113">
        <v>31</v>
      </c>
      <c r="B39" s="113" t="s">
        <v>499</v>
      </c>
      <c r="C39" s="113" t="s">
        <v>425</v>
      </c>
      <c r="D39" s="113" t="s">
        <v>444</v>
      </c>
      <c r="E39" s="113" t="s">
        <v>445</v>
      </c>
      <c r="F39" s="113" t="s">
        <v>427</v>
      </c>
      <c r="G39" s="113" t="s">
        <v>500</v>
      </c>
      <c r="H39" s="113">
        <v>916</v>
      </c>
      <c r="I39" s="113">
        <v>1068</v>
      </c>
      <c r="J39" s="113">
        <v>1</v>
      </c>
      <c r="K39" s="123">
        <v>204.58</v>
      </c>
    </row>
    <row r="40" spans="1:11" ht="20.100000000000001" customHeight="1">
      <c r="A40" s="113">
        <v>32</v>
      </c>
      <c r="B40" s="113" t="s">
        <v>501</v>
      </c>
      <c r="C40" s="113" t="s">
        <v>425</v>
      </c>
      <c r="D40" s="113" t="s">
        <v>464</v>
      </c>
      <c r="E40" s="113" t="s">
        <v>270</v>
      </c>
      <c r="F40" s="113" t="s">
        <v>427</v>
      </c>
      <c r="G40" s="113" t="s">
        <v>502</v>
      </c>
      <c r="H40" s="113">
        <v>916</v>
      </c>
      <c r="I40" s="113">
        <v>1830</v>
      </c>
      <c r="J40" s="113">
        <v>1</v>
      </c>
      <c r="K40" s="123">
        <v>246.33</v>
      </c>
    </row>
    <row r="41" spans="1:11" ht="20.100000000000001" customHeight="1">
      <c r="A41" s="113">
        <v>33</v>
      </c>
      <c r="B41" s="113" t="s">
        <v>503</v>
      </c>
      <c r="C41" s="113" t="s">
        <v>425</v>
      </c>
      <c r="D41" s="113" t="s">
        <v>426</v>
      </c>
      <c r="E41" s="113" t="s">
        <v>270</v>
      </c>
      <c r="F41" s="113" t="s">
        <v>427</v>
      </c>
      <c r="G41" s="113" t="s">
        <v>504</v>
      </c>
      <c r="H41" s="113">
        <v>3278</v>
      </c>
      <c r="I41" s="113">
        <v>3302</v>
      </c>
      <c r="J41" s="113">
        <v>1</v>
      </c>
      <c r="K41" s="123">
        <v>251.69</v>
      </c>
    </row>
    <row r="42" spans="1:11">
      <c r="A42" s="113">
        <v>34</v>
      </c>
      <c r="B42" s="113" t="s">
        <v>505</v>
      </c>
      <c r="C42" s="113" t="s">
        <v>425</v>
      </c>
      <c r="D42" s="113" t="s">
        <v>426</v>
      </c>
      <c r="E42" s="113" t="s">
        <v>270</v>
      </c>
      <c r="F42" s="113" t="s">
        <v>427</v>
      </c>
      <c r="G42" s="113" t="s">
        <v>504</v>
      </c>
      <c r="H42" s="113">
        <v>3734</v>
      </c>
      <c r="I42" s="113">
        <v>3302</v>
      </c>
      <c r="J42" s="113">
        <v>1</v>
      </c>
      <c r="K42" s="123">
        <v>258.88</v>
      </c>
    </row>
    <row r="43" spans="1:11" ht="20.100000000000001" customHeight="1">
      <c r="A43" s="113">
        <v>35</v>
      </c>
      <c r="B43" s="113" t="s">
        <v>506</v>
      </c>
      <c r="C43" s="113" t="s">
        <v>425</v>
      </c>
      <c r="D43" s="113" t="s">
        <v>444</v>
      </c>
      <c r="E43" s="113" t="s">
        <v>445</v>
      </c>
      <c r="F43" s="113" t="s">
        <v>427</v>
      </c>
      <c r="G43" s="113" t="s">
        <v>507</v>
      </c>
      <c r="H43" s="113">
        <v>500</v>
      </c>
      <c r="I43" s="113">
        <v>1020</v>
      </c>
      <c r="J43" s="113">
        <v>1</v>
      </c>
      <c r="K43" s="123">
        <v>150.78</v>
      </c>
    </row>
    <row r="44" spans="1:11" ht="20.100000000000001" customHeight="1">
      <c r="A44" s="113">
        <v>36</v>
      </c>
      <c r="B44" s="113" t="s">
        <v>508</v>
      </c>
      <c r="C44" s="113" t="s">
        <v>425</v>
      </c>
      <c r="D44" s="113" t="s">
        <v>426</v>
      </c>
      <c r="E44" s="113" t="s">
        <v>270</v>
      </c>
      <c r="F44" s="113" t="s">
        <v>427</v>
      </c>
      <c r="G44" s="113" t="s">
        <v>509</v>
      </c>
      <c r="H44" s="113">
        <v>3200</v>
      </c>
      <c r="I44" s="113">
        <v>2600</v>
      </c>
      <c r="J44" s="113">
        <v>1</v>
      </c>
      <c r="K44" s="123">
        <v>176.23</v>
      </c>
    </row>
    <row r="45" spans="1:11" ht="20.100000000000001" customHeight="1">
      <c r="A45" s="113">
        <v>37</v>
      </c>
      <c r="B45" s="113" t="s">
        <v>510</v>
      </c>
      <c r="C45" s="113" t="s">
        <v>425</v>
      </c>
      <c r="D45" s="113" t="s">
        <v>437</v>
      </c>
      <c r="E45" s="113" t="s">
        <v>270</v>
      </c>
      <c r="F45" s="113" t="s">
        <v>427</v>
      </c>
      <c r="G45" s="113" t="s">
        <v>509</v>
      </c>
      <c r="H45" s="113">
        <v>2300</v>
      </c>
      <c r="I45" s="113">
        <v>2600</v>
      </c>
      <c r="J45" s="113">
        <v>1</v>
      </c>
      <c r="K45" s="123">
        <v>83.72</v>
      </c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15" sqref="R1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400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FIXED GLASS 2 NO'S</v>
      </c>
      <c r="E4" s="118" t="str">
        <f>'BD Team'!F9</f>
        <v>NO</v>
      </c>
      <c r="F4" s="121" t="str">
        <f>'BD Team'!G9</f>
        <v>GF - DRAWING</v>
      </c>
      <c r="G4" s="118">
        <f>'BD Team'!H9</f>
        <v>7392</v>
      </c>
      <c r="H4" s="118">
        <f>'BD Team'!I9</f>
        <v>1220</v>
      </c>
      <c r="I4" s="118">
        <f>'BD Team'!J9</f>
        <v>1</v>
      </c>
      <c r="J4" s="103">
        <f t="shared" ref="J4:J53" si="0">G4*H4*I4*10.764/1000000</f>
        <v>97.072335359999997</v>
      </c>
      <c r="K4" s="172">
        <f>'BD Team'!K9</f>
        <v>184.61</v>
      </c>
      <c r="L4" s="171">
        <f>K4*I4</f>
        <v>184.61</v>
      </c>
      <c r="M4" s="170">
        <f>L4*'Changable Values'!$D$4</f>
        <v>15322.630000000001</v>
      </c>
      <c r="N4" s="170" t="str">
        <f>'BD Team'!E9</f>
        <v>12MM</v>
      </c>
      <c r="O4" s="172">
        <v>1890</v>
      </c>
      <c r="P4" s="241"/>
      <c r="Q4" s="173"/>
      <c r="R4" s="185"/>
      <c r="S4" s="312"/>
      <c r="T4" s="313">
        <f>(G4+H4)*I4*2/300</f>
        <v>57.413333333333334</v>
      </c>
      <c r="U4" s="313">
        <f>SUM(G4:H4)*I4*2*4/1000</f>
        <v>68.896000000000001</v>
      </c>
      <c r="V4" s="313">
        <f>SUM(G4:H4)*I4*5*5*4/(1000*240)</f>
        <v>3.5883333333333334</v>
      </c>
      <c r="W4" s="313">
        <f>T4</f>
        <v>57.413333333333334</v>
      </c>
      <c r="X4" s="313">
        <f>W4*2</f>
        <v>114.82666666666667</v>
      </c>
      <c r="Y4" s="313">
        <f>SUM(G4:H4)*I4*4/1000</f>
        <v>34.448</v>
      </c>
    </row>
    <row r="5" spans="1:25" ht="28.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 2 NO'S</v>
      </c>
      <c r="E5" s="118" t="str">
        <f>'BD Team'!F10</f>
        <v>NO</v>
      </c>
      <c r="F5" s="121" t="str">
        <f>'BD Team'!G10</f>
        <v>GF - DRAWING OPEN TO SKY</v>
      </c>
      <c r="G5" s="118">
        <f>'BD Team'!H10</f>
        <v>4192</v>
      </c>
      <c r="H5" s="118">
        <f>'BD Team'!I10</f>
        <v>3506</v>
      </c>
      <c r="I5" s="118">
        <f>'BD Team'!J10</f>
        <v>1</v>
      </c>
      <c r="J5" s="103">
        <f t="shared" si="0"/>
        <v>158.20014412800001</v>
      </c>
      <c r="K5" s="172">
        <f>'BD Team'!K10</f>
        <v>294.02</v>
      </c>
      <c r="L5" s="171">
        <f t="shared" ref="L5:L53" si="1">K5*I5</f>
        <v>294.02</v>
      </c>
      <c r="M5" s="170">
        <f>L5*'Changable Values'!$D$4</f>
        <v>24403.66</v>
      </c>
      <c r="N5" s="170" t="str">
        <f>'BD Team'!E10</f>
        <v>12MM</v>
      </c>
      <c r="O5" s="172">
        <v>1890</v>
      </c>
      <c r="P5" s="241"/>
      <c r="Q5" s="173"/>
      <c r="R5" s="185"/>
      <c r="S5" s="312"/>
      <c r="T5" s="313">
        <f t="shared" ref="T5:T68" si="2">(G5+H5)*I5*2/300</f>
        <v>51.32</v>
      </c>
      <c r="U5" s="313">
        <f t="shared" ref="U5:U68" si="3">SUM(G5:H5)*I5*2*4/1000</f>
        <v>61.584000000000003</v>
      </c>
      <c r="V5" s="313">
        <f t="shared" ref="V5:V68" si="4">SUM(G5:H5)*I5*5*5*4/(1000*240)</f>
        <v>3.2075</v>
      </c>
      <c r="W5" s="313">
        <f t="shared" ref="W5:W68" si="5">T5</f>
        <v>51.32</v>
      </c>
      <c r="X5" s="313">
        <f t="shared" ref="X5:X68" si="6">W5*2</f>
        <v>102.64</v>
      </c>
      <c r="Y5" s="313">
        <f t="shared" ref="Y5:Y68" si="7">SUM(G5:H5)*I5*4/1000</f>
        <v>30.792000000000002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M14600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GF - WET KITCHEN</v>
      </c>
      <c r="G6" s="118">
        <f>'BD Team'!H11</f>
        <v>1830</v>
      </c>
      <c r="H6" s="118">
        <f>'BD Team'!I11</f>
        <v>610</v>
      </c>
      <c r="I6" s="118">
        <f>'BD Team'!J11</f>
        <v>1</v>
      </c>
      <c r="J6" s="103">
        <f t="shared" si="0"/>
        <v>12.015853199999999</v>
      </c>
      <c r="K6" s="172">
        <f>'BD Team'!K11</f>
        <v>250.1</v>
      </c>
      <c r="L6" s="171">
        <f t="shared" si="1"/>
        <v>250.1</v>
      </c>
      <c r="M6" s="170">
        <f>L6*'Changable Values'!$D$4</f>
        <v>20758.3</v>
      </c>
      <c r="N6" s="170" t="str">
        <f>'BD Team'!E11</f>
        <v>10MM</v>
      </c>
      <c r="O6" s="172">
        <v>1589</v>
      </c>
      <c r="P6" s="241"/>
      <c r="Q6" s="173">
        <f>50*10.764</f>
        <v>538.19999999999993</v>
      </c>
      <c r="R6" s="185"/>
      <c r="S6" s="312"/>
      <c r="T6" s="313">
        <f t="shared" si="2"/>
        <v>16.266666666666666</v>
      </c>
      <c r="U6" s="313">
        <f t="shared" si="3"/>
        <v>19.52</v>
      </c>
      <c r="V6" s="313">
        <f t="shared" si="4"/>
        <v>1.0166666666666666</v>
      </c>
      <c r="W6" s="313">
        <f t="shared" si="5"/>
        <v>16.266666666666666</v>
      </c>
      <c r="X6" s="313">
        <f t="shared" si="6"/>
        <v>32.533333333333331</v>
      </c>
      <c r="Y6" s="313">
        <f t="shared" si="7"/>
        <v>9.76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FIXED GLASS</v>
      </c>
      <c r="E7" s="118" t="str">
        <f>'BD Team'!F12</f>
        <v>NO</v>
      </c>
      <c r="F7" s="121" t="str">
        <f>'BD Team'!G12</f>
        <v>GF - OPEN KITCHEN</v>
      </c>
      <c r="G7" s="118">
        <f>'BD Team'!H12</f>
        <v>1830</v>
      </c>
      <c r="H7" s="118">
        <f>'BD Team'!I12</f>
        <v>2896</v>
      </c>
      <c r="I7" s="118">
        <f>'BD Team'!J12</f>
        <v>1</v>
      </c>
      <c r="J7" s="103">
        <f t="shared" si="0"/>
        <v>57.045755519999993</v>
      </c>
      <c r="K7" s="172">
        <f>'BD Team'!K12</f>
        <v>80.98</v>
      </c>
      <c r="L7" s="171">
        <f t="shared" si="1"/>
        <v>80.98</v>
      </c>
      <c r="M7" s="170">
        <f>L7*'Changable Values'!$D$4</f>
        <v>6721.34</v>
      </c>
      <c r="N7" s="170" t="str">
        <f>'BD Team'!E12</f>
        <v>12MM</v>
      </c>
      <c r="O7" s="172">
        <v>1890</v>
      </c>
      <c r="P7" s="241"/>
      <c r="Q7" s="173"/>
      <c r="R7" s="185"/>
      <c r="S7" s="312"/>
      <c r="T7" s="313">
        <f t="shared" si="2"/>
        <v>31.506666666666668</v>
      </c>
      <c r="U7" s="313">
        <f t="shared" si="3"/>
        <v>37.808</v>
      </c>
      <c r="V7" s="313">
        <f t="shared" si="4"/>
        <v>1.9691666666666667</v>
      </c>
      <c r="W7" s="313">
        <f t="shared" si="5"/>
        <v>31.506666666666668</v>
      </c>
      <c r="X7" s="313">
        <f t="shared" si="6"/>
        <v>63.013333333333335</v>
      </c>
      <c r="Y7" s="313">
        <f t="shared" si="7"/>
        <v>18.904</v>
      </c>
    </row>
    <row r="8" spans="1:25" ht="28.5">
      <c r="A8" s="118">
        <f>'BD Team'!A13</f>
        <v>5</v>
      </c>
      <c r="B8" s="118" t="str">
        <f>'BD Team'!B13</f>
        <v>W4A</v>
      </c>
      <c r="C8" s="118" t="str">
        <f>'BD Team'!C13</f>
        <v>M14600</v>
      </c>
      <c r="D8" s="118" t="str">
        <f>'BD Team'!D13</f>
        <v>2 TRACK 4 SHUTTER SLIDING DOOR</v>
      </c>
      <c r="E8" s="118" t="str">
        <f>'BD Team'!F13</f>
        <v>RETRACTABLE</v>
      </c>
      <c r="F8" s="121" t="str">
        <f>'BD Team'!G13</f>
        <v>GF - OPEN KITCHEN / DINING</v>
      </c>
      <c r="G8" s="118">
        <f>'BD Team'!H13</f>
        <v>4268</v>
      </c>
      <c r="H8" s="118">
        <f>'BD Team'!I13</f>
        <v>2896</v>
      </c>
      <c r="I8" s="118">
        <f>'BD Team'!J13</f>
        <v>1</v>
      </c>
      <c r="J8" s="103">
        <f t="shared" si="0"/>
        <v>133.04441779199999</v>
      </c>
      <c r="K8" s="172">
        <f>'BD Team'!K13</f>
        <v>1025.04</v>
      </c>
      <c r="L8" s="171">
        <f t="shared" si="1"/>
        <v>1025.04</v>
      </c>
      <c r="M8" s="170">
        <f>L8*'Changable Values'!$D$4</f>
        <v>85078.319999999992</v>
      </c>
      <c r="N8" s="170" t="str">
        <f>'BD Team'!E13</f>
        <v>10MM</v>
      </c>
      <c r="O8" s="172">
        <v>1589</v>
      </c>
      <c r="P8" s="241"/>
      <c r="Q8" s="173"/>
      <c r="R8" s="185">
        <f>850*10.764</f>
        <v>9149.4</v>
      </c>
      <c r="S8" s="312"/>
      <c r="T8" s="313">
        <f t="shared" si="2"/>
        <v>47.76</v>
      </c>
      <c r="U8" s="313">
        <f t="shared" si="3"/>
        <v>57.311999999999998</v>
      </c>
      <c r="V8" s="313">
        <f t="shared" si="4"/>
        <v>2.9849999999999999</v>
      </c>
      <c r="W8" s="313">
        <f t="shared" si="5"/>
        <v>47.76</v>
      </c>
      <c r="X8" s="313">
        <f t="shared" si="6"/>
        <v>95.52</v>
      </c>
      <c r="Y8" s="313">
        <f t="shared" si="7"/>
        <v>28.655999999999999</v>
      </c>
    </row>
    <row r="9" spans="1:25">
      <c r="A9" s="118">
        <f>'BD Team'!A14</f>
        <v>6</v>
      </c>
      <c r="B9" s="118" t="str">
        <f>'BD Team'!B14</f>
        <v>W5</v>
      </c>
      <c r="C9" s="118" t="str">
        <f>'BD Team'!C14</f>
        <v>M15000</v>
      </c>
      <c r="D9" s="118" t="str">
        <f>'BD Team'!D14</f>
        <v>TOP HUNG WINDOW</v>
      </c>
      <c r="E9" s="118" t="str">
        <f>'BD Team'!F14</f>
        <v>NO</v>
      </c>
      <c r="F9" s="121" t="str">
        <f>'BD Team'!G14</f>
        <v>GF - TOILET</v>
      </c>
      <c r="G9" s="118">
        <f>'BD Team'!H14</f>
        <v>610</v>
      </c>
      <c r="H9" s="118">
        <f>'BD Team'!I14</f>
        <v>1068</v>
      </c>
      <c r="I9" s="118">
        <f>'BD Team'!J14</f>
        <v>1</v>
      </c>
      <c r="J9" s="103">
        <f t="shared" si="0"/>
        <v>7.01253072</v>
      </c>
      <c r="K9" s="172">
        <f>'BD Team'!K14</f>
        <v>188.98</v>
      </c>
      <c r="L9" s="171">
        <f t="shared" si="1"/>
        <v>188.98</v>
      </c>
      <c r="M9" s="170">
        <f>L9*'Changable Values'!$D$4</f>
        <v>15685.339999999998</v>
      </c>
      <c r="N9" s="170" t="str">
        <f>'BD Team'!E14</f>
        <v>12MM (F)</v>
      </c>
      <c r="O9" s="172">
        <v>2892</v>
      </c>
      <c r="P9" s="241"/>
      <c r="Q9" s="173"/>
      <c r="R9" s="185"/>
      <c r="S9" s="312"/>
      <c r="T9" s="313">
        <f t="shared" si="2"/>
        <v>11.186666666666667</v>
      </c>
      <c r="U9" s="313">
        <f t="shared" si="3"/>
        <v>13.423999999999999</v>
      </c>
      <c r="V9" s="313">
        <f t="shared" si="4"/>
        <v>0.69916666666666671</v>
      </c>
      <c r="W9" s="313">
        <f t="shared" si="5"/>
        <v>11.186666666666667</v>
      </c>
      <c r="X9" s="313">
        <f t="shared" si="6"/>
        <v>22.373333333333335</v>
      </c>
      <c r="Y9" s="313">
        <f t="shared" si="7"/>
        <v>6.7119999999999997</v>
      </c>
    </row>
    <row r="10" spans="1:25">
      <c r="A10" s="118">
        <f>'BD Team'!A15</f>
        <v>7</v>
      </c>
      <c r="B10" s="118" t="str">
        <f>'BD Team'!B15</f>
        <v>W6</v>
      </c>
      <c r="C10" s="118" t="str">
        <f>'BD Team'!C15</f>
        <v>M14600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BEDROOM</v>
      </c>
      <c r="G10" s="118">
        <f>'BD Team'!H15</f>
        <v>1830</v>
      </c>
      <c r="H10" s="118">
        <f>'BD Team'!I15</f>
        <v>2592</v>
      </c>
      <c r="I10" s="118">
        <f>'BD Team'!J15</f>
        <v>1</v>
      </c>
      <c r="J10" s="103">
        <f t="shared" si="0"/>
        <v>51.057527039999997</v>
      </c>
      <c r="K10" s="172">
        <f>'BD Team'!K15</f>
        <v>522.89</v>
      </c>
      <c r="L10" s="171">
        <f t="shared" si="1"/>
        <v>522.89</v>
      </c>
      <c r="M10" s="170">
        <f>L10*'Changable Values'!$D$4</f>
        <v>43399.869999999995</v>
      </c>
      <c r="N10" s="170" t="str">
        <f>'BD Team'!E15</f>
        <v>10MM</v>
      </c>
      <c r="O10" s="172">
        <v>1589</v>
      </c>
      <c r="P10" s="241"/>
      <c r="Q10" s="173">
        <f>50*10.764</f>
        <v>538.19999999999993</v>
      </c>
      <c r="R10" s="185"/>
      <c r="S10" s="312"/>
      <c r="T10" s="313">
        <f t="shared" si="2"/>
        <v>29.48</v>
      </c>
      <c r="U10" s="313">
        <f t="shared" si="3"/>
        <v>35.375999999999998</v>
      </c>
      <c r="V10" s="313">
        <f t="shared" si="4"/>
        <v>1.8425</v>
      </c>
      <c r="W10" s="313">
        <f t="shared" si="5"/>
        <v>29.48</v>
      </c>
      <c r="X10" s="313">
        <f t="shared" si="6"/>
        <v>58.96</v>
      </c>
      <c r="Y10" s="313">
        <f t="shared" si="7"/>
        <v>17.687999999999999</v>
      </c>
    </row>
    <row r="11" spans="1:25">
      <c r="A11" s="118">
        <f>'BD Team'!A16</f>
        <v>8</v>
      </c>
      <c r="B11" s="118" t="str">
        <f>'BD Team'!B16</f>
        <v>W7</v>
      </c>
      <c r="C11" s="118" t="str">
        <f>'BD Team'!C16</f>
        <v>M15000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GF - POWDER ROOM</v>
      </c>
      <c r="G11" s="118">
        <f>'BD Team'!H16</f>
        <v>3202</v>
      </c>
      <c r="H11" s="118">
        <f>'BD Team'!I16</f>
        <v>610</v>
      </c>
      <c r="I11" s="118">
        <f>'BD Team'!J16</f>
        <v>1</v>
      </c>
      <c r="J11" s="103">
        <f t="shared" si="0"/>
        <v>21.024460079999997</v>
      </c>
      <c r="K11" s="172">
        <f>'BD Team'!K16</f>
        <v>66.75</v>
      </c>
      <c r="L11" s="171">
        <f t="shared" si="1"/>
        <v>66.75</v>
      </c>
      <c r="M11" s="170">
        <f>L11*'Changable Values'!$D$4</f>
        <v>5540.25</v>
      </c>
      <c r="N11" s="170" t="str">
        <f>'BD Team'!E16</f>
        <v>12MM (F)</v>
      </c>
      <c r="O11" s="172">
        <v>2892</v>
      </c>
      <c r="P11" s="241"/>
      <c r="Q11" s="173"/>
      <c r="R11" s="185"/>
      <c r="S11" s="312"/>
      <c r="T11" s="313">
        <f t="shared" si="2"/>
        <v>25.413333333333334</v>
      </c>
      <c r="U11" s="313">
        <f t="shared" si="3"/>
        <v>30.495999999999999</v>
      </c>
      <c r="V11" s="313">
        <f t="shared" si="4"/>
        <v>1.5883333333333334</v>
      </c>
      <c r="W11" s="313">
        <f t="shared" si="5"/>
        <v>25.413333333333334</v>
      </c>
      <c r="X11" s="313">
        <f t="shared" si="6"/>
        <v>50.826666666666668</v>
      </c>
      <c r="Y11" s="313">
        <f t="shared" si="7"/>
        <v>15.247999999999999</v>
      </c>
    </row>
    <row r="12" spans="1:25">
      <c r="A12" s="118">
        <f>'BD Team'!A17</f>
        <v>9</v>
      </c>
      <c r="B12" s="118" t="str">
        <f>'BD Team'!B17</f>
        <v>W8</v>
      </c>
      <c r="C12" s="118" t="str">
        <f>'BD Team'!C17</f>
        <v>M15000</v>
      </c>
      <c r="D12" s="118" t="str">
        <f>'BD Team'!D17</f>
        <v>FIXED GLASS 3 NO'S</v>
      </c>
      <c r="E12" s="118" t="str">
        <f>'BD Team'!F17</f>
        <v>NO</v>
      </c>
      <c r="F12" s="121" t="str">
        <f>'BD Team'!G17</f>
        <v>GF - WIDE PASSAGE</v>
      </c>
      <c r="G12" s="118">
        <f>'BD Team'!H17</f>
        <v>6326</v>
      </c>
      <c r="H12" s="118">
        <f>'BD Team'!I17</f>
        <v>3354</v>
      </c>
      <c r="I12" s="118">
        <f>'BD Team'!J17</f>
        <v>1</v>
      </c>
      <c r="J12" s="103">
        <f t="shared" si="0"/>
        <v>228.38413665599998</v>
      </c>
      <c r="K12" s="172">
        <f>'BD Team'!K17</f>
        <v>443.17</v>
      </c>
      <c r="L12" s="171">
        <f t="shared" si="1"/>
        <v>443.17</v>
      </c>
      <c r="M12" s="170">
        <f>L12*'Changable Values'!$D$4</f>
        <v>36783.11</v>
      </c>
      <c r="N12" s="170" t="str">
        <f>'BD Team'!E17</f>
        <v>12MM</v>
      </c>
      <c r="O12" s="172">
        <v>1890</v>
      </c>
      <c r="P12" s="241"/>
      <c r="Q12" s="173"/>
      <c r="R12" s="185"/>
      <c r="S12" s="312"/>
      <c r="T12" s="313">
        <f t="shared" si="2"/>
        <v>64.533333333333331</v>
      </c>
      <c r="U12" s="313">
        <f t="shared" si="3"/>
        <v>77.44</v>
      </c>
      <c r="V12" s="313">
        <f t="shared" si="4"/>
        <v>4.0333333333333332</v>
      </c>
      <c r="W12" s="313">
        <f t="shared" si="5"/>
        <v>64.533333333333331</v>
      </c>
      <c r="X12" s="313">
        <f t="shared" si="6"/>
        <v>129.06666666666666</v>
      </c>
      <c r="Y12" s="313">
        <f t="shared" si="7"/>
        <v>38.72</v>
      </c>
    </row>
    <row r="13" spans="1:25">
      <c r="A13" s="118">
        <f>'BD Team'!A18</f>
        <v>10</v>
      </c>
      <c r="B13" s="118" t="str">
        <f>'BD Team'!B18</f>
        <v>W9</v>
      </c>
      <c r="C13" s="118" t="str">
        <f>'BD Team'!C18</f>
        <v>M15000</v>
      </c>
      <c r="D13" s="118" t="str">
        <f>'BD Team'!D18</f>
        <v>FIXED GLASS 3 NO'S CORNOR WINDOW</v>
      </c>
      <c r="E13" s="118" t="str">
        <f>'BD Team'!F18</f>
        <v>NO</v>
      </c>
      <c r="F13" s="121" t="str">
        <f>'BD Team'!G18</f>
        <v>1F - BALCONY</v>
      </c>
      <c r="G13" s="118">
        <f>'BD Team'!H18</f>
        <v>2706</v>
      </c>
      <c r="H13" s="118">
        <f>'BD Team'!I18</f>
        <v>3048</v>
      </c>
      <c r="I13" s="118">
        <f>'BD Team'!J18</f>
        <v>1</v>
      </c>
      <c r="J13" s="103">
        <f t="shared" si="0"/>
        <v>88.780266431999991</v>
      </c>
      <c r="K13" s="172">
        <f>'BD Team'!K18</f>
        <v>455.48</v>
      </c>
      <c r="L13" s="171">
        <f t="shared" si="1"/>
        <v>455.48</v>
      </c>
      <c r="M13" s="170">
        <f>L13*'Changable Values'!$D$4</f>
        <v>37804.840000000004</v>
      </c>
      <c r="N13" s="170" t="str">
        <f>'BD Team'!E18</f>
        <v>12MM</v>
      </c>
      <c r="O13" s="172">
        <v>1890</v>
      </c>
      <c r="P13" s="241"/>
      <c r="Q13" s="173"/>
      <c r="R13" s="185"/>
      <c r="S13" s="312"/>
      <c r="T13" s="313">
        <f t="shared" si="2"/>
        <v>38.36</v>
      </c>
      <c r="U13" s="313">
        <f t="shared" si="3"/>
        <v>46.031999999999996</v>
      </c>
      <c r="V13" s="313">
        <f t="shared" si="4"/>
        <v>2.3975</v>
      </c>
      <c r="W13" s="313">
        <f t="shared" si="5"/>
        <v>38.36</v>
      </c>
      <c r="X13" s="313">
        <f t="shared" si="6"/>
        <v>76.72</v>
      </c>
      <c r="Y13" s="313">
        <f t="shared" si="7"/>
        <v>23.015999999999998</v>
      </c>
    </row>
    <row r="14" spans="1:25">
      <c r="A14" s="118">
        <f>'BD Team'!A19</f>
        <v>11</v>
      </c>
      <c r="B14" s="118" t="str">
        <f>'BD Team'!B19</f>
        <v>W9A</v>
      </c>
      <c r="C14" s="118" t="str">
        <f>'BD Team'!C19</f>
        <v>M14600</v>
      </c>
      <c r="D14" s="118" t="str">
        <f>'BD Team'!D19</f>
        <v>2 TRACK 2 SHUTTER SLIDING DOOR</v>
      </c>
      <c r="E14" s="118" t="str">
        <f>'BD Team'!F19</f>
        <v>RETRACTABLE</v>
      </c>
      <c r="F14" s="121" t="str">
        <f>'BD Team'!G19</f>
        <v>1F - BALCONY</v>
      </c>
      <c r="G14" s="118">
        <f>'BD Team'!H19</f>
        <v>2134</v>
      </c>
      <c r="H14" s="118">
        <f>'BD Team'!I19</f>
        <v>3048</v>
      </c>
      <c r="I14" s="118">
        <f>'BD Team'!J19</f>
        <v>1</v>
      </c>
      <c r="J14" s="103">
        <f t="shared" si="0"/>
        <v>70.013706047999989</v>
      </c>
      <c r="K14" s="172">
        <f>'BD Team'!K19</f>
        <v>522.96</v>
      </c>
      <c r="L14" s="171">
        <f t="shared" si="1"/>
        <v>522.96</v>
      </c>
      <c r="M14" s="170">
        <f>L14*'Changable Values'!$D$4</f>
        <v>43405.68</v>
      </c>
      <c r="N14" s="170" t="str">
        <f>'BD Team'!E19</f>
        <v>10MM</v>
      </c>
      <c r="O14" s="172">
        <v>1589</v>
      </c>
      <c r="P14" s="241"/>
      <c r="Q14" s="173"/>
      <c r="R14" s="185">
        <f>950*10.764</f>
        <v>10225.799999999999</v>
      </c>
      <c r="S14" s="312"/>
      <c r="T14" s="313">
        <f t="shared" si="2"/>
        <v>34.546666666666667</v>
      </c>
      <c r="U14" s="313">
        <f t="shared" si="3"/>
        <v>41.456000000000003</v>
      </c>
      <c r="V14" s="313">
        <f t="shared" si="4"/>
        <v>2.1591666666666667</v>
      </c>
      <c r="W14" s="313">
        <f t="shared" si="5"/>
        <v>34.546666666666667</v>
      </c>
      <c r="X14" s="313">
        <f t="shared" si="6"/>
        <v>69.093333333333334</v>
      </c>
      <c r="Y14" s="313">
        <f t="shared" si="7"/>
        <v>20.728000000000002</v>
      </c>
    </row>
    <row r="15" spans="1:25">
      <c r="A15" s="118">
        <f>'BD Team'!A20</f>
        <v>12</v>
      </c>
      <c r="B15" s="118" t="str">
        <f>'BD Team'!B20</f>
        <v>W10</v>
      </c>
      <c r="C15" s="118" t="str">
        <f>'BD Team'!C20</f>
        <v>M15000</v>
      </c>
      <c r="D15" s="118" t="str">
        <f>'BD Team'!D20</f>
        <v>FIXED GLASS</v>
      </c>
      <c r="E15" s="118" t="str">
        <f>'BD Team'!F20</f>
        <v>NO</v>
      </c>
      <c r="F15" s="121" t="str">
        <f>'BD Team'!G20</f>
        <v>1F - POOJA ROOM</v>
      </c>
      <c r="G15" s="118">
        <f>'BD Team'!H20</f>
        <v>916</v>
      </c>
      <c r="H15" s="118">
        <f>'BD Team'!I20</f>
        <v>2744</v>
      </c>
      <c r="I15" s="118">
        <f>'BD Team'!J20</f>
        <v>1</v>
      </c>
      <c r="J15" s="103">
        <f t="shared" si="0"/>
        <v>27.055357055999998</v>
      </c>
      <c r="K15" s="172">
        <f>'BD Team'!K20</f>
        <v>64.03</v>
      </c>
      <c r="L15" s="171">
        <f t="shared" si="1"/>
        <v>64.03</v>
      </c>
      <c r="M15" s="170">
        <f>L15*'Changable Values'!$D$4</f>
        <v>5314.49</v>
      </c>
      <c r="N15" s="170" t="str">
        <f>'BD Team'!E20</f>
        <v>12MM</v>
      </c>
      <c r="O15" s="172">
        <v>1890</v>
      </c>
      <c r="P15" s="241"/>
      <c r="Q15" s="173"/>
      <c r="R15" s="185"/>
      <c r="S15" s="312"/>
      <c r="T15" s="313">
        <f t="shared" si="2"/>
        <v>24.4</v>
      </c>
      <c r="U15" s="313">
        <f t="shared" si="3"/>
        <v>29.28</v>
      </c>
      <c r="V15" s="313">
        <f t="shared" si="4"/>
        <v>1.5249999999999999</v>
      </c>
      <c r="W15" s="313">
        <f t="shared" si="5"/>
        <v>24.4</v>
      </c>
      <c r="X15" s="313">
        <f t="shared" si="6"/>
        <v>48.8</v>
      </c>
      <c r="Y15" s="313">
        <f t="shared" si="7"/>
        <v>14.64</v>
      </c>
    </row>
    <row r="16" spans="1:25">
      <c r="A16" s="118">
        <f>'BD Team'!A21</f>
        <v>13</v>
      </c>
      <c r="B16" s="118" t="str">
        <f>'BD Team'!B21</f>
        <v>W11</v>
      </c>
      <c r="C16" s="118" t="str">
        <f>'BD Team'!C21</f>
        <v>M15000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>1F - PRANEETH BEDROOM</v>
      </c>
      <c r="G16" s="118">
        <f>'BD Team'!H21</f>
        <v>1000</v>
      </c>
      <c r="H16" s="118">
        <f>'BD Team'!I21</f>
        <v>2200</v>
      </c>
      <c r="I16" s="118">
        <f>'BD Team'!J21</f>
        <v>2</v>
      </c>
      <c r="J16" s="103">
        <f t="shared" si="0"/>
        <v>47.361600000000003</v>
      </c>
      <c r="K16" s="172">
        <f>'BD Team'!K21</f>
        <v>56.78</v>
      </c>
      <c r="L16" s="171">
        <f t="shared" si="1"/>
        <v>113.56</v>
      </c>
      <c r="M16" s="170">
        <f>L16*'Changable Values'!$D$4</f>
        <v>9425.48</v>
      </c>
      <c r="N16" s="170" t="str">
        <f>'BD Team'!E21</f>
        <v>12MM</v>
      </c>
      <c r="O16" s="172">
        <v>1890</v>
      </c>
      <c r="P16" s="241"/>
      <c r="Q16" s="173"/>
      <c r="R16" s="185"/>
      <c r="S16" s="312"/>
      <c r="T16" s="313">
        <f t="shared" si="2"/>
        <v>42.666666666666664</v>
      </c>
      <c r="U16" s="313">
        <f t="shared" si="3"/>
        <v>51.2</v>
      </c>
      <c r="V16" s="313">
        <f t="shared" si="4"/>
        <v>2.6666666666666665</v>
      </c>
      <c r="W16" s="313">
        <f t="shared" si="5"/>
        <v>42.666666666666664</v>
      </c>
      <c r="X16" s="313">
        <f t="shared" si="6"/>
        <v>85.333333333333329</v>
      </c>
      <c r="Y16" s="313">
        <f t="shared" si="7"/>
        <v>25.6</v>
      </c>
    </row>
    <row r="17" spans="1:25" ht="28.5">
      <c r="A17" s="118">
        <f>'BD Team'!A22</f>
        <v>14</v>
      </c>
      <c r="B17" s="118" t="str">
        <f>'BD Team'!B22</f>
        <v>W12</v>
      </c>
      <c r="C17" s="118" t="str">
        <f>'BD Team'!C22</f>
        <v>M15000</v>
      </c>
      <c r="D17" s="118" t="str">
        <f>'BD Team'!D22</f>
        <v>TOP HUNG WINDOW WITH TOP FIXED</v>
      </c>
      <c r="E17" s="118" t="str">
        <f>'BD Team'!F22</f>
        <v>NO</v>
      </c>
      <c r="F17" s="121" t="str">
        <f>'BD Team'!G22</f>
        <v>1F - PRANEETH BEDROOM TOILET</v>
      </c>
      <c r="G17" s="118">
        <f>'BD Team'!H22</f>
        <v>610</v>
      </c>
      <c r="H17" s="118">
        <f>'BD Team'!I22</f>
        <v>1830</v>
      </c>
      <c r="I17" s="118">
        <f>'BD Team'!J22</f>
        <v>1</v>
      </c>
      <c r="J17" s="103">
        <f t="shared" si="0"/>
        <v>12.015853199999999</v>
      </c>
      <c r="K17" s="172">
        <f>'BD Team'!K22</f>
        <v>223.57</v>
      </c>
      <c r="L17" s="171">
        <f t="shared" si="1"/>
        <v>223.57</v>
      </c>
      <c r="M17" s="170">
        <f>L17*'Changable Values'!$D$4</f>
        <v>18556.309999999998</v>
      </c>
      <c r="N17" s="170" t="str">
        <f>'BD Team'!E22</f>
        <v>12MM (F)</v>
      </c>
      <c r="O17" s="172">
        <v>2892</v>
      </c>
      <c r="P17" s="241"/>
      <c r="Q17" s="173"/>
      <c r="R17" s="185"/>
      <c r="S17" s="312"/>
      <c r="T17" s="313">
        <f t="shared" si="2"/>
        <v>16.266666666666666</v>
      </c>
      <c r="U17" s="313">
        <f t="shared" si="3"/>
        <v>19.52</v>
      </c>
      <c r="V17" s="313">
        <f t="shared" si="4"/>
        <v>1.0166666666666666</v>
      </c>
      <c r="W17" s="313">
        <f t="shared" si="5"/>
        <v>16.266666666666666</v>
      </c>
      <c r="X17" s="313">
        <f t="shared" si="6"/>
        <v>32.533333333333331</v>
      </c>
      <c r="Y17" s="313">
        <f t="shared" si="7"/>
        <v>9.76</v>
      </c>
    </row>
    <row r="18" spans="1:25">
      <c r="A18" s="118">
        <f>'BD Team'!A23</f>
        <v>15</v>
      </c>
      <c r="B18" s="118" t="str">
        <f>'BD Team'!B23</f>
        <v>W13</v>
      </c>
      <c r="C18" s="118" t="str">
        <f>'BD Team'!C23</f>
        <v>M14600</v>
      </c>
      <c r="D18" s="118" t="str">
        <f>'BD Team'!D23</f>
        <v>3 TRACK 2 SHUTTER SLIDING DOOR</v>
      </c>
      <c r="E18" s="118" t="str">
        <f>'BD Team'!F23</f>
        <v>SS</v>
      </c>
      <c r="F18" s="121" t="str">
        <f>'BD Team'!G23</f>
        <v>1F - MASTER BEDROOM</v>
      </c>
      <c r="G18" s="118">
        <f>'BD Team'!H23</f>
        <v>1906</v>
      </c>
      <c r="H18" s="118">
        <f>'BD Team'!I23</f>
        <v>2744</v>
      </c>
      <c r="I18" s="118">
        <f>'BD Team'!J23</f>
        <v>1</v>
      </c>
      <c r="J18" s="103">
        <f t="shared" si="0"/>
        <v>56.296408895999996</v>
      </c>
      <c r="K18" s="172">
        <f>'BD Team'!K23</f>
        <v>576.78</v>
      </c>
      <c r="L18" s="171">
        <f t="shared" si="1"/>
        <v>576.78</v>
      </c>
      <c r="M18" s="170">
        <f>L18*'Changable Values'!$D$4</f>
        <v>47872.74</v>
      </c>
      <c r="N18" s="170" t="str">
        <f>'BD Team'!E23</f>
        <v>10MM</v>
      </c>
      <c r="O18" s="172">
        <v>1589</v>
      </c>
      <c r="P18" s="241"/>
      <c r="Q18" s="173">
        <f>50*10.764</f>
        <v>538.19999999999993</v>
      </c>
      <c r="R18" s="185"/>
      <c r="S18" s="312"/>
      <c r="T18" s="313">
        <f t="shared" si="2"/>
        <v>31</v>
      </c>
      <c r="U18" s="313">
        <f t="shared" si="3"/>
        <v>37.200000000000003</v>
      </c>
      <c r="V18" s="313">
        <f t="shared" si="4"/>
        <v>1.9375</v>
      </c>
      <c r="W18" s="313">
        <f t="shared" si="5"/>
        <v>31</v>
      </c>
      <c r="X18" s="313">
        <f t="shared" si="6"/>
        <v>62</v>
      </c>
      <c r="Y18" s="313">
        <f t="shared" si="7"/>
        <v>18.600000000000001</v>
      </c>
    </row>
    <row r="19" spans="1:25">
      <c r="A19" s="118">
        <f>'BD Team'!A24</f>
        <v>16</v>
      </c>
      <c r="B19" s="118" t="str">
        <f>'BD Team'!B24</f>
        <v>W14</v>
      </c>
      <c r="C19" s="118" t="str">
        <f>'BD Team'!C24</f>
        <v>M15000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1F - MASTER BEDROOM</v>
      </c>
      <c r="G19" s="118">
        <f>'BD Team'!H24</f>
        <v>916</v>
      </c>
      <c r="H19" s="118">
        <f>'BD Team'!I24</f>
        <v>2896</v>
      </c>
      <c r="I19" s="118">
        <f>'BD Team'!J24</f>
        <v>2</v>
      </c>
      <c r="J19" s="103">
        <f t="shared" si="0"/>
        <v>57.108100607999994</v>
      </c>
      <c r="K19" s="172">
        <f>'BD Team'!K24</f>
        <v>66.42</v>
      </c>
      <c r="L19" s="171">
        <f t="shared" si="1"/>
        <v>132.84</v>
      </c>
      <c r="M19" s="170">
        <f>L19*'Changable Values'!$D$4</f>
        <v>11025.720000000001</v>
      </c>
      <c r="N19" s="170" t="str">
        <f>'BD Team'!E24</f>
        <v>12MM</v>
      </c>
      <c r="O19" s="172">
        <v>1890</v>
      </c>
      <c r="P19" s="241"/>
      <c r="Q19" s="173"/>
      <c r="R19" s="185"/>
      <c r="S19" s="312"/>
      <c r="T19" s="313">
        <f t="shared" si="2"/>
        <v>50.826666666666668</v>
      </c>
      <c r="U19" s="313">
        <f t="shared" si="3"/>
        <v>60.991999999999997</v>
      </c>
      <c r="V19" s="313">
        <f t="shared" si="4"/>
        <v>3.1766666666666667</v>
      </c>
      <c r="W19" s="313">
        <f t="shared" si="5"/>
        <v>50.826666666666668</v>
      </c>
      <c r="X19" s="313">
        <f t="shared" si="6"/>
        <v>101.65333333333334</v>
      </c>
      <c r="Y19" s="313">
        <f t="shared" si="7"/>
        <v>30.495999999999999</v>
      </c>
    </row>
    <row r="20" spans="1:25">
      <c r="A20" s="118">
        <f>'BD Team'!A25</f>
        <v>17</v>
      </c>
      <c r="B20" s="118" t="str">
        <f>'BD Team'!B25</f>
        <v>W15</v>
      </c>
      <c r="C20" s="118" t="str">
        <f>'BD Team'!C25</f>
        <v>M15000</v>
      </c>
      <c r="D20" s="118" t="str">
        <f>'BD Team'!D25</f>
        <v>FIXED GLASS</v>
      </c>
      <c r="E20" s="118" t="str">
        <f>'BD Team'!F25</f>
        <v>NO</v>
      </c>
      <c r="F20" s="121" t="str">
        <f>'BD Team'!G25</f>
        <v>1F - MASTER TOILET</v>
      </c>
      <c r="G20" s="118">
        <f>'BD Team'!H25</f>
        <v>458</v>
      </c>
      <c r="H20" s="118">
        <f>'BD Team'!I25</f>
        <v>2896</v>
      </c>
      <c r="I20" s="118">
        <f>'BD Team'!J25</f>
        <v>4</v>
      </c>
      <c r="J20" s="103">
        <f t="shared" si="0"/>
        <v>57.108100607999994</v>
      </c>
      <c r="K20" s="172">
        <f>'BD Team'!K25</f>
        <v>59.04</v>
      </c>
      <c r="L20" s="171">
        <f t="shared" si="1"/>
        <v>236.16</v>
      </c>
      <c r="M20" s="170">
        <f>L20*'Changable Values'!$D$4</f>
        <v>19601.28</v>
      </c>
      <c r="N20" s="170" t="str">
        <f>'BD Team'!E25</f>
        <v>12MM (F)</v>
      </c>
      <c r="O20" s="172">
        <v>2892</v>
      </c>
      <c r="P20" s="241"/>
      <c r="Q20" s="173"/>
      <c r="R20" s="185"/>
      <c r="S20" s="312"/>
      <c r="T20" s="313">
        <f t="shared" si="2"/>
        <v>89.44</v>
      </c>
      <c r="U20" s="313">
        <f t="shared" si="3"/>
        <v>107.328</v>
      </c>
      <c r="V20" s="313">
        <f t="shared" si="4"/>
        <v>5.59</v>
      </c>
      <c r="W20" s="313">
        <f t="shared" si="5"/>
        <v>89.44</v>
      </c>
      <c r="X20" s="313">
        <f t="shared" si="6"/>
        <v>178.88</v>
      </c>
      <c r="Y20" s="313">
        <f t="shared" si="7"/>
        <v>53.664000000000001</v>
      </c>
    </row>
    <row r="21" spans="1:25">
      <c r="A21" s="118">
        <f>'BD Team'!A26</f>
        <v>18</v>
      </c>
      <c r="B21" s="118" t="str">
        <f>'BD Team'!B26</f>
        <v>W16</v>
      </c>
      <c r="C21" s="118" t="str">
        <f>'BD Team'!C26</f>
        <v>M15000</v>
      </c>
      <c r="D21" s="118" t="str">
        <f>'BD Team'!D26</f>
        <v>FIXED GLASS</v>
      </c>
      <c r="E21" s="118" t="str">
        <f>'BD Team'!F26</f>
        <v>NO</v>
      </c>
      <c r="F21" s="121" t="str">
        <f>'BD Team'!G26</f>
        <v>1F - MASTER DRESSING</v>
      </c>
      <c r="G21" s="118">
        <f>'BD Team'!H26</f>
        <v>916</v>
      </c>
      <c r="H21" s="118">
        <f>'BD Team'!I26</f>
        <v>2896</v>
      </c>
      <c r="I21" s="118">
        <f>'BD Team'!J26</f>
        <v>1</v>
      </c>
      <c r="J21" s="103">
        <f t="shared" si="0"/>
        <v>28.554050303999997</v>
      </c>
      <c r="K21" s="172">
        <f>'BD Team'!K26</f>
        <v>66.42</v>
      </c>
      <c r="L21" s="171">
        <f t="shared" si="1"/>
        <v>66.42</v>
      </c>
      <c r="M21" s="170">
        <f>L21*'Changable Values'!$D$4</f>
        <v>5512.8600000000006</v>
      </c>
      <c r="N21" s="170" t="str">
        <f>'BD Team'!E26</f>
        <v>12MM (F)</v>
      </c>
      <c r="O21" s="172">
        <v>2892</v>
      </c>
      <c r="P21" s="241"/>
      <c r="Q21" s="173"/>
      <c r="R21" s="185"/>
      <c r="S21" s="312"/>
      <c r="T21" s="313">
        <f t="shared" si="2"/>
        <v>25.413333333333334</v>
      </c>
      <c r="U21" s="313">
        <f t="shared" si="3"/>
        <v>30.495999999999999</v>
      </c>
      <c r="V21" s="313">
        <f t="shared" si="4"/>
        <v>1.5883333333333334</v>
      </c>
      <c r="W21" s="313">
        <f t="shared" si="5"/>
        <v>25.413333333333334</v>
      </c>
      <c r="X21" s="313">
        <f t="shared" si="6"/>
        <v>50.826666666666668</v>
      </c>
      <c r="Y21" s="313">
        <f t="shared" si="7"/>
        <v>15.247999999999999</v>
      </c>
    </row>
    <row r="22" spans="1:25">
      <c r="A22" s="118">
        <f>'BD Team'!A27</f>
        <v>19</v>
      </c>
      <c r="B22" s="118" t="str">
        <f>'BD Team'!B27</f>
        <v>W17</v>
      </c>
      <c r="C22" s="118" t="str">
        <f>'BD Team'!C27</f>
        <v>M15000</v>
      </c>
      <c r="D22" s="118" t="str">
        <f>'BD Team'!D27</f>
        <v>TOP HUNG WINDOW</v>
      </c>
      <c r="E22" s="118" t="str">
        <f>'BD Team'!F27</f>
        <v>NO</v>
      </c>
      <c r="F22" s="121" t="str">
        <f>'BD Team'!G27</f>
        <v>1F - GBR TOILET</v>
      </c>
      <c r="G22" s="118">
        <f>'BD Team'!H27</f>
        <v>916</v>
      </c>
      <c r="H22" s="118">
        <f>'BD Team'!I27</f>
        <v>1068</v>
      </c>
      <c r="I22" s="118">
        <f>'BD Team'!J27</f>
        <v>1</v>
      </c>
      <c r="J22" s="103">
        <f t="shared" si="0"/>
        <v>10.530292032</v>
      </c>
      <c r="K22" s="172">
        <f>'BD Team'!K27</f>
        <v>220.03</v>
      </c>
      <c r="L22" s="171">
        <f t="shared" si="1"/>
        <v>220.03</v>
      </c>
      <c r="M22" s="170">
        <f>L22*'Changable Values'!$D$4</f>
        <v>18262.490000000002</v>
      </c>
      <c r="N22" s="170" t="str">
        <f>'BD Team'!E27</f>
        <v>12MM (F)</v>
      </c>
      <c r="O22" s="172">
        <v>2892</v>
      </c>
      <c r="P22" s="241"/>
      <c r="Q22" s="173"/>
      <c r="R22" s="185"/>
      <c r="S22" s="312"/>
      <c r="T22" s="313">
        <f t="shared" si="2"/>
        <v>13.226666666666667</v>
      </c>
      <c r="U22" s="313">
        <f t="shared" si="3"/>
        <v>15.872</v>
      </c>
      <c r="V22" s="313">
        <f t="shared" si="4"/>
        <v>0.82666666666666666</v>
      </c>
      <c r="W22" s="313">
        <f t="shared" si="5"/>
        <v>13.226666666666667</v>
      </c>
      <c r="X22" s="313">
        <f t="shared" si="6"/>
        <v>26.453333333333333</v>
      </c>
      <c r="Y22" s="313">
        <f t="shared" si="7"/>
        <v>7.9359999999999999</v>
      </c>
    </row>
    <row r="23" spans="1:25">
      <c r="A23" s="118">
        <f>'BD Team'!A28</f>
        <v>20</v>
      </c>
      <c r="B23" s="118" t="str">
        <f>'BD Team'!B28</f>
        <v>W18</v>
      </c>
      <c r="C23" s="118" t="str">
        <f>'BD Team'!C28</f>
        <v>M15000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1F - GUEST BEDROOM</v>
      </c>
      <c r="G23" s="118">
        <f>'BD Team'!H28</f>
        <v>1000</v>
      </c>
      <c r="H23" s="118">
        <f>'BD Team'!I28</f>
        <v>2200</v>
      </c>
      <c r="I23" s="118">
        <f>'BD Team'!J28</f>
        <v>1</v>
      </c>
      <c r="J23" s="103">
        <f t="shared" si="0"/>
        <v>23.680800000000001</v>
      </c>
      <c r="K23" s="172">
        <f>'BD Team'!K28</f>
        <v>56.78</v>
      </c>
      <c r="L23" s="171">
        <f t="shared" si="1"/>
        <v>56.78</v>
      </c>
      <c r="M23" s="170">
        <f>L23*'Changable Values'!$D$4</f>
        <v>4712.74</v>
      </c>
      <c r="N23" s="170" t="str">
        <f>'BD Team'!E28</f>
        <v>12MM</v>
      </c>
      <c r="O23" s="172">
        <v>1890</v>
      </c>
      <c r="P23" s="241"/>
      <c r="Q23" s="173"/>
      <c r="R23" s="185"/>
      <c r="S23" s="312"/>
      <c r="T23" s="313">
        <f t="shared" si="2"/>
        <v>21.333333333333332</v>
      </c>
      <c r="U23" s="313">
        <f t="shared" si="3"/>
        <v>25.6</v>
      </c>
      <c r="V23" s="313">
        <f t="shared" si="4"/>
        <v>1.3333333333333333</v>
      </c>
      <c r="W23" s="313">
        <f t="shared" si="5"/>
        <v>21.333333333333332</v>
      </c>
      <c r="X23" s="313">
        <f t="shared" si="6"/>
        <v>42.666666666666664</v>
      </c>
      <c r="Y23" s="313">
        <f t="shared" si="7"/>
        <v>12.8</v>
      </c>
    </row>
    <row r="24" spans="1:25">
      <c r="A24" s="118">
        <f>'BD Team'!A29</f>
        <v>21</v>
      </c>
      <c r="B24" s="118" t="str">
        <f>'BD Team'!B29</f>
        <v>W19</v>
      </c>
      <c r="C24" s="118" t="str">
        <f>'BD Team'!C29</f>
        <v>M15000</v>
      </c>
      <c r="D24" s="118" t="str">
        <f>'BD Team'!D29</f>
        <v>FIXED GLASS 2 NO'S</v>
      </c>
      <c r="E24" s="118" t="str">
        <f>'BD Team'!F29</f>
        <v>NO</v>
      </c>
      <c r="F24" s="121" t="str">
        <f>'BD Team'!G29</f>
        <v>1F - GUEST BEDROOM</v>
      </c>
      <c r="G24" s="118">
        <f>'BD Team'!H29</f>
        <v>3278</v>
      </c>
      <c r="H24" s="118">
        <f>'BD Team'!I29</f>
        <v>2440</v>
      </c>
      <c r="I24" s="118">
        <f>'BD Team'!J29</f>
        <v>1</v>
      </c>
      <c r="J24" s="103">
        <f t="shared" si="0"/>
        <v>86.09391647999999</v>
      </c>
      <c r="K24" s="172">
        <f>'BD Team'!K29</f>
        <v>170.84</v>
      </c>
      <c r="L24" s="171">
        <f t="shared" si="1"/>
        <v>170.84</v>
      </c>
      <c r="M24" s="170">
        <f>L24*'Changable Values'!$D$4</f>
        <v>14179.720000000001</v>
      </c>
      <c r="N24" s="170" t="str">
        <f>'BD Team'!E29</f>
        <v>12MM</v>
      </c>
      <c r="O24" s="172">
        <v>1890</v>
      </c>
      <c r="P24" s="241"/>
      <c r="Q24" s="173"/>
      <c r="R24" s="185"/>
      <c r="S24" s="312"/>
      <c r="T24" s="313">
        <f t="shared" si="2"/>
        <v>38.119999999999997</v>
      </c>
      <c r="U24" s="313">
        <f t="shared" si="3"/>
        <v>45.744</v>
      </c>
      <c r="V24" s="313">
        <f t="shared" si="4"/>
        <v>2.3824999999999998</v>
      </c>
      <c r="W24" s="313">
        <f t="shared" si="5"/>
        <v>38.119999999999997</v>
      </c>
      <c r="X24" s="313">
        <f t="shared" si="6"/>
        <v>76.239999999999995</v>
      </c>
      <c r="Y24" s="313">
        <f t="shared" si="7"/>
        <v>22.872</v>
      </c>
    </row>
    <row r="25" spans="1:25">
      <c r="A25" s="118">
        <f>'BD Team'!A30</f>
        <v>22</v>
      </c>
      <c r="B25" s="118" t="str">
        <f>'BD Team'!B30</f>
        <v>W20</v>
      </c>
      <c r="C25" s="118" t="str">
        <f>'BD Team'!C30</f>
        <v>M15000</v>
      </c>
      <c r="D25" s="118" t="str">
        <f>'BD Team'!D30</f>
        <v>FIXED GLASS 3 NO'S</v>
      </c>
      <c r="E25" s="118" t="str">
        <f>'BD Team'!F30</f>
        <v>NO</v>
      </c>
      <c r="F25" s="121" t="str">
        <f>'BD Team'!G30</f>
        <v>1F - LOUNGE</v>
      </c>
      <c r="G25" s="118">
        <f>'BD Team'!H30</f>
        <v>6326</v>
      </c>
      <c r="H25" s="118">
        <f>'BD Team'!I30</f>
        <v>2400</v>
      </c>
      <c r="I25" s="118">
        <f>'BD Team'!J30</f>
        <v>1</v>
      </c>
      <c r="J25" s="103">
        <f t="shared" si="0"/>
        <v>163.42335359999998</v>
      </c>
      <c r="K25" s="172">
        <f>'BD Team'!K30</f>
        <v>287.54000000000002</v>
      </c>
      <c r="L25" s="171">
        <f t="shared" si="1"/>
        <v>287.54000000000002</v>
      </c>
      <c r="M25" s="170">
        <f>L25*'Changable Values'!$D$4</f>
        <v>23865.820000000003</v>
      </c>
      <c r="N25" s="170" t="str">
        <f>'BD Team'!E30</f>
        <v>12MM</v>
      </c>
      <c r="O25" s="172">
        <v>1890</v>
      </c>
      <c r="P25" s="241"/>
      <c r="Q25" s="173"/>
      <c r="R25" s="185"/>
      <c r="S25" s="312"/>
      <c r="T25" s="313">
        <f t="shared" si="2"/>
        <v>58.173333333333332</v>
      </c>
      <c r="U25" s="313">
        <f t="shared" si="3"/>
        <v>69.808000000000007</v>
      </c>
      <c r="V25" s="313">
        <f t="shared" si="4"/>
        <v>3.6358333333333333</v>
      </c>
      <c r="W25" s="313">
        <f t="shared" si="5"/>
        <v>58.173333333333332</v>
      </c>
      <c r="X25" s="313">
        <f t="shared" si="6"/>
        <v>116.34666666666666</v>
      </c>
      <c r="Y25" s="313">
        <f t="shared" si="7"/>
        <v>34.904000000000003</v>
      </c>
    </row>
    <row r="26" spans="1:25">
      <c r="A26" s="118">
        <f>'BD Team'!A31</f>
        <v>23</v>
      </c>
      <c r="B26" s="118" t="str">
        <f>'BD Team'!B31</f>
        <v>W21</v>
      </c>
      <c r="C26" s="118" t="str">
        <f>'BD Team'!C31</f>
        <v>SF85</v>
      </c>
      <c r="D26" s="118" t="str">
        <f>'BD Team'!D31</f>
        <v>4 LEAF SLIDE &amp; FOLD DOOR</v>
      </c>
      <c r="E26" s="118" t="str">
        <f>'BD Team'!F31</f>
        <v>NO</v>
      </c>
      <c r="F26" s="121" t="str">
        <f>'BD Team'!G31</f>
        <v>2F - OPEN BALCONY</v>
      </c>
      <c r="G26" s="118">
        <f>'BD Team'!H31</f>
        <v>3658</v>
      </c>
      <c r="H26" s="118">
        <f>'BD Team'!I31</f>
        <v>3302</v>
      </c>
      <c r="I26" s="118">
        <f>'BD Team'!J31</f>
        <v>1</v>
      </c>
      <c r="J26" s="103">
        <f t="shared" si="0"/>
        <v>130.015299024</v>
      </c>
      <c r="K26" s="172">
        <f>'BD Team'!K31</f>
        <v>3483.31</v>
      </c>
      <c r="L26" s="171">
        <f t="shared" si="1"/>
        <v>3483.31</v>
      </c>
      <c r="M26" s="170">
        <f>L26*'Changable Values'!$D$4</f>
        <v>289114.73</v>
      </c>
      <c r="N26" s="170" t="str">
        <f>'BD Team'!E31</f>
        <v>24MM</v>
      </c>
      <c r="O26" s="172">
        <v>2805</v>
      </c>
      <c r="P26" s="241"/>
      <c r="Q26" s="173"/>
      <c r="R26" s="185"/>
      <c r="S26" s="312"/>
      <c r="T26" s="313">
        <f t="shared" si="2"/>
        <v>46.4</v>
      </c>
      <c r="U26" s="313">
        <f t="shared" si="3"/>
        <v>55.68</v>
      </c>
      <c r="V26" s="313">
        <f t="shared" si="4"/>
        <v>2.9</v>
      </c>
      <c r="W26" s="313">
        <f t="shared" si="5"/>
        <v>46.4</v>
      </c>
      <c r="X26" s="313">
        <f t="shared" si="6"/>
        <v>92.8</v>
      </c>
      <c r="Y26" s="313">
        <f t="shared" si="7"/>
        <v>27.84</v>
      </c>
    </row>
    <row r="27" spans="1:25">
      <c r="A27" s="118">
        <f>'BD Team'!A32</f>
        <v>24</v>
      </c>
      <c r="B27" s="118" t="str">
        <f>'BD Team'!B32</f>
        <v>W22</v>
      </c>
      <c r="C27" s="118" t="str">
        <f>'BD Team'!C32</f>
        <v>M15000</v>
      </c>
      <c r="D27" s="118" t="str">
        <f>'BD Team'!D32</f>
        <v>FIXED GLASS 4 NO'S</v>
      </c>
      <c r="E27" s="118" t="str">
        <f>'BD Team'!F32</f>
        <v>NO</v>
      </c>
      <c r="F27" s="121" t="str">
        <f>'BD Team'!G32</f>
        <v>2F - BILLARDS</v>
      </c>
      <c r="G27" s="118">
        <f>'BD Team'!H32</f>
        <v>6326</v>
      </c>
      <c r="H27" s="118">
        <f>'BD Team'!I32</f>
        <v>3302</v>
      </c>
      <c r="I27" s="118">
        <f>'BD Team'!J32</f>
        <v>1</v>
      </c>
      <c r="J27" s="103">
        <f t="shared" si="0"/>
        <v>224.84329732799998</v>
      </c>
      <c r="K27" s="172">
        <f>'BD Team'!K32</f>
        <v>582.73</v>
      </c>
      <c r="L27" s="171">
        <f t="shared" si="1"/>
        <v>582.73</v>
      </c>
      <c r="M27" s="170">
        <f>L27*'Changable Values'!$D$4</f>
        <v>48366.590000000004</v>
      </c>
      <c r="N27" s="170" t="str">
        <f>'BD Team'!E32</f>
        <v>12MM</v>
      </c>
      <c r="O27" s="172">
        <v>1890</v>
      </c>
      <c r="P27" s="241"/>
      <c r="Q27" s="173"/>
      <c r="R27" s="185"/>
      <c r="S27" s="312"/>
      <c r="T27" s="313">
        <f t="shared" si="2"/>
        <v>64.186666666666667</v>
      </c>
      <c r="U27" s="313">
        <f t="shared" si="3"/>
        <v>77.024000000000001</v>
      </c>
      <c r="V27" s="313">
        <f t="shared" si="4"/>
        <v>4.0116666666666667</v>
      </c>
      <c r="W27" s="313">
        <f t="shared" si="5"/>
        <v>64.186666666666667</v>
      </c>
      <c r="X27" s="313">
        <f t="shared" si="6"/>
        <v>128.37333333333333</v>
      </c>
      <c r="Y27" s="313">
        <f t="shared" si="7"/>
        <v>38.512</v>
      </c>
    </row>
    <row r="28" spans="1:25">
      <c r="A28" s="118">
        <f>'BD Team'!A33</f>
        <v>25</v>
      </c>
      <c r="B28" s="118" t="str">
        <f>'BD Team'!B33</f>
        <v>W23</v>
      </c>
      <c r="C28" s="118" t="str">
        <f>'BD Team'!C33</f>
        <v>M15000</v>
      </c>
      <c r="D28" s="118" t="str">
        <f>'BD Team'!D33</f>
        <v>FIXED GLASS 3 NO'S</v>
      </c>
      <c r="E28" s="118" t="str">
        <f>'BD Team'!F33</f>
        <v>NO</v>
      </c>
      <c r="F28" s="121" t="str">
        <f>'BD Team'!G33</f>
        <v>2F - HOME THEATER</v>
      </c>
      <c r="G28" s="118">
        <f>'BD Team'!H33</f>
        <v>4878</v>
      </c>
      <c r="H28" s="118">
        <f>'BD Team'!I33</f>
        <v>2896</v>
      </c>
      <c r="I28" s="118">
        <f>'BD Team'!J33</f>
        <v>1</v>
      </c>
      <c r="J28" s="103">
        <f t="shared" si="0"/>
        <v>152.05966963200001</v>
      </c>
      <c r="K28" s="172">
        <f>'BD Team'!K33</f>
        <v>380.62</v>
      </c>
      <c r="L28" s="171">
        <f t="shared" si="1"/>
        <v>380.62</v>
      </c>
      <c r="M28" s="170">
        <f>L28*'Changable Values'!$D$4</f>
        <v>31591.46</v>
      </c>
      <c r="N28" s="170" t="str">
        <f>'BD Team'!E33</f>
        <v>12MM</v>
      </c>
      <c r="O28" s="172">
        <v>1890</v>
      </c>
      <c r="P28" s="241"/>
      <c r="Q28" s="173"/>
      <c r="R28" s="185"/>
      <c r="S28" s="312"/>
      <c r="T28" s="313">
        <f t="shared" si="2"/>
        <v>51.826666666666668</v>
      </c>
      <c r="U28" s="313">
        <f t="shared" si="3"/>
        <v>62.192</v>
      </c>
      <c r="V28" s="313">
        <f t="shared" si="4"/>
        <v>3.2391666666666667</v>
      </c>
      <c r="W28" s="313">
        <f t="shared" si="5"/>
        <v>51.826666666666668</v>
      </c>
      <c r="X28" s="313">
        <f t="shared" si="6"/>
        <v>103.65333333333334</v>
      </c>
      <c r="Y28" s="313">
        <f t="shared" si="7"/>
        <v>31.096</v>
      </c>
    </row>
    <row r="29" spans="1:25">
      <c r="A29" s="118">
        <f>'BD Team'!A34</f>
        <v>26</v>
      </c>
      <c r="B29" s="118" t="str">
        <f>'BD Team'!B34</f>
        <v>W24</v>
      </c>
      <c r="C29" s="118" t="str">
        <f>'BD Team'!C34</f>
        <v>M15000</v>
      </c>
      <c r="D29" s="118" t="str">
        <f>'BD Team'!D34</f>
        <v>FIXED GLASS 2 NO'S</v>
      </c>
      <c r="E29" s="118" t="str">
        <f>'BD Team'!F34</f>
        <v>NO</v>
      </c>
      <c r="F29" s="121" t="str">
        <f>'BD Team'!G34</f>
        <v>2F - BEDROOM</v>
      </c>
      <c r="G29" s="118">
        <f>'BD Team'!H34</f>
        <v>2744</v>
      </c>
      <c r="H29" s="118">
        <f>'BD Team'!I34</f>
        <v>2896</v>
      </c>
      <c r="I29" s="118">
        <f>'BD Team'!J34</f>
        <v>1</v>
      </c>
      <c r="J29" s="103">
        <f t="shared" si="0"/>
        <v>85.537460736</v>
      </c>
      <c r="K29" s="172">
        <f>'BD Team'!K34</f>
        <v>181.27</v>
      </c>
      <c r="L29" s="171">
        <f t="shared" si="1"/>
        <v>181.27</v>
      </c>
      <c r="M29" s="170">
        <f>L29*'Changable Values'!$D$4</f>
        <v>15045.410000000002</v>
      </c>
      <c r="N29" s="170" t="str">
        <f>'BD Team'!E34</f>
        <v>12MM</v>
      </c>
      <c r="O29" s="172">
        <v>1890</v>
      </c>
      <c r="P29" s="241"/>
      <c r="Q29" s="173"/>
      <c r="R29" s="185"/>
      <c r="S29" s="312"/>
      <c r="T29" s="313">
        <f t="shared" si="2"/>
        <v>37.6</v>
      </c>
      <c r="U29" s="313">
        <f t="shared" si="3"/>
        <v>45.12</v>
      </c>
      <c r="V29" s="313">
        <f t="shared" si="4"/>
        <v>2.35</v>
      </c>
      <c r="W29" s="313">
        <f t="shared" si="5"/>
        <v>37.6</v>
      </c>
      <c r="X29" s="313">
        <f t="shared" si="6"/>
        <v>75.2</v>
      </c>
      <c r="Y29" s="313">
        <f t="shared" si="7"/>
        <v>22.56</v>
      </c>
    </row>
    <row r="30" spans="1:25">
      <c r="A30" s="118">
        <f>'BD Team'!A35</f>
        <v>27</v>
      </c>
      <c r="B30" s="118" t="str">
        <f>'BD Team'!B35</f>
        <v>W25</v>
      </c>
      <c r="C30" s="118" t="str">
        <f>'BD Team'!C35</f>
        <v>M15000</v>
      </c>
      <c r="D30" s="118" t="str">
        <f>'BD Team'!D35</f>
        <v>FIXED GLASS</v>
      </c>
      <c r="E30" s="118" t="str">
        <f>'BD Team'!F35</f>
        <v>NO</v>
      </c>
      <c r="F30" s="121" t="str">
        <f>'BD Team'!G35</f>
        <v>2F - SON'S BEDROOM</v>
      </c>
      <c r="G30" s="118">
        <f>'BD Team'!H35</f>
        <v>382</v>
      </c>
      <c r="H30" s="118">
        <f>'BD Team'!I35</f>
        <v>2896</v>
      </c>
      <c r="I30" s="118">
        <f>'BD Team'!J35</f>
        <v>3</v>
      </c>
      <c r="J30" s="103">
        <f t="shared" si="0"/>
        <v>35.723735423999997</v>
      </c>
      <c r="K30" s="172">
        <f>'BD Team'!K35</f>
        <v>57.85</v>
      </c>
      <c r="L30" s="171">
        <f t="shared" si="1"/>
        <v>173.55</v>
      </c>
      <c r="M30" s="170">
        <f>L30*'Changable Values'!$D$4</f>
        <v>14404.650000000001</v>
      </c>
      <c r="N30" s="170" t="str">
        <f>'BD Team'!E35</f>
        <v>12MM</v>
      </c>
      <c r="O30" s="172">
        <v>1890</v>
      </c>
      <c r="P30" s="241"/>
      <c r="Q30" s="173"/>
      <c r="R30" s="185"/>
      <c r="S30" s="312"/>
      <c r="T30" s="313">
        <f t="shared" si="2"/>
        <v>65.56</v>
      </c>
      <c r="U30" s="313">
        <f t="shared" si="3"/>
        <v>78.671999999999997</v>
      </c>
      <c r="V30" s="313">
        <f t="shared" si="4"/>
        <v>4.0975000000000001</v>
      </c>
      <c r="W30" s="313">
        <f t="shared" si="5"/>
        <v>65.56</v>
      </c>
      <c r="X30" s="313">
        <f t="shared" si="6"/>
        <v>131.12</v>
      </c>
      <c r="Y30" s="313">
        <f t="shared" si="7"/>
        <v>39.335999999999999</v>
      </c>
    </row>
    <row r="31" spans="1:25">
      <c r="A31" s="118">
        <f>'BD Team'!A36</f>
        <v>28</v>
      </c>
      <c r="B31" s="118" t="str">
        <f>'BD Team'!B36</f>
        <v>W26</v>
      </c>
      <c r="C31" s="118" t="str">
        <f>'BD Team'!C36</f>
        <v>M15000</v>
      </c>
      <c r="D31" s="118" t="str">
        <f>'BD Team'!D36</f>
        <v>FIXED GLASS</v>
      </c>
      <c r="E31" s="118" t="str">
        <f>'BD Team'!F36</f>
        <v>NO</v>
      </c>
      <c r="F31" s="121" t="str">
        <f>'BD Team'!G36</f>
        <v>2F - BATHROOM</v>
      </c>
      <c r="G31" s="118">
        <f>'BD Team'!H36</f>
        <v>534</v>
      </c>
      <c r="H31" s="118">
        <f>'BD Team'!I36</f>
        <v>2896</v>
      </c>
      <c r="I31" s="118">
        <f>'BD Team'!J36</f>
        <v>1</v>
      </c>
      <c r="J31" s="103">
        <f t="shared" si="0"/>
        <v>16.646138495999999</v>
      </c>
      <c r="K31" s="172">
        <f>'BD Team'!K36</f>
        <v>60.4</v>
      </c>
      <c r="L31" s="171">
        <f t="shared" si="1"/>
        <v>60.4</v>
      </c>
      <c r="M31" s="170">
        <f>L31*'Changable Values'!$D$4</f>
        <v>5013.2</v>
      </c>
      <c r="N31" s="170" t="str">
        <f>'BD Team'!E36</f>
        <v>12MM (F)</v>
      </c>
      <c r="O31" s="172">
        <v>2892</v>
      </c>
      <c r="P31" s="241"/>
      <c r="Q31" s="173"/>
      <c r="R31" s="185"/>
      <c r="S31" s="312"/>
      <c r="T31" s="313">
        <f t="shared" si="2"/>
        <v>22.866666666666667</v>
      </c>
      <c r="U31" s="313">
        <f t="shared" si="3"/>
        <v>27.44</v>
      </c>
      <c r="V31" s="313">
        <f t="shared" si="4"/>
        <v>1.4291666666666667</v>
      </c>
      <c r="W31" s="313">
        <f t="shared" si="5"/>
        <v>22.866666666666667</v>
      </c>
      <c r="X31" s="313">
        <f t="shared" si="6"/>
        <v>45.733333333333334</v>
      </c>
      <c r="Y31" s="313">
        <f t="shared" si="7"/>
        <v>13.72</v>
      </c>
    </row>
    <row r="32" spans="1:25">
      <c r="A32" s="118">
        <f>'BD Team'!A37</f>
        <v>29</v>
      </c>
      <c r="B32" s="118" t="str">
        <f>'BD Team'!B37</f>
        <v>W27</v>
      </c>
      <c r="C32" s="118" t="str">
        <f>'BD Team'!C37</f>
        <v>M15000</v>
      </c>
      <c r="D32" s="118" t="str">
        <f>'BD Team'!D37</f>
        <v>FIXED GLASS</v>
      </c>
      <c r="E32" s="118" t="str">
        <f>'BD Team'!F37</f>
        <v>NO</v>
      </c>
      <c r="F32" s="121" t="str">
        <f>'BD Team'!G37</f>
        <v>2F - BATHROOM</v>
      </c>
      <c r="G32" s="118">
        <f>'BD Team'!H37</f>
        <v>610</v>
      </c>
      <c r="H32" s="118">
        <f>'BD Team'!I37</f>
        <v>2896</v>
      </c>
      <c r="I32" s="118">
        <f>'BD Team'!J37</f>
        <v>1</v>
      </c>
      <c r="J32" s="103">
        <f t="shared" si="0"/>
        <v>19.015251840000001</v>
      </c>
      <c r="K32" s="172">
        <f>'BD Team'!K37</f>
        <v>61.6</v>
      </c>
      <c r="L32" s="171">
        <f t="shared" si="1"/>
        <v>61.6</v>
      </c>
      <c r="M32" s="170">
        <f>L32*'Changable Values'!$D$4</f>
        <v>5112.8</v>
      </c>
      <c r="N32" s="170" t="str">
        <f>'BD Team'!E37</f>
        <v>12MM (F)</v>
      </c>
      <c r="O32" s="172">
        <v>2892</v>
      </c>
      <c r="P32" s="241"/>
      <c r="Q32" s="173"/>
      <c r="R32" s="185"/>
      <c r="S32" s="312"/>
      <c r="T32" s="313">
        <f t="shared" si="2"/>
        <v>23.373333333333335</v>
      </c>
      <c r="U32" s="313">
        <f t="shared" si="3"/>
        <v>28.047999999999998</v>
      </c>
      <c r="V32" s="313">
        <f t="shared" si="4"/>
        <v>1.4608333333333334</v>
      </c>
      <c r="W32" s="313">
        <f t="shared" si="5"/>
        <v>23.373333333333335</v>
      </c>
      <c r="X32" s="313">
        <f t="shared" si="6"/>
        <v>46.74666666666667</v>
      </c>
      <c r="Y32" s="313">
        <f t="shared" si="7"/>
        <v>14.023999999999999</v>
      </c>
    </row>
    <row r="33" spans="1:25">
      <c r="A33" s="118">
        <f>'BD Team'!A38</f>
        <v>30</v>
      </c>
      <c r="B33" s="118" t="str">
        <f>'BD Team'!B38</f>
        <v>W28</v>
      </c>
      <c r="C33" s="118" t="str">
        <f>'BD Team'!C38</f>
        <v>M15000</v>
      </c>
      <c r="D33" s="118" t="str">
        <f>'BD Team'!D38</f>
        <v>FIXED GLASS</v>
      </c>
      <c r="E33" s="118" t="str">
        <f>'BD Team'!F38</f>
        <v>NO</v>
      </c>
      <c r="F33" s="121" t="str">
        <f>'BD Team'!G38</f>
        <v>2F - DRESSING</v>
      </c>
      <c r="G33" s="118">
        <f>'BD Team'!H38</f>
        <v>916</v>
      </c>
      <c r="H33" s="118">
        <f>'BD Team'!I38</f>
        <v>2896</v>
      </c>
      <c r="I33" s="118">
        <f>'BD Team'!J38</f>
        <v>1</v>
      </c>
      <c r="J33" s="103">
        <f t="shared" si="0"/>
        <v>28.554050303999997</v>
      </c>
      <c r="K33" s="172">
        <f>'BD Team'!K38</f>
        <v>66.42</v>
      </c>
      <c r="L33" s="171">
        <f t="shared" si="1"/>
        <v>66.42</v>
      </c>
      <c r="M33" s="170">
        <f>L33*'Changable Values'!$D$4</f>
        <v>5512.8600000000006</v>
      </c>
      <c r="N33" s="170" t="str">
        <f>'BD Team'!E38</f>
        <v>12MM (F)</v>
      </c>
      <c r="O33" s="172">
        <v>2892</v>
      </c>
      <c r="P33" s="241"/>
      <c r="Q33" s="173"/>
      <c r="R33" s="185"/>
      <c r="S33" s="312"/>
      <c r="T33" s="313">
        <f t="shared" si="2"/>
        <v>25.413333333333334</v>
      </c>
      <c r="U33" s="313">
        <f t="shared" si="3"/>
        <v>30.495999999999999</v>
      </c>
      <c r="V33" s="313">
        <f t="shared" si="4"/>
        <v>1.5883333333333334</v>
      </c>
      <c r="W33" s="313">
        <f t="shared" si="5"/>
        <v>25.413333333333334</v>
      </c>
      <c r="X33" s="313">
        <f t="shared" si="6"/>
        <v>50.826666666666668</v>
      </c>
      <c r="Y33" s="313">
        <f t="shared" si="7"/>
        <v>15.247999999999999</v>
      </c>
    </row>
    <row r="34" spans="1:25">
      <c r="A34" s="118">
        <f>'BD Team'!A39</f>
        <v>31</v>
      </c>
      <c r="B34" s="118" t="str">
        <f>'BD Team'!B39</f>
        <v>W29</v>
      </c>
      <c r="C34" s="118" t="str">
        <f>'BD Team'!C39</f>
        <v>M15000</v>
      </c>
      <c r="D34" s="118" t="str">
        <f>'BD Team'!D39</f>
        <v>TOP HUNG WINDOW</v>
      </c>
      <c r="E34" s="118" t="str">
        <f>'BD Team'!F39</f>
        <v>NO</v>
      </c>
      <c r="F34" s="121" t="str">
        <f>'BD Team'!G39</f>
        <v>2F - PW. ROOM</v>
      </c>
      <c r="G34" s="118">
        <f>'BD Team'!H39</f>
        <v>916</v>
      </c>
      <c r="H34" s="118">
        <f>'BD Team'!I39</f>
        <v>1068</v>
      </c>
      <c r="I34" s="118">
        <f>'BD Team'!J39</f>
        <v>1</v>
      </c>
      <c r="J34" s="103">
        <f t="shared" si="0"/>
        <v>10.530292032</v>
      </c>
      <c r="K34" s="172">
        <f>'BD Team'!K39</f>
        <v>204.58</v>
      </c>
      <c r="L34" s="171">
        <f t="shared" si="1"/>
        <v>204.58</v>
      </c>
      <c r="M34" s="170">
        <f>L34*'Changable Values'!$D$4</f>
        <v>16980.14</v>
      </c>
      <c r="N34" s="170" t="str">
        <f>'BD Team'!E39</f>
        <v>12MM (F)</v>
      </c>
      <c r="O34" s="172">
        <v>2892</v>
      </c>
      <c r="P34" s="241"/>
      <c r="Q34" s="173"/>
      <c r="R34" s="185"/>
      <c r="S34" s="312"/>
      <c r="T34" s="313">
        <f t="shared" si="2"/>
        <v>13.226666666666667</v>
      </c>
      <c r="U34" s="313">
        <f t="shared" si="3"/>
        <v>15.872</v>
      </c>
      <c r="V34" s="313">
        <f t="shared" si="4"/>
        <v>0.82666666666666666</v>
      </c>
      <c r="W34" s="313">
        <f t="shared" si="5"/>
        <v>13.226666666666667</v>
      </c>
      <c r="X34" s="313">
        <f t="shared" si="6"/>
        <v>26.453333333333333</v>
      </c>
      <c r="Y34" s="313">
        <f t="shared" si="7"/>
        <v>7.9359999999999999</v>
      </c>
    </row>
    <row r="35" spans="1:25">
      <c r="A35" s="118">
        <f>'BD Team'!A40</f>
        <v>32</v>
      </c>
      <c r="B35" s="118" t="str">
        <f>'BD Team'!B40</f>
        <v>W30</v>
      </c>
      <c r="C35" s="118" t="str">
        <f>'BD Team'!C40</f>
        <v>M15000</v>
      </c>
      <c r="D35" s="118" t="str">
        <f>'BD Team'!D40</f>
        <v>TOP HUNG WINDOW WITH TOP FIXED</v>
      </c>
      <c r="E35" s="118" t="str">
        <f>'BD Team'!F40</f>
        <v>NO</v>
      </c>
      <c r="F35" s="121" t="str">
        <f>'BD Team'!G40</f>
        <v>2F - STORE</v>
      </c>
      <c r="G35" s="118">
        <f>'BD Team'!H40</f>
        <v>916</v>
      </c>
      <c r="H35" s="118">
        <f>'BD Team'!I40</f>
        <v>1830</v>
      </c>
      <c r="I35" s="118">
        <f>'BD Team'!J40</f>
        <v>1</v>
      </c>
      <c r="J35" s="103">
        <f t="shared" si="0"/>
        <v>18.043477919999997</v>
      </c>
      <c r="K35" s="172">
        <f>'BD Team'!K40</f>
        <v>246.33</v>
      </c>
      <c r="L35" s="171">
        <f t="shared" si="1"/>
        <v>246.33</v>
      </c>
      <c r="M35" s="170">
        <f>L35*'Changable Values'!$D$4</f>
        <v>20445.39</v>
      </c>
      <c r="N35" s="170" t="str">
        <f>'BD Team'!E40</f>
        <v>12MM</v>
      </c>
      <c r="O35" s="172">
        <v>1890</v>
      </c>
      <c r="P35" s="241"/>
      <c r="Q35" s="173"/>
      <c r="R35" s="185"/>
      <c r="S35" s="312"/>
      <c r="T35" s="313">
        <f t="shared" si="2"/>
        <v>18.306666666666668</v>
      </c>
      <c r="U35" s="313">
        <f t="shared" si="3"/>
        <v>21.968</v>
      </c>
      <c r="V35" s="313">
        <f t="shared" si="4"/>
        <v>1.1441666666666668</v>
      </c>
      <c r="W35" s="313">
        <f t="shared" si="5"/>
        <v>18.306666666666668</v>
      </c>
      <c r="X35" s="313">
        <f t="shared" si="6"/>
        <v>36.613333333333337</v>
      </c>
      <c r="Y35" s="313">
        <f t="shared" si="7"/>
        <v>10.984</v>
      </c>
    </row>
    <row r="36" spans="1:25">
      <c r="A36" s="118">
        <f>'BD Team'!A41</f>
        <v>33</v>
      </c>
      <c r="B36" s="118" t="str">
        <f>'BD Team'!B41</f>
        <v>W31</v>
      </c>
      <c r="C36" s="118" t="str">
        <f>'BD Team'!C41</f>
        <v>M15000</v>
      </c>
      <c r="D36" s="118" t="str">
        <f>'BD Team'!D41</f>
        <v>FIXED GLASS 2 NO'S</v>
      </c>
      <c r="E36" s="118" t="str">
        <f>'BD Team'!F41</f>
        <v>NO</v>
      </c>
      <c r="F36" s="121" t="str">
        <f>'BD Team'!G41</f>
        <v>2F - GYM</v>
      </c>
      <c r="G36" s="118">
        <f>'BD Team'!H41</f>
        <v>3278</v>
      </c>
      <c r="H36" s="118">
        <f>'BD Team'!I41</f>
        <v>3302</v>
      </c>
      <c r="I36" s="118">
        <f>'BD Team'!J41</f>
        <v>1</v>
      </c>
      <c r="J36" s="103">
        <f t="shared" si="0"/>
        <v>116.50906238399999</v>
      </c>
      <c r="K36" s="172">
        <f>'BD Team'!K41</f>
        <v>251.69</v>
      </c>
      <c r="L36" s="171">
        <f t="shared" si="1"/>
        <v>251.69</v>
      </c>
      <c r="M36" s="170">
        <f>L36*'Changable Values'!$D$4</f>
        <v>20890.27</v>
      </c>
      <c r="N36" s="170" t="str">
        <f>'BD Team'!E41</f>
        <v>12MM</v>
      </c>
      <c r="O36" s="172">
        <v>1890</v>
      </c>
      <c r="P36" s="241"/>
      <c r="Q36" s="173"/>
      <c r="R36" s="185"/>
      <c r="S36" s="312"/>
      <c r="T36" s="313">
        <f t="shared" si="2"/>
        <v>43.866666666666667</v>
      </c>
      <c r="U36" s="313">
        <f t="shared" si="3"/>
        <v>52.64</v>
      </c>
      <c r="V36" s="313">
        <f t="shared" si="4"/>
        <v>2.7416666666666667</v>
      </c>
      <c r="W36" s="313">
        <f t="shared" si="5"/>
        <v>43.866666666666667</v>
      </c>
      <c r="X36" s="313">
        <f t="shared" si="6"/>
        <v>87.733333333333334</v>
      </c>
      <c r="Y36" s="313">
        <f t="shared" si="7"/>
        <v>26.32</v>
      </c>
    </row>
    <row r="37" spans="1:25">
      <c r="A37" s="118">
        <f>'BD Team'!A42</f>
        <v>34</v>
      </c>
      <c r="B37" s="118" t="str">
        <f>'BD Team'!B42</f>
        <v>W32</v>
      </c>
      <c r="C37" s="118" t="str">
        <f>'BD Team'!C42</f>
        <v>M15000</v>
      </c>
      <c r="D37" s="118" t="str">
        <f>'BD Team'!D42</f>
        <v>FIXED GLASS 2 NO'S</v>
      </c>
      <c r="E37" s="118" t="str">
        <f>'BD Team'!F42</f>
        <v>NO</v>
      </c>
      <c r="F37" s="121" t="str">
        <f>'BD Team'!G42</f>
        <v>2F - GYM</v>
      </c>
      <c r="G37" s="118">
        <f>'BD Team'!H42</f>
        <v>3734</v>
      </c>
      <c r="H37" s="118">
        <f>'BD Team'!I42</f>
        <v>3302</v>
      </c>
      <c r="I37" s="118">
        <f>'BD Team'!J42</f>
        <v>1</v>
      </c>
      <c r="J37" s="103">
        <f t="shared" si="0"/>
        <v>132.71654635199999</v>
      </c>
      <c r="K37" s="172">
        <f>'BD Team'!K42</f>
        <v>258.88</v>
      </c>
      <c r="L37" s="171">
        <f t="shared" si="1"/>
        <v>258.88</v>
      </c>
      <c r="M37" s="170">
        <f>L37*'Changable Values'!$D$4</f>
        <v>21487.040000000001</v>
      </c>
      <c r="N37" s="170" t="str">
        <f>'BD Team'!E42</f>
        <v>12MM</v>
      </c>
      <c r="O37" s="172">
        <v>1890</v>
      </c>
      <c r="P37" s="241"/>
      <c r="Q37" s="173"/>
      <c r="R37" s="185"/>
      <c r="S37" s="312"/>
      <c r="T37" s="313">
        <f t="shared" si="2"/>
        <v>46.906666666666666</v>
      </c>
      <c r="U37" s="313">
        <f t="shared" si="3"/>
        <v>56.287999999999997</v>
      </c>
      <c r="V37" s="313">
        <f t="shared" si="4"/>
        <v>2.9316666666666666</v>
      </c>
      <c r="W37" s="313">
        <f t="shared" si="5"/>
        <v>46.906666666666666</v>
      </c>
      <c r="X37" s="313">
        <f t="shared" si="6"/>
        <v>93.813333333333333</v>
      </c>
      <c r="Y37" s="313">
        <f t="shared" si="7"/>
        <v>28.143999999999998</v>
      </c>
    </row>
    <row r="38" spans="1:25">
      <c r="A38" s="118">
        <f>'BD Team'!A43</f>
        <v>35</v>
      </c>
      <c r="B38" s="118" t="str">
        <f>'BD Team'!B43</f>
        <v>W33</v>
      </c>
      <c r="C38" s="118" t="str">
        <f>'BD Team'!C43</f>
        <v>M15000</v>
      </c>
      <c r="D38" s="118" t="str">
        <f>'BD Team'!D43</f>
        <v>TOP HUNG WINDOW</v>
      </c>
      <c r="E38" s="118" t="str">
        <f>'BD Team'!F43</f>
        <v>NO</v>
      </c>
      <c r="F38" s="121" t="str">
        <f>'BD Team'!G43</f>
        <v>POOL AREA DRESS</v>
      </c>
      <c r="G38" s="118">
        <f>'BD Team'!H43</f>
        <v>500</v>
      </c>
      <c r="H38" s="118">
        <f>'BD Team'!I43</f>
        <v>1020</v>
      </c>
      <c r="I38" s="118">
        <f>'BD Team'!J43</f>
        <v>1</v>
      </c>
      <c r="J38" s="103">
        <f t="shared" si="0"/>
        <v>5.4896399999999996</v>
      </c>
      <c r="K38" s="172">
        <f>'BD Team'!K43</f>
        <v>150.78</v>
      </c>
      <c r="L38" s="171">
        <f t="shared" si="1"/>
        <v>150.78</v>
      </c>
      <c r="M38" s="170">
        <f>L38*'Changable Values'!$D$4</f>
        <v>12514.74</v>
      </c>
      <c r="N38" s="170" t="str">
        <f>'BD Team'!E43</f>
        <v>12MM (F)</v>
      </c>
      <c r="O38" s="172">
        <v>2892</v>
      </c>
      <c r="P38" s="241"/>
      <c r="Q38" s="173"/>
      <c r="R38" s="185"/>
      <c r="S38" s="312"/>
      <c r="T38" s="313">
        <f t="shared" si="2"/>
        <v>10.133333333333333</v>
      </c>
      <c r="U38" s="313">
        <f t="shared" si="3"/>
        <v>12.16</v>
      </c>
      <c r="V38" s="313">
        <f t="shared" si="4"/>
        <v>0.6333333333333333</v>
      </c>
      <c r="W38" s="313">
        <f t="shared" si="5"/>
        <v>10.133333333333333</v>
      </c>
      <c r="X38" s="313">
        <f t="shared" si="6"/>
        <v>20.266666666666666</v>
      </c>
      <c r="Y38" s="313">
        <f t="shared" si="7"/>
        <v>6.08</v>
      </c>
    </row>
    <row r="39" spans="1:25">
      <c r="A39" s="118">
        <f>'BD Team'!A44</f>
        <v>36</v>
      </c>
      <c r="B39" s="118" t="str">
        <f>'BD Team'!B44</f>
        <v>W34</v>
      </c>
      <c r="C39" s="118" t="str">
        <f>'BD Team'!C44</f>
        <v>M15000</v>
      </c>
      <c r="D39" s="118" t="str">
        <f>'BD Team'!D44</f>
        <v>FIXED GLASS 2 NO'S</v>
      </c>
      <c r="E39" s="118" t="str">
        <f>'BD Team'!F44</f>
        <v>NO</v>
      </c>
      <c r="F39" s="121" t="str">
        <f>'BD Team'!G44</f>
        <v>POOL AREA</v>
      </c>
      <c r="G39" s="118">
        <f>'BD Team'!H44</f>
        <v>3200</v>
      </c>
      <c r="H39" s="118">
        <f>'BD Team'!I44</f>
        <v>2600</v>
      </c>
      <c r="I39" s="118">
        <f>'BD Team'!J44</f>
        <v>1</v>
      </c>
      <c r="J39" s="103">
        <f t="shared" si="0"/>
        <v>89.556479999999993</v>
      </c>
      <c r="K39" s="172">
        <f>'BD Team'!K44</f>
        <v>176.23</v>
      </c>
      <c r="L39" s="171">
        <f t="shared" si="1"/>
        <v>176.23</v>
      </c>
      <c r="M39" s="170">
        <f>L39*'Changable Values'!$D$4</f>
        <v>14627.089999999998</v>
      </c>
      <c r="N39" s="170" t="str">
        <f>'BD Team'!E44</f>
        <v>12MM</v>
      </c>
      <c r="O39" s="172">
        <v>1890</v>
      </c>
      <c r="P39" s="241"/>
      <c r="Q39" s="173"/>
      <c r="R39" s="185"/>
      <c r="S39" s="312"/>
      <c r="T39" s="313">
        <f t="shared" si="2"/>
        <v>38.666666666666664</v>
      </c>
      <c r="U39" s="313">
        <f t="shared" si="3"/>
        <v>46.4</v>
      </c>
      <c r="V39" s="313">
        <f t="shared" si="4"/>
        <v>2.4166666666666665</v>
      </c>
      <c r="W39" s="313">
        <f t="shared" si="5"/>
        <v>38.666666666666664</v>
      </c>
      <c r="X39" s="313">
        <f t="shared" si="6"/>
        <v>77.333333333333329</v>
      </c>
      <c r="Y39" s="313">
        <f t="shared" si="7"/>
        <v>23.2</v>
      </c>
    </row>
    <row r="40" spans="1:25">
      <c r="A40" s="118">
        <f>'BD Team'!A45</f>
        <v>37</v>
      </c>
      <c r="B40" s="118" t="str">
        <f>'BD Team'!B45</f>
        <v>W35</v>
      </c>
      <c r="C40" s="118" t="str">
        <f>'BD Team'!C45</f>
        <v>M15000</v>
      </c>
      <c r="D40" s="118" t="str">
        <f>'BD Team'!D45</f>
        <v>FIXED GLASS</v>
      </c>
      <c r="E40" s="118" t="str">
        <f>'BD Team'!F45</f>
        <v>NO</v>
      </c>
      <c r="F40" s="121" t="str">
        <f>'BD Team'!G45</f>
        <v>POOL AREA</v>
      </c>
      <c r="G40" s="118">
        <f>'BD Team'!H45</f>
        <v>2300</v>
      </c>
      <c r="H40" s="118">
        <f>'BD Team'!I45</f>
        <v>2600</v>
      </c>
      <c r="I40" s="118">
        <f>'BD Team'!J45</f>
        <v>1</v>
      </c>
      <c r="J40" s="103">
        <f t="shared" si="0"/>
        <v>64.368719999999996</v>
      </c>
      <c r="K40" s="172">
        <f>'BD Team'!K45</f>
        <v>83.72</v>
      </c>
      <c r="L40" s="171">
        <f t="shared" si="1"/>
        <v>83.72</v>
      </c>
      <c r="M40" s="170">
        <f>L40*'Changable Values'!$D$4</f>
        <v>6948.76</v>
      </c>
      <c r="N40" s="170" t="str">
        <f>'BD Team'!E45</f>
        <v>12MM</v>
      </c>
      <c r="O40" s="172">
        <v>1890</v>
      </c>
      <c r="P40" s="241"/>
      <c r="Q40" s="173"/>
      <c r="R40" s="185"/>
      <c r="S40" s="312"/>
      <c r="T40" s="313">
        <f t="shared" si="2"/>
        <v>32.666666666666664</v>
      </c>
      <c r="U40" s="313">
        <f t="shared" si="3"/>
        <v>39.200000000000003</v>
      </c>
      <c r="V40" s="313">
        <f t="shared" si="4"/>
        <v>2.0416666666666665</v>
      </c>
      <c r="W40" s="313">
        <f t="shared" si="5"/>
        <v>32.666666666666664</v>
      </c>
      <c r="X40" s="313">
        <f t="shared" si="6"/>
        <v>65.333333333333329</v>
      </c>
      <c r="Y40" s="313">
        <f t="shared" si="7"/>
        <v>19.600000000000001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12129.619999999999</v>
      </c>
      <c r="L104" s="168">
        <f>SUM(L4:L103)</f>
        <v>12545.64</v>
      </c>
      <c r="M104" s="168">
        <f>SUM(M4:M103)</f>
        <v>1041288.12</v>
      </c>
      <c r="T104" s="314">
        <f t="shared" ref="T104:Y104" si="16">SUM(T4:T103)</f>
        <v>1359.6533333333336</v>
      </c>
      <c r="U104" s="314">
        <f t="shared" si="16"/>
        <v>1631.5840000000003</v>
      </c>
      <c r="V104" s="314">
        <f t="shared" si="16"/>
        <v>84.978333333333353</v>
      </c>
      <c r="W104" s="314">
        <f t="shared" si="16"/>
        <v>1359.6533333333336</v>
      </c>
      <c r="X104" s="314">
        <f t="shared" si="16"/>
        <v>2719.3066666666673</v>
      </c>
      <c r="Y104" s="314">
        <f t="shared" si="16"/>
        <v>815.79200000000014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2891.5740000000001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2165</v>
      </c>
      <c r="D4" s="255">
        <f>C4*D3</f>
        <v>49.795000000000002</v>
      </c>
      <c r="E4" s="255">
        <f>C4*E3</f>
        <v>86.600000000000009</v>
      </c>
      <c r="F4" s="255">
        <f>C4*F3</f>
        <v>108.25</v>
      </c>
      <c r="G4" s="255">
        <f>C4+D4+E4+F4</f>
        <v>2409.645</v>
      </c>
      <c r="H4" s="255">
        <f>G4*H3</f>
        <v>481.92900000000003</v>
      </c>
      <c r="I4" s="255">
        <f>G4+H4</f>
        <v>2891.5740000000001</v>
      </c>
      <c r="J4" s="255">
        <f>I4*J3</f>
        <v>0</v>
      </c>
      <c r="K4" s="255">
        <f>I4+J4</f>
        <v>2891.5740000000001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18</v>
      </c>
      <c r="B7" s="270">
        <v>12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2165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K18" sqref="AK1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5" t="s">
        <v>71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</row>
    <row r="3" spans="2:54" ht="13.5" thickBot="1">
      <c r="L3" s="348" t="s">
        <v>281</v>
      </c>
      <c r="M3" s="348"/>
      <c r="N3" s="348"/>
      <c r="O3" s="348"/>
      <c r="U3" s="50"/>
      <c r="AB3" s="50"/>
    </row>
    <row r="4" spans="2:54" s="50" customFormat="1" ht="15" customHeight="1" thickTop="1" thickBot="1">
      <c r="B4" s="387" t="s">
        <v>72</v>
      </c>
      <c r="C4" s="373" t="s">
        <v>73</v>
      </c>
      <c r="D4" s="373" t="s">
        <v>74</v>
      </c>
      <c r="E4" s="382" t="s">
        <v>106</v>
      </c>
      <c r="F4" s="382" t="s">
        <v>75</v>
      </c>
      <c r="G4" s="382" t="s">
        <v>189</v>
      </c>
      <c r="H4" s="382" t="s">
        <v>76</v>
      </c>
      <c r="I4" s="373" t="s">
        <v>77</v>
      </c>
      <c r="J4" s="382" t="s">
        <v>78</v>
      </c>
      <c r="K4" s="382" t="s">
        <v>79</v>
      </c>
      <c r="L4" s="345" t="s">
        <v>114</v>
      </c>
      <c r="M4" s="345" t="s">
        <v>115</v>
      </c>
      <c r="N4" s="345" t="s">
        <v>9</v>
      </c>
      <c r="O4" s="345" t="s">
        <v>2</v>
      </c>
      <c r="P4" s="398" t="s">
        <v>80</v>
      </c>
      <c r="Q4" s="399"/>
      <c r="R4" s="399"/>
      <c r="S4" s="399"/>
      <c r="T4" s="399"/>
      <c r="U4" s="400"/>
      <c r="V4" s="382" t="s">
        <v>134</v>
      </c>
      <c r="W4" s="402" t="s">
        <v>190</v>
      </c>
      <c r="X4" s="147"/>
      <c r="Y4" s="147"/>
      <c r="Z4" s="147"/>
      <c r="AA4" s="147"/>
      <c r="AB4" s="147"/>
      <c r="AC4" s="402" t="s">
        <v>81</v>
      </c>
      <c r="AD4" s="406" t="s">
        <v>106</v>
      </c>
      <c r="AE4" s="396" t="s">
        <v>82</v>
      </c>
      <c r="AF4" s="378" t="s">
        <v>83</v>
      </c>
      <c r="AG4" s="379"/>
      <c r="AH4" s="396" t="s">
        <v>84</v>
      </c>
      <c r="AI4" s="396" t="s">
        <v>85</v>
      </c>
      <c r="AJ4" s="382" t="s">
        <v>238</v>
      </c>
      <c r="AK4" s="382" t="s">
        <v>239</v>
      </c>
      <c r="AL4" s="373" t="s">
        <v>86</v>
      </c>
      <c r="AM4" s="373" t="s">
        <v>87</v>
      </c>
      <c r="AN4" s="373" t="s">
        <v>88</v>
      </c>
      <c r="AO4" s="375" t="s">
        <v>89</v>
      </c>
      <c r="AP4" s="373" t="s">
        <v>109</v>
      </c>
      <c r="AQ4" s="373" t="s">
        <v>4</v>
      </c>
      <c r="AR4" s="358" t="s">
        <v>90</v>
      </c>
      <c r="AS4" s="361" t="s">
        <v>91</v>
      </c>
      <c r="AT4" s="358" t="s">
        <v>92</v>
      </c>
      <c r="AU4" s="364" t="s">
        <v>93</v>
      </c>
      <c r="AV4" s="384" t="s">
        <v>215</v>
      </c>
      <c r="AW4" s="367" t="s">
        <v>213</v>
      </c>
      <c r="AX4" s="370" t="s">
        <v>214</v>
      </c>
    </row>
    <row r="5" spans="2:54" s="50" customFormat="1" ht="26.25" thickTop="1">
      <c r="B5" s="388"/>
      <c r="C5" s="390"/>
      <c r="D5" s="390"/>
      <c r="E5" s="392"/>
      <c r="F5" s="392"/>
      <c r="G5" s="392"/>
      <c r="H5" s="392"/>
      <c r="I5" s="394"/>
      <c r="J5" s="392"/>
      <c r="K5" s="392"/>
      <c r="L5" s="346"/>
      <c r="M5" s="346"/>
      <c r="N5" s="346"/>
      <c r="O5" s="346"/>
      <c r="P5" s="40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1" t="s">
        <v>99</v>
      </c>
      <c r="V5" s="383"/>
      <c r="W5" s="403"/>
      <c r="X5" s="144" t="s">
        <v>95</v>
      </c>
      <c r="Y5" s="144" t="s">
        <v>96</v>
      </c>
      <c r="Z5" s="144" t="s">
        <v>97</v>
      </c>
      <c r="AA5" s="145" t="s">
        <v>98</v>
      </c>
      <c r="AB5" s="401" t="s">
        <v>212</v>
      </c>
      <c r="AC5" s="403"/>
      <c r="AD5" s="407"/>
      <c r="AE5" s="397"/>
      <c r="AF5" s="380"/>
      <c r="AG5" s="381"/>
      <c r="AH5" s="397"/>
      <c r="AI5" s="397"/>
      <c r="AJ5" s="383"/>
      <c r="AK5" s="383"/>
      <c r="AL5" s="374"/>
      <c r="AM5" s="374"/>
      <c r="AN5" s="374"/>
      <c r="AO5" s="376"/>
      <c r="AP5" s="374"/>
      <c r="AQ5" s="374"/>
      <c r="AR5" s="359"/>
      <c r="AS5" s="362"/>
      <c r="AT5" s="359"/>
      <c r="AU5" s="365"/>
      <c r="AV5" s="384"/>
      <c r="AW5" s="368"/>
      <c r="AX5" s="371"/>
      <c r="AZ5" s="354" t="s">
        <v>100</v>
      </c>
    </row>
    <row r="6" spans="2:54" s="50" customFormat="1" ht="16.5" customHeight="1" thickBot="1">
      <c r="B6" s="389"/>
      <c r="C6" s="391"/>
      <c r="D6" s="391"/>
      <c r="E6" s="393"/>
      <c r="F6" s="393"/>
      <c r="G6" s="393"/>
      <c r="H6" s="393"/>
      <c r="I6" s="395"/>
      <c r="J6" s="393"/>
      <c r="K6" s="393"/>
      <c r="L6" s="347"/>
      <c r="M6" s="347"/>
      <c r="N6" s="347"/>
      <c r="O6" s="347"/>
      <c r="P6" s="39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3"/>
      <c r="V6" s="157">
        <f>'Changable Values'!D9</f>
        <v>1.4999999999999999E-2</v>
      </c>
      <c r="W6" s="404"/>
      <c r="X6" s="51"/>
      <c r="Y6" s="52"/>
      <c r="Z6" s="52"/>
      <c r="AA6" s="52"/>
      <c r="AB6" s="393"/>
      <c r="AC6" s="404"/>
      <c r="AD6" s="40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7"/>
      <c r="AP6" s="53">
        <f>'Changable Values'!D23</f>
        <v>1.25</v>
      </c>
      <c r="AQ6" s="51">
        <v>0</v>
      </c>
      <c r="AR6" s="360"/>
      <c r="AS6" s="363"/>
      <c r="AT6" s="360"/>
      <c r="AU6" s="366"/>
      <c r="AV6" s="384"/>
      <c r="AW6" s="369"/>
      <c r="AX6" s="372"/>
      <c r="AZ6" s="35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6">
        <f>'Changable Values'!D14</f>
        <v>150</v>
      </c>
      <c r="AG7" s="35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2 NO'S</v>
      </c>
      <c r="D8" s="131" t="str">
        <f>Pricing!B4</f>
        <v>W1</v>
      </c>
      <c r="E8" s="132" t="str">
        <f>Pricing!N4</f>
        <v>12MM</v>
      </c>
      <c r="F8" s="68">
        <f>Pricing!G4</f>
        <v>7392</v>
      </c>
      <c r="G8" s="68">
        <f>Pricing!H4</f>
        <v>1220</v>
      </c>
      <c r="H8" s="100">
        <f t="shared" ref="H8:H57" si="0">(F8*G8)/1000000</f>
        <v>9.0182400000000005</v>
      </c>
      <c r="I8" s="70">
        <f>Pricing!I4</f>
        <v>1</v>
      </c>
      <c r="J8" s="69">
        <f t="shared" ref="J8" si="1">H8*I8</f>
        <v>9.0182400000000005</v>
      </c>
      <c r="K8" s="71">
        <f t="shared" ref="K8" si="2">J8*10.764</f>
        <v>97.072335359999997</v>
      </c>
      <c r="L8" s="69"/>
      <c r="M8" s="72"/>
      <c r="N8" s="72"/>
      <c r="O8" s="72">
        <f t="shared" ref="O8:O35" si="3">N8*M8*L8/1000000</f>
        <v>0</v>
      </c>
      <c r="P8" s="73">
        <f>Pricing!M4</f>
        <v>15322.630000000001</v>
      </c>
      <c r="Q8" s="74">
        <f t="shared" ref="Q8:Q56" si="4">P8*$Q$6</f>
        <v>1532.2630000000001</v>
      </c>
      <c r="R8" s="74">
        <f t="shared" ref="R8:R56" si="5">(P8+Q8)*$R$6</f>
        <v>1854.0382300000001</v>
      </c>
      <c r="S8" s="74">
        <f t="shared" ref="S8:S56" si="6">(P8+Q8+R8)*$S$6</f>
        <v>93.544656150000009</v>
      </c>
      <c r="T8" s="74">
        <f t="shared" ref="T8:T56" si="7">(P8+Q8+R8+S8)*$T$6</f>
        <v>188.0247588615</v>
      </c>
      <c r="U8" s="72">
        <f t="shared" ref="U8:U56" si="8">SUM(P8:T8)</f>
        <v>18990.5006450115</v>
      </c>
      <c r="V8" s="74">
        <f t="shared" ref="V8:V56" si="9">U8*$V$6</f>
        <v>284.85750967517248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17044.473600000001</v>
      </c>
      <c r="AE8" s="76">
        <f>((((F8+G8)*2)/305)*I8*$AE$7)</f>
        <v>1411.8032786885246</v>
      </c>
      <c r="AF8" s="341">
        <f>(((((F8*4)+(G8*4))/1000)*$AF$6*$AG$6)/300)*I8*$AF$7</f>
        <v>620.06399999999996</v>
      </c>
      <c r="AG8" s="342"/>
      <c r="AH8" s="76">
        <f>(((F8+G8))*I8/1000)*8*$AH$7</f>
        <v>51.671999999999997</v>
      </c>
      <c r="AI8" s="76">
        <f t="shared" ref="AI8:AI57" si="15">(((F8+G8)*2*I8)/1000)*2*$AI$7</f>
        <v>172.24</v>
      </c>
      <c r="AJ8" s="76">
        <f>J8*Pricing!Q4</f>
        <v>0</v>
      </c>
      <c r="AK8" s="76">
        <f>J8*Pricing!R4</f>
        <v>0</v>
      </c>
      <c r="AL8" s="76">
        <f t="shared" ref="AL8:AL39" si="16">J8*$AL$6</f>
        <v>9707.2335359999997</v>
      </c>
      <c r="AM8" s="77">
        <f t="shared" ref="AM8:AM39" si="17">$AM$6*J8</f>
        <v>0</v>
      </c>
      <c r="AN8" s="76">
        <f t="shared" ref="AN8:AN39" si="18">$AN$6*J8</f>
        <v>7765.7868287999991</v>
      </c>
      <c r="AO8" s="72">
        <f t="shared" ref="AO8:AO39" si="19">SUM(U8:V8)+SUM(AC8:AI8)-AD8</f>
        <v>21531.137433375199</v>
      </c>
      <c r="AP8" s="74">
        <f t="shared" ref="AP8:AP39" si="20">AO8*$AP$6</f>
        <v>26913.921791719</v>
      </c>
      <c r="AQ8" s="74">
        <f t="shared" ref="AQ8:AQ56" si="21">(AO8+AP8)*$AQ$6</f>
        <v>0</v>
      </c>
      <c r="AR8" s="74">
        <f t="shared" ref="AR8:AR39" si="22">SUM(AO8:AQ8)/J8</f>
        <v>5371.8973131225375</v>
      </c>
      <c r="AS8" s="72">
        <f t="shared" ref="AS8:AS39" si="23">SUM(AJ8:AQ8)+AD8+AB8</f>
        <v>82962.553189894199</v>
      </c>
      <c r="AT8" s="72">
        <f t="shared" ref="AT8:AT39" si="24">AS8/J8</f>
        <v>9199.417313122538</v>
      </c>
      <c r="AU8" s="78">
        <f t="shared" ref="AU8:AU56" si="25">AT8/10.764</f>
        <v>854.64672176909494</v>
      </c>
      <c r="AV8" s="79">
        <f t="shared" ref="AV8:AV39" si="26">K8/$K$109</f>
        <v>3.7015357984889266E-2</v>
      </c>
      <c r="AW8" s="80">
        <f t="shared" ref="AW8:AW39" si="27">(U8+V8)/(J8*10.764)</f>
        <v>198.56695610755185</v>
      </c>
      <c r="AX8" s="81">
        <f t="shared" ref="AX8:AX39" si="28">SUM(W8:AN8,AP8)/(J8*10.764)</f>
        <v>656.07976566154309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2 NO'S</v>
      </c>
      <c r="D9" s="131" t="str">
        <f>Pricing!B5</f>
        <v>W2</v>
      </c>
      <c r="E9" s="132" t="str">
        <f>Pricing!N5</f>
        <v>12MM</v>
      </c>
      <c r="F9" s="68">
        <f>Pricing!G5</f>
        <v>4192</v>
      </c>
      <c r="G9" s="68">
        <f>Pricing!H5</f>
        <v>3506</v>
      </c>
      <c r="H9" s="100">
        <f t="shared" si="0"/>
        <v>14.697152000000001</v>
      </c>
      <c r="I9" s="70">
        <f>Pricing!I5</f>
        <v>1</v>
      </c>
      <c r="J9" s="69">
        <f t="shared" ref="J9:J58" si="30">H9*I9</f>
        <v>14.697152000000001</v>
      </c>
      <c r="K9" s="71">
        <f t="shared" ref="K9:K58" si="31">J9*10.764</f>
        <v>158.20014412800001</v>
      </c>
      <c r="L9" s="69"/>
      <c r="M9" s="72"/>
      <c r="N9" s="72"/>
      <c r="O9" s="72">
        <f t="shared" si="3"/>
        <v>0</v>
      </c>
      <c r="P9" s="73">
        <f>Pricing!M5</f>
        <v>24403.66</v>
      </c>
      <c r="Q9" s="74">
        <f t="shared" ref="Q9:Q14" si="32">P9*$Q$6</f>
        <v>2440.366</v>
      </c>
      <c r="R9" s="74">
        <f t="shared" ref="R9:R14" si="33">(P9+Q9)*$R$6</f>
        <v>2952.8428599999997</v>
      </c>
      <c r="S9" s="74">
        <f t="shared" ref="S9:S14" si="34">(P9+Q9+R9)*$S$6</f>
        <v>148.9843443</v>
      </c>
      <c r="T9" s="74">
        <f t="shared" ref="T9:T14" si="35">(P9+Q9+R9+S9)*$T$6</f>
        <v>299.45853204299999</v>
      </c>
      <c r="U9" s="72">
        <f t="shared" ref="U9:U14" si="36">SUM(P9:T9)</f>
        <v>30245.311736342999</v>
      </c>
      <c r="V9" s="74">
        <f t="shared" ref="V9:V14" si="37">U9*$V$6</f>
        <v>453.67967604514496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27777.617280000002</v>
      </c>
      <c r="AE9" s="76">
        <f t="shared" ref="AE9:AE57" si="43">((((F9+G9)*2)/305)*I9*$AE$7)</f>
        <v>1261.967213114754</v>
      </c>
      <c r="AF9" s="341">
        <f t="shared" ref="AF9:AF57" si="44">(((((F9*4)+(G9*4))/1000)*$AF$6*$AG$6)/300)*I9*$AF$7</f>
        <v>554.25600000000009</v>
      </c>
      <c r="AG9" s="342"/>
      <c r="AH9" s="76">
        <f t="shared" ref="AH9:AH72" si="45">(((F9+G9))*I9/1000)*8*$AH$7</f>
        <v>46.188000000000002</v>
      </c>
      <c r="AI9" s="76">
        <f t="shared" si="15"/>
        <v>153.96</v>
      </c>
      <c r="AJ9" s="76">
        <f>J9*Pricing!Q5</f>
        <v>0</v>
      </c>
      <c r="AK9" s="76">
        <f>J9*Pricing!R5</f>
        <v>0</v>
      </c>
      <c r="AL9" s="76">
        <f t="shared" si="16"/>
        <v>15820.014412799999</v>
      </c>
      <c r="AM9" s="77">
        <f t="shared" si="17"/>
        <v>0</v>
      </c>
      <c r="AN9" s="76">
        <f t="shared" si="18"/>
        <v>12656.011530239999</v>
      </c>
      <c r="AO9" s="72">
        <f t="shared" si="19"/>
        <v>32715.362625502898</v>
      </c>
      <c r="AP9" s="74">
        <f t="shared" si="20"/>
        <v>40894.203281878625</v>
      </c>
      <c r="AQ9" s="74">
        <f t="shared" ref="AQ9:AQ14" si="46">(AO9+AP9)*$AQ$6</f>
        <v>0</v>
      </c>
      <c r="AR9" s="74">
        <f t="shared" si="22"/>
        <v>5008.4238026102958</v>
      </c>
      <c r="AS9" s="72">
        <f t="shared" si="23"/>
        <v>129863.20913042153</v>
      </c>
      <c r="AT9" s="72">
        <f t="shared" si="24"/>
        <v>8835.9438026102962</v>
      </c>
      <c r="AU9" s="78">
        <f t="shared" ref="AU9:AU14" si="47">AT9/10.764</f>
        <v>820.87920871518918</v>
      </c>
      <c r="AV9" s="79">
        <f t="shared" si="26"/>
        <v>6.03244471912847E-2</v>
      </c>
      <c r="AW9" s="80">
        <f t="shared" si="27"/>
        <v>194.05160204879166</v>
      </c>
      <c r="AX9" s="81">
        <f t="shared" si="28"/>
        <v>626.82760666639751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10MM</v>
      </c>
      <c r="F10" s="68">
        <f>Pricing!G6</f>
        <v>1830</v>
      </c>
      <c r="G10" s="68">
        <f>Pricing!H6</f>
        <v>610</v>
      </c>
      <c r="H10" s="100">
        <f t="shared" si="0"/>
        <v>1.1163000000000001</v>
      </c>
      <c r="I10" s="70">
        <f>Pricing!I6</f>
        <v>1</v>
      </c>
      <c r="J10" s="69">
        <f t="shared" si="30"/>
        <v>1.1163000000000001</v>
      </c>
      <c r="K10" s="71">
        <f t="shared" si="31"/>
        <v>12.0158532</v>
      </c>
      <c r="L10" s="69"/>
      <c r="M10" s="72"/>
      <c r="N10" s="72"/>
      <c r="O10" s="72">
        <f t="shared" si="3"/>
        <v>0</v>
      </c>
      <c r="P10" s="73">
        <f>Pricing!M6</f>
        <v>20758.3</v>
      </c>
      <c r="Q10" s="74">
        <f t="shared" si="32"/>
        <v>2075.83</v>
      </c>
      <c r="R10" s="74">
        <f t="shared" si="33"/>
        <v>2511.7542999999996</v>
      </c>
      <c r="S10" s="74">
        <f t="shared" si="34"/>
        <v>126.72942149999999</v>
      </c>
      <c r="T10" s="74">
        <f t="shared" si="35"/>
        <v>254.72613721499999</v>
      </c>
      <c r="U10" s="72">
        <f t="shared" si="36"/>
        <v>25727.339858714997</v>
      </c>
      <c r="V10" s="74">
        <f t="shared" si="37"/>
        <v>385.91009788072495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1773.8007</v>
      </c>
      <c r="AE10" s="76">
        <f t="shared" si="43"/>
        <v>400</v>
      </c>
      <c r="AF10" s="341">
        <f t="shared" si="44"/>
        <v>175.68</v>
      </c>
      <c r="AG10" s="342"/>
      <c r="AH10" s="76">
        <f t="shared" si="45"/>
        <v>14.64</v>
      </c>
      <c r="AI10" s="76">
        <f t="shared" si="15"/>
        <v>48.8</v>
      </c>
      <c r="AJ10" s="76">
        <f>J10*Pricing!Q6</f>
        <v>600.79265999999996</v>
      </c>
      <c r="AK10" s="76">
        <f>J10*Pricing!R6</f>
        <v>0</v>
      </c>
      <c r="AL10" s="76">
        <f t="shared" si="16"/>
        <v>1201.5853199999999</v>
      </c>
      <c r="AM10" s="77">
        <f t="shared" si="17"/>
        <v>0</v>
      </c>
      <c r="AN10" s="76">
        <f t="shared" si="18"/>
        <v>961.26825599999995</v>
      </c>
      <c r="AO10" s="72">
        <f t="shared" si="19"/>
        <v>26752.369956595721</v>
      </c>
      <c r="AP10" s="74">
        <f t="shared" si="20"/>
        <v>33440.462445744648</v>
      </c>
      <c r="AQ10" s="74">
        <f t="shared" si="46"/>
        <v>0</v>
      </c>
      <c r="AR10" s="74">
        <f t="shared" si="22"/>
        <v>53921.734661238348</v>
      </c>
      <c r="AS10" s="72">
        <f t="shared" si="23"/>
        <v>64730.27933834037</v>
      </c>
      <c r="AT10" s="72">
        <f t="shared" si="24"/>
        <v>57986.454661238349</v>
      </c>
      <c r="AU10" s="78">
        <f t="shared" si="47"/>
        <v>5387.073082612259</v>
      </c>
      <c r="AV10" s="79">
        <f t="shared" si="26"/>
        <v>4.5818523479672192E-3</v>
      </c>
      <c r="AW10" s="80">
        <f t="shared" si="27"/>
        <v>2173.2331047948987</v>
      </c>
      <c r="AX10" s="81">
        <f t="shared" si="28"/>
        <v>3213.8399778173598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</v>
      </c>
      <c r="D11" s="131" t="str">
        <f>Pricing!B7</f>
        <v>W4</v>
      </c>
      <c r="E11" s="132" t="str">
        <f>Pricing!N7</f>
        <v>12MM</v>
      </c>
      <c r="F11" s="68">
        <f>Pricing!G7</f>
        <v>1830</v>
      </c>
      <c r="G11" s="68">
        <f>Pricing!H7</f>
        <v>2896</v>
      </c>
      <c r="H11" s="100">
        <f t="shared" si="0"/>
        <v>5.2996800000000004</v>
      </c>
      <c r="I11" s="70">
        <f>Pricing!I7</f>
        <v>1</v>
      </c>
      <c r="J11" s="69">
        <f t="shared" si="30"/>
        <v>5.2996800000000004</v>
      </c>
      <c r="K11" s="71">
        <f t="shared" si="31"/>
        <v>57.04575552</v>
      </c>
      <c r="L11" s="69"/>
      <c r="M11" s="72"/>
      <c r="N11" s="72"/>
      <c r="O11" s="72">
        <f t="shared" si="3"/>
        <v>0</v>
      </c>
      <c r="P11" s="73">
        <f>Pricing!M7</f>
        <v>6721.34</v>
      </c>
      <c r="Q11" s="74">
        <f t="shared" si="32"/>
        <v>672.13400000000001</v>
      </c>
      <c r="R11" s="74">
        <f t="shared" si="33"/>
        <v>813.28214000000003</v>
      </c>
      <c r="S11" s="74">
        <f t="shared" si="34"/>
        <v>41.033780700000001</v>
      </c>
      <c r="T11" s="74">
        <f t="shared" si="35"/>
        <v>82.477899206999993</v>
      </c>
      <c r="U11" s="72">
        <f t="shared" si="36"/>
        <v>8330.2678199069996</v>
      </c>
      <c r="V11" s="74">
        <f t="shared" si="37"/>
        <v>124.954017298605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10016.395200000001</v>
      </c>
      <c r="AE11" s="76">
        <f t="shared" si="43"/>
        <v>774.75409836065569</v>
      </c>
      <c r="AF11" s="341">
        <f t="shared" si="44"/>
        <v>340.27200000000005</v>
      </c>
      <c r="AG11" s="342"/>
      <c r="AH11" s="76">
        <f t="shared" si="45"/>
        <v>28.356000000000002</v>
      </c>
      <c r="AI11" s="76">
        <f t="shared" si="15"/>
        <v>94.52</v>
      </c>
      <c r="AJ11" s="76">
        <f>J11*Pricing!Q7</f>
        <v>0</v>
      </c>
      <c r="AK11" s="76">
        <f>J11*Pricing!R7</f>
        <v>0</v>
      </c>
      <c r="AL11" s="76">
        <f t="shared" si="16"/>
        <v>5704.5755519999993</v>
      </c>
      <c r="AM11" s="77">
        <f t="shared" si="17"/>
        <v>0</v>
      </c>
      <c r="AN11" s="76">
        <f t="shared" si="18"/>
        <v>4563.6604416</v>
      </c>
      <c r="AO11" s="72">
        <f t="shared" si="19"/>
        <v>9693.1239355662601</v>
      </c>
      <c r="AP11" s="74">
        <f t="shared" si="20"/>
        <v>12116.404919457826</v>
      </c>
      <c r="AQ11" s="74">
        <f t="shared" si="46"/>
        <v>0</v>
      </c>
      <c r="AR11" s="74">
        <f t="shared" si="22"/>
        <v>4115.2539125049225</v>
      </c>
      <c r="AS11" s="72">
        <f t="shared" si="23"/>
        <v>42094.160048624086</v>
      </c>
      <c r="AT11" s="72">
        <f t="shared" si="24"/>
        <v>7942.773912504922</v>
      </c>
      <c r="AU11" s="78">
        <f t="shared" si="47"/>
        <v>737.90170127321835</v>
      </c>
      <c r="AV11" s="79">
        <f t="shared" si="26"/>
        <v>2.1752531802808305E-2</v>
      </c>
      <c r="AW11" s="80">
        <f t="shared" si="27"/>
        <v>148.21824621537775</v>
      </c>
      <c r="AX11" s="81">
        <f t="shared" si="28"/>
        <v>589.68345505784066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4 SHUTTER SLIDING DOOR</v>
      </c>
      <c r="D12" s="131" t="str">
        <f>Pricing!B8</f>
        <v>W4A</v>
      </c>
      <c r="E12" s="132" t="str">
        <f>Pricing!N8</f>
        <v>10MM</v>
      </c>
      <c r="F12" s="68">
        <f>Pricing!G8</f>
        <v>4268</v>
      </c>
      <c r="G12" s="68">
        <f>Pricing!H8</f>
        <v>2896</v>
      </c>
      <c r="H12" s="100">
        <f t="shared" si="0"/>
        <v>12.360128</v>
      </c>
      <c r="I12" s="70">
        <f>Pricing!I8</f>
        <v>1</v>
      </c>
      <c r="J12" s="69">
        <f t="shared" si="30"/>
        <v>12.360128</v>
      </c>
      <c r="K12" s="71">
        <f t="shared" si="31"/>
        <v>133.04441779199999</v>
      </c>
      <c r="L12" s="69"/>
      <c r="M12" s="72"/>
      <c r="N12" s="72"/>
      <c r="O12" s="72">
        <f t="shared" si="3"/>
        <v>0</v>
      </c>
      <c r="P12" s="73">
        <f>Pricing!M8</f>
        <v>85078.319999999992</v>
      </c>
      <c r="Q12" s="74">
        <f t="shared" si="32"/>
        <v>8507.8320000000003</v>
      </c>
      <c r="R12" s="74">
        <f t="shared" si="33"/>
        <v>10294.476719999999</v>
      </c>
      <c r="S12" s="74">
        <f t="shared" si="34"/>
        <v>519.40314359999991</v>
      </c>
      <c r="T12" s="74">
        <f t="shared" si="35"/>
        <v>1044.0003186359997</v>
      </c>
      <c r="U12" s="72">
        <f t="shared" si="36"/>
        <v>105444.03218223597</v>
      </c>
      <c r="V12" s="74">
        <f t="shared" si="37"/>
        <v>1581.6604827335395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19640.243392</v>
      </c>
      <c r="AE12" s="76">
        <f t="shared" si="43"/>
        <v>1174.4262295081967</v>
      </c>
      <c r="AF12" s="341">
        <f t="shared" si="44"/>
        <v>515.80799999999999</v>
      </c>
      <c r="AG12" s="342"/>
      <c r="AH12" s="76">
        <f t="shared" si="45"/>
        <v>42.983999999999995</v>
      </c>
      <c r="AI12" s="76">
        <f t="shared" si="15"/>
        <v>143.28</v>
      </c>
      <c r="AJ12" s="76">
        <f>J12*Pricing!Q8</f>
        <v>0</v>
      </c>
      <c r="AK12" s="76">
        <f>J12*Pricing!R8</f>
        <v>113087.7551232</v>
      </c>
      <c r="AL12" s="76">
        <f t="shared" si="16"/>
        <v>13304.441779199999</v>
      </c>
      <c r="AM12" s="77">
        <f t="shared" si="17"/>
        <v>0</v>
      </c>
      <c r="AN12" s="76">
        <f t="shared" si="18"/>
        <v>10643.553423359997</v>
      </c>
      <c r="AO12" s="72">
        <f t="shared" si="19"/>
        <v>108902.19089447771</v>
      </c>
      <c r="AP12" s="74">
        <f t="shared" si="20"/>
        <v>136127.73861809715</v>
      </c>
      <c r="AQ12" s="74">
        <f t="shared" si="46"/>
        <v>0</v>
      </c>
      <c r="AR12" s="74">
        <f t="shared" si="22"/>
        <v>19824.222654698631</v>
      </c>
      <c r="AS12" s="72">
        <f t="shared" si="23"/>
        <v>401705.92323033483</v>
      </c>
      <c r="AT12" s="72">
        <f t="shared" si="24"/>
        <v>32500.142654698629</v>
      </c>
      <c r="AU12" s="78">
        <f t="shared" si="47"/>
        <v>3019.3369244424593</v>
      </c>
      <c r="AV12" s="79">
        <f t="shared" si="26"/>
        <v>5.073213428108516E-2</v>
      </c>
      <c r="AW12" s="80">
        <f t="shared" si="27"/>
        <v>804.43580002200588</v>
      </c>
      <c r="AX12" s="81">
        <f t="shared" si="28"/>
        <v>2214.901124420453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</v>
      </c>
      <c r="D13" s="131" t="str">
        <f>Pricing!B9</f>
        <v>W5</v>
      </c>
      <c r="E13" s="132" t="str">
        <f>Pricing!N9</f>
        <v>12MM (F)</v>
      </c>
      <c r="F13" s="68">
        <f>Pricing!G9</f>
        <v>610</v>
      </c>
      <c r="G13" s="68">
        <f>Pricing!H9</f>
        <v>1068</v>
      </c>
      <c r="H13" s="100">
        <f t="shared" si="0"/>
        <v>0.65147999999999995</v>
      </c>
      <c r="I13" s="70">
        <f>Pricing!I9</f>
        <v>1</v>
      </c>
      <c r="J13" s="69">
        <f t="shared" si="30"/>
        <v>0.65147999999999995</v>
      </c>
      <c r="K13" s="71">
        <f t="shared" si="31"/>
        <v>7.0125307199999991</v>
      </c>
      <c r="L13" s="69"/>
      <c r="M13" s="72"/>
      <c r="N13" s="72"/>
      <c r="O13" s="72">
        <f t="shared" si="3"/>
        <v>0</v>
      </c>
      <c r="P13" s="73">
        <f>Pricing!M9</f>
        <v>15685.339999999998</v>
      </c>
      <c r="Q13" s="74">
        <f t="shared" si="32"/>
        <v>1568.5339999999999</v>
      </c>
      <c r="R13" s="74">
        <f t="shared" si="33"/>
        <v>1897.92614</v>
      </c>
      <c r="S13" s="74">
        <f t="shared" si="34"/>
        <v>95.759000700000001</v>
      </c>
      <c r="T13" s="74">
        <f t="shared" si="35"/>
        <v>192.475591407</v>
      </c>
      <c r="U13" s="72">
        <f t="shared" si="36"/>
        <v>19440.034732107</v>
      </c>
      <c r="V13" s="74">
        <f t="shared" si="37"/>
        <v>291.60052098160497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1884.0801599999998</v>
      </c>
      <c r="AE13" s="76">
        <f t="shared" si="43"/>
        <v>275.08196721311475</v>
      </c>
      <c r="AF13" s="341">
        <f t="shared" si="44"/>
        <v>120.816</v>
      </c>
      <c r="AG13" s="342"/>
      <c r="AH13" s="76">
        <f t="shared" si="45"/>
        <v>10.068</v>
      </c>
      <c r="AI13" s="76">
        <f t="shared" si="15"/>
        <v>33.56</v>
      </c>
      <c r="AJ13" s="76">
        <f>J13*Pricing!Q9</f>
        <v>0</v>
      </c>
      <c r="AK13" s="76">
        <f>J13*Pricing!R9</f>
        <v>0</v>
      </c>
      <c r="AL13" s="76">
        <f t="shared" si="16"/>
        <v>701.25307199999986</v>
      </c>
      <c r="AM13" s="77">
        <f t="shared" si="17"/>
        <v>0</v>
      </c>
      <c r="AN13" s="76">
        <f t="shared" si="18"/>
        <v>561.00245759999984</v>
      </c>
      <c r="AO13" s="72">
        <f t="shared" si="19"/>
        <v>20171.161220301721</v>
      </c>
      <c r="AP13" s="74">
        <f t="shared" si="20"/>
        <v>25213.951525377153</v>
      </c>
      <c r="AQ13" s="74">
        <f t="shared" si="46"/>
        <v>0</v>
      </c>
      <c r="AR13" s="74">
        <f t="shared" si="22"/>
        <v>69664.629375696692</v>
      </c>
      <c r="AS13" s="72">
        <f t="shared" si="23"/>
        <v>48531.448435278871</v>
      </c>
      <c r="AT13" s="72">
        <f t="shared" si="24"/>
        <v>74494.149375696681</v>
      </c>
      <c r="AU13" s="78">
        <f t="shared" si="47"/>
        <v>6920.6753414805544</v>
      </c>
      <c r="AV13" s="79">
        <f t="shared" si="26"/>
        <v>2.6739990752070977E-3</v>
      </c>
      <c r="AW13" s="80">
        <f t="shared" si="27"/>
        <v>2813.7681018370795</v>
      </c>
      <c r="AX13" s="81">
        <f t="shared" si="28"/>
        <v>4106.9072396434749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W6</v>
      </c>
      <c r="E14" s="132" t="str">
        <f>Pricing!N10</f>
        <v>10MM</v>
      </c>
      <c r="F14" s="68">
        <f>Pricing!G10</f>
        <v>1830</v>
      </c>
      <c r="G14" s="68">
        <f>Pricing!H10</f>
        <v>2592</v>
      </c>
      <c r="H14" s="100">
        <f t="shared" si="0"/>
        <v>4.74336</v>
      </c>
      <c r="I14" s="70">
        <f>Pricing!I10</f>
        <v>1</v>
      </c>
      <c r="J14" s="69">
        <f t="shared" si="30"/>
        <v>4.74336</v>
      </c>
      <c r="K14" s="71">
        <f t="shared" si="31"/>
        <v>51.057527039999997</v>
      </c>
      <c r="L14" s="69"/>
      <c r="M14" s="72"/>
      <c r="N14" s="72"/>
      <c r="O14" s="72">
        <f t="shared" si="3"/>
        <v>0</v>
      </c>
      <c r="P14" s="73">
        <f>Pricing!M10</f>
        <v>43399.869999999995</v>
      </c>
      <c r="Q14" s="74">
        <f t="shared" si="32"/>
        <v>4339.9870000000001</v>
      </c>
      <c r="R14" s="74">
        <f t="shared" si="33"/>
        <v>5251.3842699999996</v>
      </c>
      <c r="S14" s="74">
        <f t="shared" si="34"/>
        <v>264.95620635</v>
      </c>
      <c r="T14" s="74">
        <f t="shared" si="35"/>
        <v>532.56197476349996</v>
      </c>
      <c r="U14" s="72">
        <f t="shared" si="36"/>
        <v>53788.759451113496</v>
      </c>
      <c r="V14" s="74">
        <f t="shared" si="37"/>
        <v>806.83139176670238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7537.1990400000004</v>
      </c>
      <c r="AE14" s="76">
        <f t="shared" si="43"/>
        <v>724.91803278688519</v>
      </c>
      <c r="AF14" s="341">
        <f t="shared" si="44"/>
        <v>318.38399999999996</v>
      </c>
      <c r="AG14" s="342"/>
      <c r="AH14" s="76">
        <f t="shared" si="45"/>
        <v>26.531999999999996</v>
      </c>
      <c r="AI14" s="76">
        <f t="shared" si="15"/>
        <v>88.44</v>
      </c>
      <c r="AJ14" s="76">
        <f>J14*Pricing!Q10</f>
        <v>2552.8763519999998</v>
      </c>
      <c r="AK14" s="76">
        <f>J14*Pricing!R10</f>
        <v>0</v>
      </c>
      <c r="AL14" s="76">
        <f t="shared" si="16"/>
        <v>5105.7527039999995</v>
      </c>
      <c r="AM14" s="77">
        <f t="shared" si="17"/>
        <v>0</v>
      </c>
      <c r="AN14" s="76">
        <f t="shared" si="18"/>
        <v>4084.6021631999997</v>
      </c>
      <c r="AO14" s="72">
        <f t="shared" si="19"/>
        <v>55753.864875667081</v>
      </c>
      <c r="AP14" s="74">
        <f t="shared" si="20"/>
        <v>69692.331094583846</v>
      </c>
      <c r="AQ14" s="74">
        <f t="shared" si="46"/>
        <v>0</v>
      </c>
      <c r="AR14" s="74">
        <f t="shared" si="22"/>
        <v>26446.695163397031</v>
      </c>
      <c r="AS14" s="72">
        <f t="shared" si="23"/>
        <v>144726.62622945095</v>
      </c>
      <c r="AT14" s="72">
        <f t="shared" si="24"/>
        <v>30511.415163397032</v>
      </c>
      <c r="AU14" s="78">
        <f t="shared" si="47"/>
        <v>2834.5796324226158</v>
      </c>
      <c r="AV14" s="79">
        <f t="shared" si="26"/>
        <v>1.9469116862182018E-2</v>
      </c>
      <c r="AW14" s="80">
        <f t="shared" si="27"/>
        <v>1069.2956358835863</v>
      </c>
      <c r="AX14" s="81">
        <f t="shared" si="28"/>
        <v>1765.283996539029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W7</v>
      </c>
      <c r="E15" s="132" t="str">
        <f>Pricing!N11</f>
        <v>12MM (F)</v>
      </c>
      <c r="F15" s="68">
        <f>Pricing!G11</f>
        <v>3202</v>
      </c>
      <c r="G15" s="68">
        <f>Pricing!H11</f>
        <v>610</v>
      </c>
      <c r="H15" s="100">
        <f t="shared" si="0"/>
        <v>1.95322</v>
      </c>
      <c r="I15" s="70">
        <f>Pricing!I11</f>
        <v>1</v>
      </c>
      <c r="J15" s="69">
        <f t="shared" si="30"/>
        <v>1.95322</v>
      </c>
      <c r="K15" s="71">
        <f t="shared" si="31"/>
        <v>21.024460079999997</v>
      </c>
      <c r="L15" s="69"/>
      <c r="M15" s="72"/>
      <c r="N15" s="72"/>
      <c r="O15" s="72">
        <f t="shared" si="3"/>
        <v>0</v>
      </c>
      <c r="P15" s="73">
        <f>Pricing!M11</f>
        <v>5540.25</v>
      </c>
      <c r="Q15" s="74">
        <f t="shared" si="4"/>
        <v>554.02499999999998</v>
      </c>
      <c r="R15" s="74">
        <f t="shared" si="5"/>
        <v>670.37024999999994</v>
      </c>
      <c r="S15" s="74">
        <f t="shared" si="6"/>
        <v>33.823226249999998</v>
      </c>
      <c r="T15" s="74">
        <f t="shared" si="7"/>
        <v>67.984684762499995</v>
      </c>
      <c r="U15" s="72">
        <f t="shared" si="8"/>
        <v>6866.4531610124995</v>
      </c>
      <c r="V15" s="74">
        <f t="shared" si="9"/>
        <v>102.99679741518749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5648.7122399999998</v>
      </c>
      <c r="AE15" s="76">
        <f t="shared" si="43"/>
        <v>624.91803278688519</v>
      </c>
      <c r="AF15" s="341">
        <f t="shared" si="44"/>
        <v>274.464</v>
      </c>
      <c r="AG15" s="342"/>
      <c r="AH15" s="76">
        <f t="shared" si="45"/>
        <v>22.872</v>
      </c>
      <c r="AI15" s="76">
        <f t="shared" ref="AI15:AI20" si="49">(((F15+G15)*2*I15)/1000)*2*$AI$7</f>
        <v>76.239999999999995</v>
      </c>
      <c r="AJ15" s="76">
        <f>J15*Pricing!Q11</f>
        <v>0</v>
      </c>
      <c r="AK15" s="76">
        <f>J15*Pricing!R11</f>
        <v>0</v>
      </c>
      <c r="AL15" s="76">
        <f t="shared" si="16"/>
        <v>2102.4460079999999</v>
      </c>
      <c r="AM15" s="77">
        <f t="shared" si="17"/>
        <v>0</v>
      </c>
      <c r="AN15" s="76">
        <f t="shared" si="18"/>
        <v>1681.9568063999998</v>
      </c>
      <c r="AO15" s="72">
        <f t="shared" si="19"/>
        <v>7967.9439912145726</v>
      </c>
      <c r="AP15" s="74">
        <f t="shared" si="20"/>
        <v>9959.9299890182156</v>
      </c>
      <c r="AQ15" s="74">
        <f t="shared" si="21"/>
        <v>0</v>
      </c>
      <c r="AR15" s="74">
        <f t="shared" si="22"/>
        <v>9178.6250295577502</v>
      </c>
      <c r="AS15" s="72">
        <f t="shared" si="23"/>
        <v>27360.989034632788</v>
      </c>
      <c r="AT15" s="72">
        <f t="shared" si="24"/>
        <v>14008.145029557751</v>
      </c>
      <c r="AU15" s="78">
        <f t="shared" si="25"/>
        <v>1301.388427123537</v>
      </c>
      <c r="AV15" s="79">
        <f t="shared" si="26"/>
        <v>8.0169897367164122E-3</v>
      </c>
      <c r="AW15" s="80">
        <f t="shared" si="27"/>
        <v>331.49245839885026</v>
      </c>
      <c r="AX15" s="81">
        <f t="shared" si="28"/>
        <v>969.89596872468678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3 NO'S</v>
      </c>
      <c r="D16" s="131" t="str">
        <f>Pricing!B12</f>
        <v>W8</v>
      </c>
      <c r="E16" s="132" t="str">
        <f>Pricing!N12</f>
        <v>12MM</v>
      </c>
      <c r="F16" s="68">
        <f>Pricing!G12</f>
        <v>6326</v>
      </c>
      <c r="G16" s="68">
        <f>Pricing!H12</f>
        <v>3354</v>
      </c>
      <c r="H16" s="100">
        <f t="shared" si="0"/>
        <v>21.217403999999998</v>
      </c>
      <c r="I16" s="70">
        <f>Pricing!I12</f>
        <v>1</v>
      </c>
      <c r="J16" s="69">
        <f t="shared" si="30"/>
        <v>21.217403999999998</v>
      </c>
      <c r="K16" s="71">
        <f t="shared" si="31"/>
        <v>228.38413665599998</v>
      </c>
      <c r="L16" s="69"/>
      <c r="M16" s="72"/>
      <c r="N16" s="72"/>
      <c r="O16" s="72">
        <f t="shared" si="3"/>
        <v>0</v>
      </c>
      <c r="P16" s="73">
        <f>Pricing!M12</f>
        <v>36783.11</v>
      </c>
      <c r="Q16" s="74">
        <f t="shared" si="4"/>
        <v>3678.3110000000001</v>
      </c>
      <c r="R16" s="74">
        <f t="shared" si="5"/>
        <v>4450.7563100000007</v>
      </c>
      <c r="S16" s="74">
        <f t="shared" si="6"/>
        <v>224.56088654999999</v>
      </c>
      <c r="T16" s="74">
        <f t="shared" si="7"/>
        <v>451.36738196550004</v>
      </c>
      <c r="U16" s="72">
        <f t="shared" si="8"/>
        <v>45588.105578515504</v>
      </c>
      <c r="V16" s="74">
        <f t="shared" si="9"/>
        <v>683.82158367773252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40100.893559999997</v>
      </c>
      <c r="AE16" s="76">
        <f t="shared" si="43"/>
        <v>1586.8852459016393</v>
      </c>
      <c r="AF16" s="341">
        <f t="shared" si="44"/>
        <v>696.96</v>
      </c>
      <c r="AG16" s="342"/>
      <c r="AH16" s="76">
        <f t="shared" si="45"/>
        <v>58.08</v>
      </c>
      <c r="AI16" s="76">
        <f t="shared" si="49"/>
        <v>193.6</v>
      </c>
      <c r="AJ16" s="76">
        <f>J16*Pricing!Q12</f>
        <v>0</v>
      </c>
      <c r="AK16" s="76">
        <f>J16*Pricing!R12</f>
        <v>0</v>
      </c>
      <c r="AL16" s="76">
        <f t="shared" si="16"/>
        <v>22838.413665599994</v>
      </c>
      <c r="AM16" s="77">
        <f t="shared" si="17"/>
        <v>0</v>
      </c>
      <c r="AN16" s="76">
        <f t="shared" si="18"/>
        <v>18270.730932479997</v>
      </c>
      <c r="AO16" s="72">
        <f t="shared" si="19"/>
        <v>48807.452408094876</v>
      </c>
      <c r="AP16" s="74">
        <f t="shared" si="20"/>
        <v>61009.315510118598</v>
      </c>
      <c r="AQ16" s="74">
        <f t="shared" si="21"/>
        <v>0</v>
      </c>
      <c r="AR16" s="74">
        <f t="shared" si="22"/>
        <v>5175.7871942398551</v>
      </c>
      <c r="AS16" s="72">
        <f t="shared" si="23"/>
        <v>191026.80607629346</v>
      </c>
      <c r="AT16" s="72">
        <f t="shared" si="24"/>
        <v>9003.3071942398547</v>
      </c>
      <c r="AU16" s="78">
        <f t="shared" si="25"/>
        <v>836.42764717947375</v>
      </c>
      <c r="AV16" s="79">
        <f t="shared" si="26"/>
        <v>8.7086815672461751E-2</v>
      </c>
      <c r="AW16" s="80">
        <f t="shared" si="27"/>
        <v>202.60569687416424</v>
      </c>
      <c r="AX16" s="81">
        <f t="shared" si="28"/>
        <v>633.82195030530954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 3 NO'S CORNOR WINDOW</v>
      </c>
      <c r="D17" s="131" t="str">
        <f>Pricing!B13</f>
        <v>W9</v>
      </c>
      <c r="E17" s="132" t="str">
        <f>Pricing!N13</f>
        <v>12MM</v>
      </c>
      <c r="F17" s="68">
        <f>Pricing!G13</f>
        <v>2706</v>
      </c>
      <c r="G17" s="68">
        <f>Pricing!H13</f>
        <v>3048</v>
      </c>
      <c r="H17" s="100">
        <f t="shared" si="0"/>
        <v>8.2478879999999997</v>
      </c>
      <c r="I17" s="70">
        <f>Pricing!I13</f>
        <v>1</v>
      </c>
      <c r="J17" s="69">
        <f t="shared" si="30"/>
        <v>8.2478879999999997</v>
      </c>
      <c r="K17" s="71">
        <f t="shared" si="31"/>
        <v>88.780266431999991</v>
      </c>
      <c r="L17" s="69"/>
      <c r="M17" s="72"/>
      <c r="N17" s="72"/>
      <c r="O17" s="72">
        <f t="shared" si="3"/>
        <v>0</v>
      </c>
      <c r="P17" s="73">
        <f>Pricing!M13</f>
        <v>37804.840000000004</v>
      </c>
      <c r="Q17" s="74">
        <f t="shared" si="4"/>
        <v>3780.4840000000004</v>
      </c>
      <c r="R17" s="74">
        <f t="shared" si="5"/>
        <v>4574.3856400000013</v>
      </c>
      <c r="S17" s="74">
        <f t="shared" si="6"/>
        <v>230.79854820000006</v>
      </c>
      <c r="T17" s="74">
        <f t="shared" si="7"/>
        <v>463.9050818820001</v>
      </c>
      <c r="U17" s="72">
        <f t="shared" si="8"/>
        <v>46854.413270082012</v>
      </c>
      <c r="V17" s="74">
        <f t="shared" si="9"/>
        <v>702.81619905123011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15588.508319999999</v>
      </c>
      <c r="AE17" s="76">
        <f t="shared" si="43"/>
        <v>943.27868852459017</v>
      </c>
      <c r="AF17" s="341">
        <f t="shared" si="44"/>
        <v>414.28800000000001</v>
      </c>
      <c r="AG17" s="342"/>
      <c r="AH17" s="76">
        <f t="shared" si="45"/>
        <v>34.524000000000001</v>
      </c>
      <c r="AI17" s="76">
        <f t="shared" si="49"/>
        <v>115.07999999999998</v>
      </c>
      <c r="AJ17" s="76">
        <f>J17*Pricing!Q13</f>
        <v>0</v>
      </c>
      <c r="AK17" s="76">
        <f>J17*Pricing!R13</f>
        <v>0</v>
      </c>
      <c r="AL17" s="76">
        <f t="shared" si="16"/>
        <v>8878.0266431999989</v>
      </c>
      <c r="AM17" s="77">
        <f t="shared" si="17"/>
        <v>0</v>
      </c>
      <c r="AN17" s="76">
        <f t="shared" si="18"/>
        <v>7102.4213145599988</v>
      </c>
      <c r="AO17" s="72">
        <f t="shared" si="19"/>
        <v>49064.400157657838</v>
      </c>
      <c r="AP17" s="74">
        <f t="shared" si="20"/>
        <v>61330.500197072295</v>
      </c>
      <c r="AQ17" s="74">
        <f t="shared" si="21"/>
        <v>0</v>
      </c>
      <c r="AR17" s="74">
        <f t="shared" si="22"/>
        <v>13384.626507383484</v>
      </c>
      <c r="AS17" s="72">
        <f t="shared" si="23"/>
        <v>141963.85663249012</v>
      </c>
      <c r="AT17" s="72">
        <f t="shared" si="24"/>
        <v>17212.146507383481</v>
      </c>
      <c r="AU17" s="78">
        <f t="shared" si="25"/>
        <v>1599.0474272931515</v>
      </c>
      <c r="AV17" s="79">
        <f t="shared" si="26"/>
        <v>3.3853448892386138E-2</v>
      </c>
      <c r="AW17" s="80">
        <f t="shared" si="27"/>
        <v>535.67342586833797</v>
      </c>
      <c r="AX17" s="81">
        <f t="shared" si="28"/>
        <v>1063.3740014248135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TRACK 2 SHUTTER SLIDING DOOR</v>
      </c>
      <c r="D18" s="131" t="str">
        <f>Pricing!B14</f>
        <v>W9A</v>
      </c>
      <c r="E18" s="132" t="str">
        <f>Pricing!N14</f>
        <v>10MM</v>
      </c>
      <c r="F18" s="68">
        <f>Pricing!G14</f>
        <v>2134</v>
      </c>
      <c r="G18" s="68">
        <f>Pricing!H14</f>
        <v>3048</v>
      </c>
      <c r="H18" s="100">
        <f t="shared" si="0"/>
        <v>6.5044320000000004</v>
      </c>
      <c r="I18" s="70">
        <f>Pricing!I14</f>
        <v>1</v>
      </c>
      <c r="J18" s="69">
        <f t="shared" si="30"/>
        <v>6.5044320000000004</v>
      </c>
      <c r="K18" s="71">
        <f t="shared" si="31"/>
        <v>70.013706048000003</v>
      </c>
      <c r="L18" s="69"/>
      <c r="M18" s="72"/>
      <c r="N18" s="72"/>
      <c r="O18" s="72">
        <f t="shared" si="3"/>
        <v>0</v>
      </c>
      <c r="P18" s="73">
        <f>Pricing!M14</f>
        <v>43405.68</v>
      </c>
      <c r="Q18" s="74">
        <f t="shared" si="4"/>
        <v>4340.5680000000002</v>
      </c>
      <c r="R18" s="74">
        <f t="shared" si="5"/>
        <v>5252.0872799999997</v>
      </c>
      <c r="S18" s="74">
        <f t="shared" si="6"/>
        <v>264.99167640000002</v>
      </c>
      <c r="T18" s="74">
        <f t="shared" si="7"/>
        <v>532.63326956399999</v>
      </c>
      <c r="U18" s="72">
        <f t="shared" si="8"/>
        <v>53795.960225964001</v>
      </c>
      <c r="V18" s="74">
        <f t="shared" si="9"/>
        <v>806.93940338946004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10335.542448</v>
      </c>
      <c r="AE18" s="76">
        <f t="shared" si="43"/>
        <v>849.50819672131138</v>
      </c>
      <c r="AF18" s="341">
        <f t="shared" si="44"/>
        <v>373.10400000000004</v>
      </c>
      <c r="AG18" s="342"/>
      <c r="AH18" s="76">
        <f t="shared" si="45"/>
        <v>31.092000000000002</v>
      </c>
      <c r="AI18" s="76">
        <f t="shared" si="49"/>
        <v>103.64000000000001</v>
      </c>
      <c r="AJ18" s="76">
        <f>J18*Pricing!Q14</f>
        <v>0</v>
      </c>
      <c r="AK18" s="76">
        <f>J18*Pricing!R14</f>
        <v>66513.020745600006</v>
      </c>
      <c r="AL18" s="76">
        <f t="shared" si="16"/>
        <v>7001.3706047999995</v>
      </c>
      <c r="AM18" s="77">
        <f t="shared" si="17"/>
        <v>0</v>
      </c>
      <c r="AN18" s="76">
        <f t="shared" si="18"/>
        <v>5601.0964838399996</v>
      </c>
      <c r="AO18" s="72">
        <f t="shared" si="19"/>
        <v>55960.243826074766</v>
      </c>
      <c r="AP18" s="74">
        <f t="shared" si="20"/>
        <v>69950.304782593463</v>
      </c>
      <c r="AQ18" s="74">
        <f t="shared" si="21"/>
        <v>0</v>
      </c>
      <c r="AR18" s="74">
        <f t="shared" si="22"/>
        <v>19357.654689705148</v>
      </c>
      <c r="AS18" s="72">
        <f t="shared" si="23"/>
        <v>215361.57889090822</v>
      </c>
      <c r="AT18" s="72">
        <f t="shared" si="24"/>
        <v>33109.974689705145</v>
      </c>
      <c r="AU18" s="78">
        <f t="shared" si="25"/>
        <v>3075.9917028711584</v>
      </c>
      <c r="AV18" s="79">
        <f t="shared" si="26"/>
        <v>2.669743530537769E-2</v>
      </c>
      <c r="AW18" s="80">
        <f t="shared" si="27"/>
        <v>779.88872053021726</v>
      </c>
      <c r="AX18" s="81">
        <f t="shared" si="28"/>
        <v>2296.1029823409413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</v>
      </c>
      <c r="D19" s="131" t="str">
        <f>Pricing!B15</f>
        <v>W10</v>
      </c>
      <c r="E19" s="132" t="str">
        <f>Pricing!N15</f>
        <v>12MM</v>
      </c>
      <c r="F19" s="68">
        <f>Pricing!G15</f>
        <v>916</v>
      </c>
      <c r="G19" s="68">
        <f>Pricing!H15</f>
        <v>2744</v>
      </c>
      <c r="H19" s="100">
        <f t="shared" si="0"/>
        <v>2.5135040000000002</v>
      </c>
      <c r="I19" s="70">
        <f>Pricing!I15</f>
        <v>1</v>
      </c>
      <c r="J19" s="69">
        <f t="shared" si="30"/>
        <v>2.5135040000000002</v>
      </c>
      <c r="K19" s="71">
        <f t="shared" si="31"/>
        <v>27.055357056000002</v>
      </c>
      <c r="L19" s="69"/>
      <c r="M19" s="72"/>
      <c r="N19" s="72"/>
      <c r="O19" s="72">
        <f t="shared" si="3"/>
        <v>0</v>
      </c>
      <c r="P19" s="73">
        <f>Pricing!M15</f>
        <v>5314.49</v>
      </c>
      <c r="Q19" s="74">
        <f t="shared" si="4"/>
        <v>531.44899999999996</v>
      </c>
      <c r="R19" s="74">
        <f t="shared" si="5"/>
        <v>643.05328999999995</v>
      </c>
      <c r="S19" s="74">
        <f t="shared" si="6"/>
        <v>32.444961449999994</v>
      </c>
      <c r="T19" s="74">
        <f t="shared" si="7"/>
        <v>65.214372514499999</v>
      </c>
      <c r="U19" s="72">
        <f t="shared" si="8"/>
        <v>6586.6516239644989</v>
      </c>
      <c r="V19" s="74">
        <f t="shared" si="9"/>
        <v>98.799774359467477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4750.5225600000003</v>
      </c>
      <c r="AE19" s="76">
        <f t="shared" si="43"/>
        <v>600</v>
      </c>
      <c r="AF19" s="341">
        <f t="shared" si="44"/>
        <v>263.52</v>
      </c>
      <c r="AG19" s="342"/>
      <c r="AH19" s="76">
        <f t="shared" si="45"/>
        <v>21.96</v>
      </c>
      <c r="AI19" s="76">
        <f t="shared" si="49"/>
        <v>73.2</v>
      </c>
      <c r="AJ19" s="76">
        <f>J19*Pricing!Q15</f>
        <v>0</v>
      </c>
      <c r="AK19" s="76">
        <f>J19*Pricing!R15</f>
        <v>0</v>
      </c>
      <c r="AL19" s="76">
        <f t="shared" si="16"/>
        <v>2705.5357055999998</v>
      </c>
      <c r="AM19" s="77">
        <f t="shared" si="17"/>
        <v>0</v>
      </c>
      <c r="AN19" s="76">
        <f t="shared" si="18"/>
        <v>2164.4285644799997</v>
      </c>
      <c r="AO19" s="72">
        <f t="shared" si="19"/>
        <v>7644.1313983239661</v>
      </c>
      <c r="AP19" s="74">
        <f t="shared" si="20"/>
        <v>9555.1642479049569</v>
      </c>
      <c r="AQ19" s="74">
        <f t="shared" si="21"/>
        <v>0</v>
      </c>
      <c r="AR19" s="74">
        <f t="shared" si="22"/>
        <v>6842.7564253842129</v>
      </c>
      <c r="AS19" s="72">
        <f t="shared" si="23"/>
        <v>26819.782476308927</v>
      </c>
      <c r="AT19" s="72">
        <f t="shared" si="24"/>
        <v>10670.276425384214</v>
      </c>
      <c r="AU19" s="78">
        <f t="shared" si="25"/>
        <v>991.29286746415971</v>
      </c>
      <c r="AV19" s="79">
        <f t="shared" si="26"/>
        <v>1.0316674911784464E-2</v>
      </c>
      <c r="AW19" s="80">
        <f t="shared" si="27"/>
        <v>247.10268596663559</v>
      </c>
      <c r="AX19" s="81">
        <f t="shared" si="28"/>
        <v>744.19018149752389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W11</v>
      </c>
      <c r="E20" s="132" t="str">
        <f>Pricing!N16</f>
        <v>12MM</v>
      </c>
      <c r="F20" s="68">
        <f>Pricing!G16</f>
        <v>1000</v>
      </c>
      <c r="G20" s="68">
        <f>Pricing!H16</f>
        <v>2200</v>
      </c>
      <c r="H20" s="100">
        <f t="shared" si="0"/>
        <v>2.2000000000000002</v>
      </c>
      <c r="I20" s="70">
        <f>Pricing!I16</f>
        <v>2</v>
      </c>
      <c r="J20" s="69">
        <f t="shared" si="30"/>
        <v>4.4000000000000004</v>
      </c>
      <c r="K20" s="71">
        <f t="shared" si="31"/>
        <v>47.361600000000003</v>
      </c>
      <c r="L20" s="69"/>
      <c r="M20" s="72"/>
      <c r="N20" s="72"/>
      <c r="O20" s="72">
        <f t="shared" si="3"/>
        <v>0</v>
      </c>
      <c r="P20" s="73">
        <f>Pricing!M16</f>
        <v>9425.48</v>
      </c>
      <c r="Q20" s="74">
        <f t="shared" si="4"/>
        <v>942.548</v>
      </c>
      <c r="R20" s="74">
        <f t="shared" si="5"/>
        <v>1140.48308</v>
      </c>
      <c r="S20" s="74">
        <f t="shared" si="6"/>
        <v>57.542555400000005</v>
      </c>
      <c r="T20" s="74">
        <f t="shared" si="7"/>
        <v>115.660536354</v>
      </c>
      <c r="U20" s="72">
        <f t="shared" si="8"/>
        <v>11681.714171754</v>
      </c>
      <c r="V20" s="74">
        <f t="shared" si="9"/>
        <v>175.22571257631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8316</v>
      </c>
      <c r="AE20" s="76">
        <f t="shared" si="43"/>
        <v>1049.1803278688524</v>
      </c>
      <c r="AF20" s="341">
        <f t="shared" si="44"/>
        <v>460.80000000000007</v>
      </c>
      <c r="AG20" s="342"/>
      <c r="AH20" s="76">
        <f t="shared" si="45"/>
        <v>38.400000000000006</v>
      </c>
      <c r="AI20" s="76">
        <f t="shared" si="49"/>
        <v>128</v>
      </c>
      <c r="AJ20" s="76">
        <f>J20*Pricing!Q16</f>
        <v>0</v>
      </c>
      <c r="AK20" s="76">
        <f>J20*Pricing!R16</f>
        <v>0</v>
      </c>
      <c r="AL20" s="76">
        <f t="shared" si="16"/>
        <v>4736.16</v>
      </c>
      <c r="AM20" s="77">
        <f t="shared" si="17"/>
        <v>0</v>
      </c>
      <c r="AN20" s="76">
        <f t="shared" si="18"/>
        <v>3788.9279999999999</v>
      </c>
      <c r="AO20" s="72">
        <f t="shared" si="19"/>
        <v>13533.320212199164</v>
      </c>
      <c r="AP20" s="74">
        <f t="shared" si="20"/>
        <v>16916.650265248954</v>
      </c>
      <c r="AQ20" s="74">
        <f t="shared" si="21"/>
        <v>0</v>
      </c>
      <c r="AR20" s="74">
        <f t="shared" si="22"/>
        <v>6920.4478357836624</v>
      </c>
      <c r="AS20" s="72">
        <f t="shared" si="23"/>
        <v>47291.058477448118</v>
      </c>
      <c r="AT20" s="72">
        <f t="shared" si="24"/>
        <v>10747.967835783662</v>
      </c>
      <c r="AU20" s="78">
        <f t="shared" si="25"/>
        <v>998.51057560234699</v>
      </c>
      <c r="AV20" s="79">
        <f t="shared" si="26"/>
        <v>1.8059796050394844E-2</v>
      </c>
      <c r="AW20" s="80">
        <f t="shared" si="27"/>
        <v>250.34922562435199</v>
      </c>
      <c r="AX20" s="81">
        <f t="shared" si="28"/>
        <v>748.16134997799486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TOP HUNG WINDOW WITH TOP FIXED</v>
      </c>
      <c r="D21" s="131" t="str">
        <f>Pricing!B17</f>
        <v>W12</v>
      </c>
      <c r="E21" s="132" t="str">
        <f>Pricing!N17</f>
        <v>12MM (F)</v>
      </c>
      <c r="F21" s="68">
        <f>Pricing!G17</f>
        <v>610</v>
      </c>
      <c r="G21" s="68">
        <f>Pricing!H17</f>
        <v>1830</v>
      </c>
      <c r="H21" s="100">
        <f t="shared" si="0"/>
        <v>1.1163000000000001</v>
      </c>
      <c r="I21" s="70">
        <f>Pricing!I17</f>
        <v>1</v>
      </c>
      <c r="J21" s="69">
        <f t="shared" si="30"/>
        <v>1.1163000000000001</v>
      </c>
      <c r="K21" s="71">
        <f t="shared" si="31"/>
        <v>12.0158532</v>
      </c>
      <c r="L21" s="69"/>
      <c r="M21" s="72"/>
      <c r="N21" s="72"/>
      <c r="O21" s="72">
        <f t="shared" si="3"/>
        <v>0</v>
      </c>
      <c r="P21" s="73">
        <f>Pricing!M17</f>
        <v>18556.309999999998</v>
      </c>
      <c r="Q21" s="74">
        <f t="shared" ref="Q21:Q26" si="50">P21*$Q$6</f>
        <v>1855.6309999999999</v>
      </c>
      <c r="R21" s="74">
        <f t="shared" ref="R21:R26" si="51">(P21+Q21)*$R$6</f>
        <v>2245.31351</v>
      </c>
      <c r="S21" s="74">
        <f t="shared" ref="S21:S26" si="52">(P21+Q21+R21)*$S$6</f>
        <v>113.28627254999999</v>
      </c>
      <c r="T21" s="74">
        <f t="shared" ref="T21:T26" si="53">(P21+Q21+R21+S21)*$T$6</f>
        <v>227.7054078255</v>
      </c>
      <c r="U21" s="72">
        <f t="shared" ref="U21:U26" si="54">SUM(P21:T21)</f>
        <v>22998.246190375499</v>
      </c>
      <c r="V21" s="74">
        <f t="shared" ref="V21:V26" si="55">U21*$V$6</f>
        <v>344.97369285563246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3228.3396000000002</v>
      </c>
      <c r="AE21" s="76">
        <f t="shared" si="43"/>
        <v>400</v>
      </c>
      <c r="AF21" s="341">
        <f t="shared" si="44"/>
        <v>175.68</v>
      </c>
      <c r="AG21" s="342"/>
      <c r="AH21" s="76">
        <f t="shared" si="45"/>
        <v>14.64</v>
      </c>
      <c r="AI21" s="76">
        <f t="shared" si="15"/>
        <v>48.8</v>
      </c>
      <c r="AJ21" s="76">
        <f>J21*Pricing!Q17</f>
        <v>0</v>
      </c>
      <c r="AK21" s="76">
        <f>J21*Pricing!R17</f>
        <v>0</v>
      </c>
      <c r="AL21" s="76">
        <f t="shared" si="16"/>
        <v>1201.5853199999999</v>
      </c>
      <c r="AM21" s="77">
        <f t="shared" si="17"/>
        <v>0</v>
      </c>
      <c r="AN21" s="76">
        <f t="shared" si="18"/>
        <v>961.26825599999995</v>
      </c>
      <c r="AO21" s="72">
        <f t="shared" si="19"/>
        <v>23982.339883231136</v>
      </c>
      <c r="AP21" s="74">
        <f t="shared" si="20"/>
        <v>29977.92485403892</v>
      </c>
      <c r="AQ21" s="74">
        <f t="shared" ref="AQ21:AQ26" si="61">(AO21+AP21)*$AQ$6</f>
        <v>0</v>
      </c>
      <c r="AR21" s="74">
        <f t="shared" si="22"/>
        <v>48338.497480310005</v>
      </c>
      <c r="AS21" s="72">
        <f t="shared" si="23"/>
        <v>59351.457913270053</v>
      </c>
      <c r="AT21" s="72">
        <f t="shared" si="24"/>
        <v>53168.017480309994</v>
      </c>
      <c r="AU21" s="78">
        <f t="shared" ref="AU21:AU26" si="62">AT21/10.764</f>
        <v>4939.4293459968412</v>
      </c>
      <c r="AV21" s="79">
        <f t="shared" si="26"/>
        <v>4.5818523479672192E-3</v>
      </c>
      <c r="AW21" s="80">
        <f t="shared" si="27"/>
        <v>1942.7018202278914</v>
      </c>
      <c r="AX21" s="81">
        <f t="shared" si="28"/>
        <v>2996.7275257689498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DOOR</v>
      </c>
      <c r="D22" s="131" t="str">
        <f>Pricing!B18</f>
        <v>W13</v>
      </c>
      <c r="E22" s="132" t="str">
        <f>Pricing!N18</f>
        <v>10MM</v>
      </c>
      <c r="F22" s="68">
        <f>Pricing!G18</f>
        <v>1906</v>
      </c>
      <c r="G22" s="68">
        <f>Pricing!H18</f>
        <v>2744</v>
      </c>
      <c r="H22" s="100">
        <f t="shared" si="0"/>
        <v>5.2300639999999996</v>
      </c>
      <c r="I22" s="70">
        <f>Pricing!I18</f>
        <v>1</v>
      </c>
      <c r="J22" s="69">
        <f t="shared" si="30"/>
        <v>5.2300639999999996</v>
      </c>
      <c r="K22" s="71">
        <f t="shared" si="31"/>
        <v>56.296408895999996</v>
      </c>
      <c r="L22" s="69"/>
      <c r="M22" s="72"/>
      <c r="N22" s="72"/>
      <c r="O22" s="72">
        <f t="shared" si="3"/>
        <v>0</v>
      </c>
      <c r="P22" s="73">
        <f>Pricing!M18</f>
        <v>47872.74</v>
      </c>
      <c r="Q22" s="74">
        <f t="shared" si="50"/>
        <v>4787.2740000000003</v>
      </c>
      <c r="R22" s="74">
        <f t="shared" si="51"/>
        <v>5792.6015399999997</v>
      </c>
      <c r="S22" s="74">
        <f t="shared" si="52"/>
        <v>292.2630777</v>
      </c>
      <c r="T22" s="74">
        <f t="shared" si="53"/>
        <v>587.44878617699999</v>
      </c>
      <c r="U22" s="72">
        <f t="shared" si="54"/>
        <v>59332.327403877003</v>
      </c>
      <c r="V22" s="74">
        <f t="shared" si="55"/>
        <v>889.98491105815503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8310.5716959999991</v>
      </c>
      <c r="AE22" s="76">
        <f t="shared" si="43"/>
        <v>762.29508196721315</v>
      </c>
      <c r="AF22" s="341">
        <f t="shared" si="44"/>
        <v>334.8</v>
      </c>
      <c r="AG22" s="342"/>
      <c r="AH22" s="76">
        <f t="shared" si="45"/>
        <v>27.900000000000002</v>
      </c>
      <c r="AI22" s="76">
        <f t="shared" si="15"/>
        <v>93</v>
      </c>
      <c r="AJ22" s="76">
        <f>J22*Pricing!Q18</f>
        <v>2814.8204447999992</v>
      </c>
      <c r="AK22" s="76">
        <f>J22*Pricing!R18</f>
        <v>0</v>
      </c>
      <c r="AL22" s="76">
        <f t="shared" si="16"/>
        <v>5629.6408895999984</v>
      </c>
      <c r="AM22" s="77">
        <f t="shared" si="17"/>
        <v>0</v>
      </c>
      <c r="AN22" s="76">
        <f t="shared" si="18"/>
        <v>4503.7127116799993</v>
      </c>
      <c r="AO22" s="72">
        <f t="shared" si="19"/>
        <v>61440.307396902368</v>
      </c>
      <c r="AP22" s="74">
        <f t="shared" si="20"/>
        <v>76800.384246127956</v>
      </c>
      <c r="AQ22" s="74">
        <f t="shared" si="61"/>
        <v>0</v>
      </c>
      <c r="AR22" s="74">
        <f t="shared" si="22"/>
        <v>26431.931166240094</v>
      </c>
      <c r="AS22" s="72">
        <f t="shared" si="23"/>
        <v>159499.4373851103</v>
      </c>
      <c r="AT22" s="72">
        <f t="shared" si="24"/>
        <v>30496.651166240092</v>
      </c>
      <c r="AU22" s="78">
        <f t="shared" si="62"/>
        <v>2833.2080236194811</v>
      </c>
      <c r="AV22" s="79">
        <f t="shared" si="26"/>
        <v>2.1466792993298237E-2</v>
      </c>
      <c r="AW22" s="80">
        <f t="shared" si="27"/>
        <v>1069.7363028286181</v>
      </c>
      <c r="AX22" s="81">
        <f t="shared" si="28"/>
        <v>1763.4717207908632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W14</v>
      </c>
      <c r="E23" s="132" t="str">
        <f>Pricing!N19</f>
        <v>12MM</v>
      </c>
      <c r="F23" s="68">
        <f>Pricing!G19</f>
        <v>916</v>
      </c>
      <c r="G23" s="68">
        <f>Pricing!H19</f>
        <v>2896</v>
      </c>
      <c r="H23" s="100">
        <f t="shared" si="0"/>
        <v>2.652736</v>
      </c>
      <c r="I23" s="70">
        <f>Pricing!I19</f>
        <v>2</v>
      </c>
      <c r="J23" s="69">
        <f t="shared" si="30"/>
        <v>5.305472</v>
      </c>
      <c r="K23" s="71">
        <f t="shared" si="31"/>
        <v>57.108100607999994</v>
      </c>
      <c r="L23" s="69"/>
      <c r="M23" s="72"/>
      <c r="N23" s="72"/>
      <c r="O23" s="72">
        <f t="shared" si="3"/>
        <v>0</v>
      </c>
      <c r="P23" s="73">
        <f>Pricing!M19</f>
        <v>11025.720000000001</v>
      </c>
      <c r="Q23" s="74">
        <f t="shared" si="50"/>
        <v>1102.5720000000001</v>
      </c>
      <c r="R23" s="74">
        <f t="shared" si="51"/>
        <v>1334.1121200000002</v>
      </c>
      <c r="S23" s="74">
        <f t="shared" si="52"/>
        <v>67.312020600000011</v>
      </c>
      <c r="T23" s="74">
        <f t="shared" si="53"/>
        <v>135.29716140600001</v>
      </c>
      <c r="U23" s="72">
        <f t="shared" si="54"/>
        <v>13665.013302006002</v>
      </c>
      <c r="V23" s="74">
        <f t="shared" si="55"/>
        <v>204.97519953009001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10027.34208</v>
      </c>
      <c r="AE23" s="76">
        <f t="shared" si="43"/>
        <v>1249.8360655737704</v>
      </c>
      <c r="AF23" s="341">
        <f t="shared" si="44"/>
        <v>548.928</v>
      </c>
      <c r="AG23" s="342"/>
      <c r="AH23" s="76">
        <f t="shared" si="45"/>
        <v>45.744</v>
      </c>
      <c r="AI23" s="76">
        <f t="shared" si="15"/>
        <v>152.47999999999999</v>
      </c>
      <c r="AJ23" s="76">
        <f>J23*Pricing!Q19</f>
        <v>0</v>
      </c>
      <c r="AK23" s="76">
        <f>J23*Pricing!R19</f>
        <v>0</v>
      </c>
      <c r="AL23" s="76">
        <f t="shared" si="16"/>
        <v>5710.8100607999995</v>
      </c>
      <c r="AM23" s="77">
        <f t="shared" si="17"/>
        <v>0</v>
      </c>
      <c r="AN23" s="76">
        <f t="shared" si="18"/>
        <v>4568.6480486399996</v>
      </c>
      <c r="AO23" s="72">
        <f t="shared" si="19"/>
        <v>15866.976567109863</v>
      </c>
      <c r="AP23" s="74">
        <f t="shared" si="20"/>
        <v>19833.720708887329</v>
      </c>
      <c r="AQ23" s="74">
        <f t="shared" si="61"/>
        <v>0</v>
      </c>
      <c r="AR23" s="74">
        <f t="shared" si="22"/>
        <v>6729.0332087318884</v>
      </c>
      <c r="AS23" s="72">
        <f t="shared" si="23"/>
        <v>56007.497465437191</v>
      </c>
      <c r="AT23" s="72">
        <f t="shared" si="24"/>
        <v>10556.553208731888</v>
      </c>
      <c r="AU23" s="78">
        <f t="shared" si="62"/>
        <v>980.72772284762993</v>
      </c>
      <c r="AV23" s="79">
        <f t="shared" si="26"/>
        <v>2.1776305061609186E-2</v>
      </c>
      <c r="AW23" s="80">
        <f t="shared" si="27"/>
        <v>242.87252340507914</v>
      </c>
      <c r="AX23" s="81">
        <f t="shared" si="28"/>
        <v>737.85519944255088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</v>
      </c>
      <c r="D24" s="131" t="str">
        <f>Pricing!B20</f>
        <v>W15</v>
      </c>
      <c r="E24" s="132" t="str">
        <f>Pricing!N20</f>
        <v>12MM (F)</v>
      </c>
      <c r="F24" s="68">
        <f>Pricing!G20</f>
        <v>458</v>
      </c>
      <c r="G24" s="68">
        <f>Pricing!H20</f>
        <v>2896</v>
      </c>
      <c r="H24" s="100">
        <f t="shared" si="0"/>
        <v>1.326368</v>
      </c>
      <c r="I24" s="70">
        <f>Pricing!I20</f>
        <v>4</v>
      </c>
      <c r="J24" s="69">
        <f t="shared" si="30"/>
        <v>5.305472</v>
      </c>
      <c r="K24" s="71">
        <f t="shared" si="31"/>
        <v>57.108100607999994</v>
      </c>
      <c r="L24" s="69"/>
      <c r="M24" s="72"/>
      <c r="N24" s="72"/>
      <c r="O24" s="72">
        <f t="shared" si="3"/>
        <v>0</v>
      </c>
      <c r="P24" s="73">
        <f>Pricing!M20</f>
        <v>19601.28</v>
      </c>
      <c r="Q24" s="74">
        <f t="shared" si="50"/>
        <v>1960.1279999999999</v>
      </c>
      <c r="R24" s="74">
        <f t="shared" si="51"/>
        <v>2371.75488</v>
      </c>
      <c r="S24" s="74">
        <f t="shared" si="52"/>
        <v>119.6658144</v>
      </c>
      <c r="T24" s="74">
        <f t="shared" si="53"/>
        <v>240.528286944</v>
      </c>
      <c r="U24" s="72">
        <f t="shared" si="54"/>
        <v>24293.356981344001</v>
      </c>
      <c r="V24" s="74">
        <f t="shared" si="55"/>
        <v>364.40035472016001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15343.425024</v>
      </c>
      <c r="AE24" s="76">
        <f t="shared" si="43"/>
        <v>2199.344262295082</v>
      </c>
      <c r="AF24" s="341">
        <f t="shared" si="44"/>
        <v>965.95200000000011</v>
      </c>
      <c r="AG24" s="342"/>
      <c r="AH24" s="76">
        <f t="shared" si="45"/>
        <v>80.496000000000009</v>
      </c>
      <c r="AI24" s="76">
        <f t="shared" si="15"/>
        <v>268.32</v>
      </c>
      <c r="AJ24" s="76">
        <f>J24*Pricing!Q20</f>
        <v>0</v>
      </c>
      <c r="AK24" s="76">
        <f>J24*Pricing!R20</f>
        <v>0</v>
      </c>
      <c r="AL24" s="76">
        <f t="shared" si="16"/>
        <v>5710.8100607999995</v>
      </c>
      <c r="AM24" s="77">
        <f t="shared" si="17"/>
        <v>0</v>
      </c>
      <c r="AN24" s="76">
        <f t="shared" si="18"/>
        <v>4568.6480486399996</v>
      </c>
      <c r="AO24" s="72">
        <f t="shared" si="19"/>
        <v>28171.869598359244</v>
      </c>
      <c r="AP24" s="74">
        <f t="shared" si="20"/>
        <v>35214.836997949053</v>
      </c>
      <c r="AQ24" s="74">
        <f t="shared" si="61"/>
        <v>0</v>
      </c>
      <c r="AR24" s="74">
        <f t="shared" si="22"/>
        <v>11947.420813135626</v>
      </c>
      <c r="AS24" s="72">
        <f t="shared" si="23"/>
        <v>89009.589729748288</v>
      </c>
      <c r="AT24" s="72">
        <f t="shared" si="24"/>
        <v>16776.940813135625</v>
      </c>
      <c r="AU24" s="78">
        <f t="shared" si="62"/>
        <v>1558.6158317665947</v>
      </c>
      <c r="AV24" s="79">
        <f t="shared" si="26"/>
        <v>2.1776305061609186E-2</v>
      </c>
      <c r="AW24" s="80">
        <f t="shared" si="27"/>
        <v>431.77337494236286</v>
      </c>
      <c r="AX24" s="81">
        <f t="shared" si="28"/>
        <v>1126.8424568242322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</v>
      </c>
      <c r="D25" s="131" t="str">
        <f>Pricing!B21</f>
        <v>W16</v>
      </c>
      <c r="E25" s="132" t="str">
        <f>Pricing!N21</f>
        <v>12MM (F)</v>
      </c>
      <c r="F25" s="68">
        <f>Pricing!G21</f>
        <v>916</v>
      </c>
      <c r="G25" s="68">
        <f>Pricing!H21</f>
        <v>2896</v>
      </c>
      <c r="H25" s="100">
        <f t="shared" si="0"/>
        <v>2.652736</v>
      </c>
      <c r="I25" s="70">
        <f>Pricing!I21</f>
        <v>1</v>
      </c>
      <c r="J25" s="69">
        <f t="shared" si="30"/>
        <v>2.652736</v>
      </c>
      <c r="K25" s="71">
        <f t="shared" si="31"/>
        <v>28.554050303999997</v>
      </c>
      <c r="L25" s="69"/>
      <c r="M25" s="72"/>
      <c r="N25" s="72"/>
      <c r="O25" s="72">
        <f t="shared" si="3"/>
        <v>0</v>
      </c>
      <c r="P25" s="73">
        <f>Pricing!M21</f>
        <v>5512.8600000000006</v>
      </c>
      <c r="Q25" s="74">
        <f t="shared" si="50"/>
        <v>551.28600000000006</v>
      </c>
      <c r="R25" s="74">
        <f t="shared" si="51"/>
        <v>667.05606000000012</v>
      </c>
      <c r="S25" s="74">
        <f t="shared" si="52"/>
        <v>33.656010300000005</v>
      </c>
      <c r="T25" s="74">
        <f t="shared" si="53"/>
        <v>67.648580703000007</v>
      </c>
      <c r="U25" s="72">
        <f t="shared" si="54"/>
        <v>6832.506651003001</v>
      </c>
      <c r="V25" s="74">
        <f t="shared" si="55"/>
        <v>102.487599765045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7671.7125120000001</v>
      </c>
      <c r="AE25" s="76">
        <f t="shared" si="43"/>
        <v>624.91803278688519</v>
      </c>
      <c r="AF25" s="341">
        <f t="shared" si="44"/>
        <v>274.464</v>
      </c>
      <c r="AG25" s="342"/>
      <c r="AH25" s="76">
        <f t="shared" si="45"/>
        <v>22.872</v>
      </c>
      <c r="AI25" s="76">
        <f t="shared" si="15"/>
        <v>76.239999999999995</v>
      </c>
      <c r="AJ25" s="76">
        <f>J25*Pricing!Q21</f>
        <v>0</v>
      </c>
      <c r="AK25" s="76">
        <f>J25*Pricing!R21</f>
        <v>0</v>
      </c>
      <c r="AL25" s="76">
        <f t="shared" si="16"/>
        <v>2855.4050303999998</v>
      </c>
      <c r="AM25" s="77">
        <f t="shared" si="17"/>
        <v>0</v>
      </c>
      <c r="AN25" s="76">
        <f t="shared" si="18"/>
        <v>2284.3240243199998</v>
      </c>
      <c r="AO25" s="72">
        <f t="shared" si="19"/>
        <v>7933.4882835549306</v>
      </c>
      <c r="AP25" s="74">
        <f t="shared" si="20"/>
        <v>9916.8603544436628</v>
      </c>
      <c r="AQ25" s="74">
        <f t="shared" si="61"/>
        <v>0</v>
      </c>
      <c r="AR25" s="74">
        <f t="shared" si="22"/>
        <v>6729.0332087318875</v>
      </c>
      <c r="AS25" s="72">
        <f t="shared" si="23"/>
        <v>30661.790204718593</v>
      </c>
      <c r="AT25" s="72">
        <f t="shared" si="24"/>
        <v>11558.553208731888</v>
      </c>
      <c r="AU25" s="78">
        <f t="shared" si="62"/>
        <v>1073.8157941965708</v>
      </c>
      <c r="AV25" s="79">
        <f t="shared" si="26"/>
        <v>1.0888152530804593E-2</v>
      </c>
      <c r="AW25" s="80">
        <f t="shared" si="27"/>
        <v>242.87252340507914</v>
      </c>
      <c r="AX25" s="81">
        <f t="shared" si="28"/>
        <v>830.94327079149173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TOP HUNG WINDOW</v>
      </c>
      <c r="D26" s="131" t="str">
        <f>Pricing!B22</f>
        <v>W17</v>
      </c>
      <c r="E26" s="132" t="str">
        <f>Pricing!N22</f>
        <v>12MM (F)</v>
      </c>
      <c r="F26" s="68">
        <f>Pricing!G22</f>
        <v>916</v>
      </c>
      <c r="G26" s="68">
        <f>Pricing!H22</f>
        <v>1068</v>
      </c>
      <c r="H26" s="100">
        <f t="shared" si="0"/>
        <v>0.97828800000000005</v>
      </c>
      <c r="I26" s="70">
        <f>Pricing!I22</f>
        <v>1</v>
      </c>
      <c r="J26" s="69">
        <f t="shared" si="30"/>
        <v>0.97828800000000005</v>
      </c>
      <c r="K26" s="71">
        <f t="shared" si="31"/>
        <v>10.530292032</v>
      </c>
      <c r="L26" s="69"/>
      <c r="M26" s="72"/>
      <c r="N26" s="72"/>
      <c r="O26" s="72">
        <f t="shared" si="3"/>
        <v>0</v>
      </c>
      <c r="P26" s="73">
        <f>Pricing!M22</f>
        <v>18262.490000000002</v>
      </c>
      <c r="Q26" s="74">
        <f t="shared" si="50"/>
        <v>1826.2490000000003</v>
      </c>
      <c r="R26" s="74">
        <f t="shared" si="51"/>
        <v>2209.7612900000004</v>
      </c>
      <c r="S26" s="74">
        <f t="shared" si="52"/>
        <v>111.49250145000002</v>
      </c>
      <c r="T26" s="74">
        <f t="shared" si="53"/>
        <v>224.09992791450006</v>
      </c>
      <c r="U26" s="72">
        <f t="shared" si="54"/>
        <v>22634.092719364504</v>
      </c>
      <c r="V26" s="74">
        <f t="shared" si="55"/>
        <v>339.51139079046754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2829.2088960000001</v>
      </c>
      <c r="AE26" s="76">
        <f t="shared" si="43"/>
        <v>325.24590163934425</v>
      </c>
      <c r="AF26" s="341">
        <f t="shared" si="44"/>
        <v>142.84800000000001</v>
      </c>
      <c r="AG26" s="342"/>
      <c r="AH26" s="76">
        <f t="shared" si="45"/>
        <v>11.904</v>
      </c>
      <c r="AI26" s="76">
        <f t="shared" si="15"/>
        <v>39.68</v>
      </c>
      <c r="AJ26" s="76">
        <f>J26*Pricing!Q22</f>
        <v>0</v>
      </c>
      <c r="AK26" s="76">
        <f>J26*Pricing!R22</f>
        <v>0</v>
      </c>
      <c r="AL26" s="76">
        <f t="shared" si="16"/>
        <v>1053.0292032</v>
      </c>
      <c r="AM26" s="77">
        <f t="shared" si="17"/>
        <v>0</v>
      </c>
      <c r="AN26" s="76">
        <f t="shared" si="18"/>
        <v>842.42336255999999</v>
      </c>
      <c r="AO26" s="72">
        <f t="shared" si="19"/>
        <v>23493.282011794316</v>
      </c>
      <c r="AP26" s="74">
        <f t="shared" si="20"/>
        <v>29366.602514742895</v>
      </c>
      <c r="AQ26" s="74">
        <f t="shared" si="61"/>
        <v>0</v>
      </c>
      <c r="AR26" s="74">
        <f t="shared" si="22"/>
        <v>54033.050110537188</v>
      </c>
      <c r="AS26" s="72">
        <f t="shared" si="23"/>
        <v>57584.545988297206</v>
      </c>
      <c r="AT26" s="72">
        <f t="shared" si="24"/>
        <v>58862.570110537185</v>
      </c>
      <c r="AU26" s="78">
        <f t="shared" si="62"/>
        <v>5468.4661938440349</v>
      </c>
      <c r="AV26" s="79">
        <f t="shared" si="26"/>
        <v>4.0153822178519705E-3</v>
      </c>
      <c r="AW26" s="80">
        <f t="shared" si="27"/>
        <v>2181.668280456191</v>
      </c>
      <c r="AX26" s="81">
        <f t="shared" si="28"/>
        <v>3286.7979133878443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W18</v>
      </c>
      <c r="E27" s="132" t="str">
        <f>Pricing!N23</f>
        <v>12MM</v>
      </c>
      <c r="F27" s="68">
        <f>Pricing!G23</f>
        <v>1000</v>
      </c>
      <c r="G27" s="68">
        <f>Pricing!H23</f>
        <v>2200</v>
      </c>
      <c r="H27" s="100">
        <f t="shared" si="0"/>
        <v>2.2000000000000002</v>
      </c>
      <c r="I27" s="70">
        <f>Pricing!I23</f>
        <v>1</v>
      </c>
      <c r="J27" s="69">
        <f t="shared" si="30"/>
        <v>2.2000000000000002</v>
      </c>
      <c r="K27" s="71">
        <f t="shared" si="31"/>
        <v>23.680800000000001</v>
      </c>
      <c r="L27" s="69"/>
      <c r="M27" s="72"/>
      <c r="N27" s="72"/>
      <c r="O27" s="72">
        <f t="shared" si="3"/>
        <v>0</v>
      </c>
      <c r="P27" s="73">
        <f>Pricing!M23</f>
        <v>4712.74</v>
      </c>
      <c r="Q27" s="74">
        <f t="shared" si="4"/>
        <v>471.274</v>
      </c>
      <c r="R27" s="74">
        <f t="shared" si="5"/>
        <v>570.24153999999999</v>
      </c>
      <c r="S27" s="74">
        <f t="shared" si="6"/>
        <v>28.771277700000002</v>
      </c>
      <c r="T27" s="74">
        <f t="shared" si="7"/>
        <v>57.830268177000001</v>
      </c>
      <c r="U27" s="72">
        <f t="shared" si="8"/>
        <v>5840.8570858769999</v>
      </c>
      <c r="V27" s="74">
        <f t="shared" si="9"/>
        <v>87.612856288155001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4158</v>
      </c>
      <c r="AE27" s="76">
        <f t="shared" si="43"/>
        <v>524.59016393442619</v>
      </c>
      <c r="AF27" s="341">
        <f t="shared" si="44"/>
        <v>230.40000000000003</v>
      </c>
      <c r="AG27" s="342"/>
      <c r="AH27" s="76">
        <f t="shared" si="45"/>
        <v>19.200000000000003</v>
      </c>
      <c r="AI27" s="76">
        <f t="shared" ref="AI27:AI32" si="64">(((F27+G27)*2*I27)/1000)*2*$AI$7</f>
        <v>64</v>
      </c>
      <c r="AJ27" s="76">
        <f>J27*Pricing!Q23</f>
        <v>0</v>
      </c>
      <c r="AK27" s="76">
        <f>J27*Pricing!R23</f>
        <v>0</v>
      </c>
      <c r="AL27" s="76">
        <f t="shared" si="16"/>
        <v>2368.08</v>
      </c>
      <c r="AM27" s="77">
        <f t="shared" si="17"/>
        <v>0</v>
      </c>
      <c r="AN27" s="76">
        <f t="shared" si="18"/>
        <v>1894.4639999999999</v>
      </c>
      <c r="AO27" s="72">
        <f t="shared" si="19"/>
        <v>6766.6601060995818</v>
      </c>
      <c r="AP27" s="74">
        <f t="shared" si="20"/>
        <v>8458.3251326244772</v>
      </c>
      <c r="AQ27" s="74">
        <f t="shared" si="21"/>
        <v>0</v>
      </c>
      <c r="AR27" s="74">
        <f t="shared" si="22"/>
        <v>6920.4478357836624</v>
      </c>
      <c r="AS27" s="72">
        <f t="shared" si="23"/>
        <v>23645.529238724059</v>
      </c>
      <c r="AT27" s="72">
        <f t="shared" si="24"/>
        <v>10747.967835783662</v>
      </c>
      <c r="AU27" s="78">
        <f t="shared" si="25"/>
        <v>998.51057560234699</v>
      </c>
      <c r="AV27" s="79">
        <f t="shared" si="26"/>
        <v>9.029898025197422E-3</v>
      </c>
      <c r="AW27" s="80">
        <f t="shared" si="27"/>
        <v>250.34922562435199</v>
      </c>
      <c r="AX27" s="81">
        <f t="shared" si="28"/>
        <v>748.16134997799486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 2 NO'S</v>
      </c>
      <c r="D28" s="131" t="str">
        <f>Pricing!B24</f>
        <v>W19</v>
      </c>
      <c r="E28" s="132" t="str">
        <f>Pricing!N24</f>
        <v>12MM</v>
      </c>
      <c r="F28" s="68">
        <f>Pricing!G24</f>
        <v>3278</v>
      </c>
      <c r="G28" s="68">
        <f>Pricing!H24</f>
        <v>2440</v>
      </c>
      <c r="H28" s="100">
        <f t="shared" si="0"/>
        <v>7.9983199999999997</v>
      </c>
      <c r="I28" s="70">
        <f>Pricing!I24</f>
        <v>1</v>
      </c>
      <c r="J28" s="69">
        <f t="shared" si="30"/>
        <v>7.9983199999999997</v>
      </c>
      <c r="K28" s="71">
        <f t="shared" si="31"/>
        <v>86.09391647999999</v>
      </c>
      <c r="L28" s="69"/>
      <c r="M28" s="72"/>
      <c r="N28" s="72"/>
      <c r="O28" s="72">
        <f t="shared" si="3"/>
        <v>0</v>
      </c>
      <c r="P28" s="73">
        <f>Pricing!M24</f>
        <v>14179.720000000001</v>
      </c>
      <c r="Q28" s="74">
        <f t="shared" si="4"/>
        <v>1417.9720000000002</v>
      </c>
      <c r="R28" s="74">
        <f t="shared" si="5"/>
        <v>1715.74612</v>
      </c>
      <c r="S28" s="74">
        <f t="shared" si="6"/>
        <v>86.567190600000018</v>
      </c>
      <c r="T28" s="74">
        <f t="shared" si="7"/>
        <v>174.00005310600002</v>
      </c>
      <c r="U28" s="72">
        <f t="shared" si="8"/>
        <v>17574.005363706001</v>
      </c>
      <c r="V28" s="74">
        <f t="shared" si="9"/>
        <v>263.61008045558998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15116.824799999999</v>
      </c>
      <c r="AE28" s="76">
        <f t="shared" si="43"/>
        <v>937.37704918032796</v>
      </c>
      <c r="AF28" s="341">
        <f t="shared" si="44"/>
        <v>411.69599999999997</v>
      </c>
      <c r="AG28" s="342"/>
      <c r="AH28" s="76">
        <f t="shared" si="45"/>
        <v>34.308</v>
      </c>
      <c r="AI28" s="76">
        <f t="shared" si="64"/>
        <v>114.36</v>
      </c>
      <c r="AJ28" s="76">
        <f>J28*Pricing!Q24</f>
        <v>0</v>
      </c>
      <c r="AK28" s="76">
        <f>J28*Pricing!R24</f>
        <v>0</v>
      </c>
      <c r="AL28" s="76">
        <f t="shared" si="16"/>
        <v>8609.3916479999989</v>
      </c>
      <c r="AM28" s="77">
        <f t="shared" si="17"/>
        <v>0</v>
      </c>
      <c r="AN28" s="76">
        <f t="shared" si="18"/>
        <v>6887.5133183999988</v>
      </c>
      <c r="AO28" s="72">
        <f t="shared" si="19"/>
        <v>19335.356493341922</v>
      </c>
      <c r="AP28" s="74">
        <f t="shared" si="20"/>
        <v>24169.195616677403</v>
      </c>
      <c r="AQ28" s="74">
        <f t="shared" si="21"/>
        <v>0</v>
      </c>
      <c r="AR28" s="74">
        <f t="shared" si="22"/>
        <v>5439.2112481145205</v>
      </c>
      <c r="AS28" s="72">
        <f t="shared" si="23"/>
        <v>74118.281876419322</v>
      </c>
      <c r="AT28" s="72">
        <f t="shared" si="24"/>
        <v>9266.73124811452</v>
      </c>
      <c r="AU28" s="78">
        <f t="shared" si="25"/>
        <v>860.90033891810856</v>
      </c>
      <c r="AV28" s="79">
        <f t="shared" si="26"/>
        <v>3.2829097260407739E-2</v>
      </c>
      <c r="AW28" s="80">
        <f t="shared" si="27"/>
        <v>207.18787312115543</v>
      </c>
      <c r="AX28" s="81">
        <f t="shared" si="28"/>
        <v>653.7124657969531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3 NO'S</v>
      </c>
      <c r="D29" s="131" t="str">
        <f>Pricing!B25</f>
        <v>W20</v>
      </c>
      <c r="E29" s="132" t="str">
        <f>Pricing!N25</f>
        <v>12MM</v>
      </c>
      <c r="F29" s="68">
        <f>Pricing!G25</f>
        <v>6326</v>
      </c>
      <c r="G29" s="68">
        <f>Pricing!H25</f>
        <v>2400</v>
      </c>
      <c r="H29" s="100">
        <f t="shared" si="0"/>
        <v>15.182399999999999</v>
      </c>
      <c r="I29" s="70">
        <f>Pricing!I25</f>
        <v>1</v>
      </c>
      <c r="J29" s="69">
        <f t="shared" si="30"/>
        <v>15.182399999999999</v>
      </c>
      <c r="K29" s="71">
        <f t="shared" si="31"/>
        <v>163.42335359999998</v>
      </c>
      <c r="L29" s="69"/>
      <c r="M29" s="72"/>
      <c r="N29" s="72"/>
      <c r="O29" s="72">
        <f t="shared" si="3"/>
        <v>0</v>
      </c>
      <c r="P29" s="73">
        <f>Pricing!M25</f>
        <v>23865.820000000003</v>
      </c>
      <c r="Q29" s="74">
        <f t="shared" si="4"/>
        <v>2386.5820000000003</v>
      </c>
      <c r="R29" s="74">
        <f t="shared" si="5"/>
        <v>2887.76422</v>
      </c>
      <c r="S29" s="74">
        <f t="shared" si="6"/>
        <v>145.70083110000002</v>
      </c>
      <c r="T29" s="74">
        <f t="shared" si="7"/>
        <v>292.85867051100001</v>
      </c>
      <c r="U29" s="72">
        <f t="shared" si="8"/>
        <v>29578.725721611001</v>
      </c>
      <c r="V29" s="74">
        <f t="shared" si="9"/>
        <v>443.68088582416499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28694.735999999997</v>
      </c>
      <c r="AE29" s="76">
        <f t="shared" si="43"/>
        <v>1430.4918032786884</v>
      </c>
      <c r="AF29" s="341">
        <f t="shared" si="44"/>
        <v>628.27200000000016</v>
      </c>
      <c r="AG29" s="342"/>
      <c r="AH29" s="76">
        <f t="shared" si="45"/>
        <v>52.356000000000009</v>
      </c>
      <c r="AI29" s="76">
        <f t="shared" si="64"/>
        <v>174.52</v>
      </c>
      <c r="AJ29" s="76">
        <f>J29*Pricing!Q25</f>
        <v>0</v>
      </c>
      <c r="AK29" s="76">
        <f>J29*Pricing!R25</f>
        <v>0</v>
      </c>
      <c r="AL29" s="76">
        <f t="shared" si="16"/>
        <v>16342.335359999997</v>
      </c>
      <c r="AM29" s="77">
        <f t="shared" si="17"/>
        <v>0</v>
      </c>
      <c r="AN29" s="76">
        <f t="shared" si="18"/>
        <v>13073.868287999998</v>
      </c>
      <c r="AO29" s="72">
        <f t="shared" si="19"/>
        <v>32308.046410713854</v>
      </c>
      <c r="AP29" s="74">
        <f t="shared" si="20"/>
        <v>40385.058013392321</v>
      </c>
      <c r="AQ29" s="74">
        <f t="shared" si="21"/>
        <v>0</v>
      </c>
      <c r="AR29" s="74">
        <f t="shared" si="22"/>
        <v>4787.9850632381031</v>
      </c>
      <c r="AS29" s="72">
        <f t="shared" si="23"/>
        <v>130804.04407210616</v>
      </c>
      <c r="AT29" s="72">
        <f t="shared" si="24"/>
        <v>8615.5050632381026</v>
      </c>
      <c r="AU29" s="78">
        <f t="shared" si="25"/>
        <v>800.39995013360306</v>
      </c>
      <c r="AV29" s="79">
        <f t="shared" si="26"/>
        <v>6.2316147171707872E-2</v>
      </c>
      <c r="AW29" s="80">
        <f t="shared" si="27"/>
        <v>183.70940227379575</v>
      </c>
      <c r="AX29" s="81">
        <f t="shared" si="28"/>
        <v>616.69054785980734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4 LEAF SLIDE &amp; FOLD DOOR</v>
      </c>
      <c r="D30" s="131" t="str">
        <f>Pricing!B26</f>
        <v>W21</v>
      </c>
      <c r="E30" s="132" t="str">
        <f>Pricing!N26</f>
        <v>24MM</v>
      </c>
      <c r="F30" s="68">
        <f>Pricing!G26</f>
        <v>3658</v>
      </c>
      <c r="G30" s="68">
        <f>Pricing!H26</f>
        <v>3302</v>
      </c>
      <c r="H30" s="100">
        <f t="shared" si="0"/>
        <v>12.078716</v>
      </c>
      <c r="I30" s="70">
        <f>Pricing!I26</f>
        <v>1</v>
      </c>
      <c r="J30" s="69">
        <f t="shared" si="30"/>
        <v>12.078716</v>
      </c>
      <c r="K30" s="71">
        <f t="shared" si="31"/>
        <v>130.015299024</v>
      </c>
      <c r="L30" s="69"/>
      <c r="M30" s="72"/>
      <c r="N30" s="72"/>
      <c r="O30" s="72">
        <f t="shared" si="3"/>
        <v>0</v>
      </c>
      <c r="P30" s="73">
        <f>Pricing!M26</f>
        <v>289114.73</v>
      </c>
      <c r="Q30" s="74">
        <f t="shared" si="4"/>
        <v>28911.472999999998</v>
      </c>
      <c r="R30" s="74">
        <f t="shared" si="5"/>
        <v>34982.88233</v>
      </c>
      <c r="S30" s="74">
        <f t="shared" si="6"/>
        <v>1765.0454266499999</v>
      </c>
      <c r="T30" s="74">
        <f t="shared" si="7"/>
        <v>3547.7413075664995</v>
      </c>
      <c r="U30" s="72">
        <f t="shared" si="8"/>
        <v>358321.87206421647</v>
      </c>
      <c r="V30" s="74">
        <f t="shared" si="9"/>
        <v>5374.828080963247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33880.79838</v>
      </c>
      <c r="AE30" s="76">
        <f t="shared" si="43"/>
        <v>1140.983606557377</v>
      </c>
      <c r="AF30" s="341">
        <f t="shared" si="44"/>
        <v>501.12</v>
      </c>
      <c r="AG30" s="342"/>
      <c r="AH30" s="76">
        <f t="shared" si="45"/>
        <v>41.76</v>
      </c>
      <c r="AI30" s="76">
        <f t="shared" si="64"/>
        <v>139.19999999999999</v>
      </c>
      <c r="AJ30" s="76">
        <f>J30*Pricing!Q26</f>
        <v>0</v>
      </c>
      <c r="AK30" s="76">
        <f>J30*Pricing!R26</f>
        <v>0</v>
      </c>
      <c r="AL30" s="76">
        <f t="shared" si="16"/>
        <v>13001.529902399998</v>
      </c>
      <c r="AM30" s="77">
        <f t="shared" si="17"/>
        <v>0</v>
      </c>
      <c r="AN30" s="76">
        <f t="shared" si="18"/>
        <v>10401.223921919998</v>
      </c>
      <c r="AO30" s="72">
        <f t="shared" si="19"/>
        <v>365519.76375173707</v>
      </c>
      <c r="AP30" s="74">
        <f t="shared" si="20"/>
        <v>456899.70468967134</v>
      </c>
      <c r="AQ30" s="74">
        <f t="shared" si="21"/>
        <v>0</v>
      </c>
      <c r="AR30" s="74">
        <f t="shared" si="22"/>
        <v>68088.319026741607</v>
      </c>
      <c r="AS30" s="72">
        <f t="shared" si="23"/>
        <v>879703.02064572845</v>
      </c>
      <c r="AT30" s="72">
        <f t="shared" si="24"/>
        <v>72830.839026741625</v>
      </c>
      <c r="AU30" s="78">
        <f t="shared" si="25"/>
        <v>6766.1500396452648</v>
      </c>
      <c r="AV30" s="79">
        <f t="shared" si="26"/>
        <v>4.9577078979691137E-2</v>
      </c>
      <c r="AW30" s="80">
        <f t="shared" si="27"/>
        <v>2797.3377200635719</v>
      </c>
      <c r="AX30" s="81">
        <f t="shared" si="28"/>
        <v>3968.8123195816916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4 NO'S</v>
      </c>
      <c r="D31" s="131" t="str">
        <f>Pricing!B27</f>
        <v>W22</v>
      </c>
      <c r="E31" s="132" t="str">
        <f>Pricing!N27</f>
        <v>12MM</v>
      </c>
      <c r="F31" s="68">
        <f>Pricing!G27</f>
        <v>6326</v>
      </c>
      <c r="G31" s="68">
        <f>Pricing!H27</f>
        <v>3302</v>
      </c>
      <c r="H31" s="100">
        <f t="shared" si="0"/>
        <v>20.888452000000001</v>
      </c>
      <c r="I31" s="70">
        <f>Pricing!I27</f>
        <v>1</v>
      </c>
      <c r="J31" s="69">
        <f t="shared" si="30"/>
        <v>20.888452000000001</v>
      </c>
      <c r="K31" s="71">
        <f t="shared" si="31"/>
        <v>224.84329732800001</v>
      </c>
      <c r="L31" s="69"/>
      <c r="M31" s="72"/>
      <c r="N31" s="72"/>
      <c r="O31" s="72">
        <f t="shared" si="3"/>
        <v>0</v>
      </c>
      <c r="P31" s="73">
        <f>Pricing!M27</f>
        <v>48366.590000000004</v>
      </c>
      <c r="Q31" s="74">
        <f t="shared" si="4"/>
        <v>4836.6590000000006</v>
      </c>
      <c r="R31" s="74">
        <f t="shared" si="5"/>
        <v>5852.3573900000001</v>
      </c>
      <c r="S31" s="74">
        <f t="shared" si="6"/>
        <v>295.27803195000001</v>
      </c>
      <c r="T31" s="74">
        <f t="shared" si="7"/>
        <v>593.50884421950002</v>
      </c>
      <c r="U31" s="72">
        <f t="shared" si="8"/>
        <v>59944.3932661695</v>
      </c>
      <c r="V31" s="74">
        <f t="shared" si="9"/>
        <v>899.16589899254245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39479.174279999999</v>
      </c>
      <c r="AE31" s="76">
        <f t="shared" si="43"/>
        <v>1578.3606557377047</v>
      </c>
      <c r="AF31" s="341">
        <f t="shared" si="44"/>
        <v>693.21600000000001</v>
      </c>
      <c r="AG31" s="342"/>
      <c r="AH31" s="76">
        <f t="shared" si="45"/>
        <v>57.768000000000001</v>
      </c>
      <c r="AI31" s="76">
        <f t="shared" si="64"/>
        <v>192.56</v>
      </c>
      <c r="AJ31" s="76">
        <f>J31*Pricing!Q27</f>
        <v>0</v>
      </c>
      <c r="AK31" s="76">
        <f>J31*Pricing!R27</f>
        <v>0</v>
      </c>
      <c r="AL31" s="76">
        <f t="shared" si="16"/>
        <v>22484.329732799997</v>
      </c>
      <c r="AM31" s="77">
        <f t="shared" si="17"/>
        <v>0</v>
      </c>
      <c r="AN31" s="76">
        <f t="shared" si="18"/>
        <v>17987.463786239998</v>
      </c>
      <c r="AO31" s="72">
        <f t="shared" si="19"/>
        <v>63365.463820899742</v>
      </c>
      <c r="AP31" s="74">
        <f t="shared" si="20"/>
        <v>79206.829776124679</v>
      </c>
      <c r="AQ31" s="74">
        <f t="shared" si="21"/>
        <v>0</v>
      </c>
      <c r="AR31" s="74">
        <f t="shared" si="22"/>
        <v>6825.4121270941678</v>
      </c>
      <c r="AS31" s="72">
        <f t="shared" si="23"/>
        <v>222523.26139606442</v>
      </c>
      <c r="AT31" s="72">
        <f t="shared" si="24"/>
        <v>10652.932127094167</v>
      </c>
      <c r="AU31" s="78">
        <f t="shared" si="25"/>
        <v>989.68154283669344</v>
      </c>
      <c r="AV31" s="79">
        <f t="shared" si="26"/>
        <v>8.5736632483741429E-2</v>
      </c>
      <c r="AW31" s="80">
        <f t="shared" si="27"/>
        <v>270.60428257464946</v>
      </c>
      <c r="AX31" s="81">
        <f t="shared" si="28"/>
        <v>719.07726026204398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3 NO'S</v>
      </c>
      <c r="D32" s="131" t="str">
        <f>Pricing!B28</f>
        <v>W23</v>
      </c>
      <c r="E32" s="132" t="str">
        <f>Pricing!N28</f>
        <v>12MM</v>
      </c>
      <c r="F32" s="68">
        <f>Pricing!G28</f>
        <v>4878</v>
      </c>
      <c r="G32" s="68">
        <f>Pricing!H28</f>
        <v>2896</v>
      </c>
      <c r="H32" s="100">
        <f t="shared" si="0"/>
        <v>14.126688</v>
      </c>
      <c r="I32" s="70">
        <f>Pricing!I28</f>
        <v>1</v>
      </c>
      <c r="J32" s="69">
        <f t="shared" si="30"/>
        <v>14.126688</v>
      </c>
      <c r="K32" s="71">
        <f t="shared" si="31"/>
        <v>152.05966963199998</v>
      </c>
      <c r="L32" s="69"/>
      <c r="M32" s="72"/>
      <c r="N32" s="72"/>
      <c r="O32" s="72">
        <f t="shared" si="3"/>
        <v>0</v>
      </c>
      <c r="P32" s="73">
        <f>Pricing!M28</f>
        <v>31591.46</v>
      </c>
      <c r="Q32" s="74">
        <f t="shared" si="4"/>
        <v>3159.1460000000002</v>
      </c>
      <c r="R32" s="74">
        <f t="shared" si="5"/>
        <v>3822.56666</v>
      </c>
      <c r="S32" s="74">
        <f t="shared" si="6"/>
        <v>192.8658633</v>
      </c>
      <c r="T32" s="74">
        <f t="shared" si="7"/>
        <v>387.660385233</v>
      </c>
      <c r="U32" s="72">
        <f t="shared" si="8"/>
        <v>39153.698908532999</v>
      </c>
      <c r="V32" s="74">
        <f t="shared" si="9"/>
        <v>587.30548362799493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26699.440319999998</v>
      </c>
      <c r="AE32" s="76">
        <f t="shared" si="43"/>
        <v>1274.4262295081967</v>
      </c>
      <c r="AF32" s="341">
        <f t="shared" si="44"/>
        <v>559.72799999999995</v>
      </c>
      <c r="AG32" s="342"/>
      <c r="AH32" s="76">
        <f t="shared" si="45"/>
        <v>46.643999999999998</v>
      </c>
      <c r="AI32" s="76">
        <f t="shared" si="64"/>
        <v>155.47999999999999</v>
      </c>
      <c r="AJ32" s="76">
        <f>J32*Pricing!Q28</f>
        <v>0</v>
      </c>
      <c r="AK32" s="76">
        <f>J32*Pricing!R28</f>
        <v>0</v>
      </c>
      <c r="AL32" s="76">
        <f t="shared" si="16"/>
        <v>15205.966963199999</v>
      </c>
      <c r="AM32" s="77">
        <f t="shared" si="17"/>
        <v>0</v>
      </c>
      <c r="AN32" s="76">
        <f t="shared" si="18"/>
        <v>12164.773570559999</v>
      </c>
      <c r="AO32" s="72">
        <f t="shared" si="19"/>
        <v>41777.28262166919</v>
      </c>
      <c r="AP32" s="74">
        <f t="shared" si="20"/>
        <v>52221.603277086484</v>
      </c>
      <c r="AQ32" s="74">
        <f t="shared" si="21"/>
        <v>0</v>
      </c>
      <c r="AR32" s="74">
        <f t="shared" si="22"/>
        <v>6653.9932005828741</v>
      </c>
      <c r="AS32" s="72">
        <f t="shared" si="23"/>
        <v>148069.06675251568</v>
      </c>
      <c r="AT32" s="72">
        <f t="shared" si="24"/>
        <v>10481.513200582875</v>
      </c>
      <c r="AU32" s="78">
        <f t="shared" si="25"/>
        <v>973.7563359887472</v>
      </c>
      <c r="AV32" s="79">
        <f t="shared" si="26"/>
        <v>5.7982978215354586E-2</v>
      </c>
      <c r="AW32" s="80">
        <f t="shared" si="27"/>
        <v>261.35137928642291</v>
      </c>
      <c r="AX32" s="81">
        <f t="shared" si="28"/>
        <v>712.40495670232417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2 NO'S</v>
      </c>
      <c r="D33" s="131" t="str">
        <f>Pricing!B29</f>
        <v>W24</v>
      </c>
      <c r="E33" s="132" t="str">
        <f>Pricing!N29</f>
        <v>12MM</v>
      </c>
      <c r="F33" s="68">
        <f>Pricing!G29</f>
        <v>2744</v>
      </c>
      <c r="G33" s="68">
        <f>Pricing!H29</f>
        <v>2896</v>
      </c>
      <c r="H33" s="100">
        <f t="shared" si="0"/>
        <v>7.9466239999999999</v>
      </c>
      <c r="I33" s="70">
        <f>Pricing!I29</f>
        <v>1</v>
      </c>
      <c r="J33" s="69">
        <f t="shared" si="30"/>
        <v>7.9466239999999999</v>
      </c>
      <c r="K33" s="71">
        <f t="shared" si="31"/>
        <v>85.537460736</v>
      </c>
      <c r="L33" s="69"/>
      <c r="M33" s="72"/>
      <c r="N33" s="72"/>
      <c r="O33" s="72">
        <f t="shared" si="3"/>
        <v>0</v>
      </c>
      <c r="P33" s="73">
        <f>Pricing!M29</f>
        <v>15045.410000000002</v>
      </c>
      <c r="Q33" s="74">
        <f t="shared" ref="Q33:Q38" si="65">P33*$Q$6</f>
        <v>1504.5410000000002</v>
      </c>
      <c r="R33" s="74">
        <f t="shared" ref="R33:R38" si="66">(P33+Q33)*$R$6</f>
        <v>1820.4946100000002</v>
      </c>
      <c r="S33" s="74">
        <f t="shared" ref="S33:S38" si="67">(P33+Q33+R33)*$S$6</f>
        <v>91.852228050000008</v>
      </c>
      <c r="T33" s="74">
        <f t="shared" ref="T33:T38" si="68">(P33+Q33+R33+S33)*$T$6</f>
        <v>184.62297838050003</v>
      </c>
      <c r="U33" s="72">
        <f t="shared" ref="U33:U38" si="69">SUM(P33:T33)</f>
        <v>18646.920816430502</v>
      </c>
      <c r="V33" s="74">
        <f t="shared" ref="V33:V38" si="70">U33*$V$6</f>
        <v>279.70381224645752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15019.119360000001</v>
      </c>
      <c r="AE33" s="76">
        <f t="shared" si="43"/>
        <v>924.5901639344263</v>
      </c>
      <c r="AF33" s="341">
        <f t="shared" si="44"/>
        <v>406.07999999999993</v>
      </c>
      <c r="AG33" s="342"/>
      <c r="AH33" s="76">
        <f t="shared" si="45"/>
        <v>33.839999999999996</v>
      </c>
      <c r="AI33" s="76">
        <f t="shared" si="15"/>
        <v>112.8</v>
      </c>
      <c r="AJ33" s="76">
        <f>J33*Pricing!Q29</f>
        <v>0</v>
      </c>
      <c r="AK33" s="76">
        <f>J33*Pricing!R29</f>
        <v>0</v>
      </c>
      <c r="AL33" s="76">
        <f t="shared" si="16"/>
        <v>8553.7460735999994</v>
      </c>
      <c r="AM33" s="77">
        <f t="shared" si="17"/>
        <v>0</v>
      </c>
      <c r="AN33" s="76">
        <f t="shared" si="18"/>
        <v>6842.9968588799993</v>
      </c>
      <c r="AO33" s="72">
        <f t="shared" si="19"/>
        <v>20403.934792611388</v>
      </c>
      <c r="AP33" s="74">
        <f t="shared" si="20"/>
        <v>25504.918490764234</v>
      </c>
      <c r="AQ33" s="74">
        <f t="shared" ref="AQ33:AQ38" si="76">(AO33+AP33)*$AQ$6</f>
        <v>0</v>
      </c>
      <c r="AR33" s="74">
        <f t="shared" si="22"/>
        <v>5777.1518173472932</v>
      </c>
      <c r="AS33" s="72">
        <f t="shared" si="23"/>
        <v>76324.715575855618</v>
      </c>
      <c r="AT33" s="72">
        <f t="shared" si="24"/>
        <v>9604.6718173472927</v>
      </c>
      <c r="AU33" s="78">
        <f t="shared" ref="AU33:AU38" si="77">AT33/10.764</f>
        <v>892.29578384868944</v>
      </c>
      <c r="AV33" s="79">
        <f t="shared" si="26"/>
        <v>3.2616911074812016E-2</v>
      </c>
      <c r="AW33" s="80">
        <f t="shared" si="27"/>
        <v>221.26708538954028</v>
      </c>
      <c r="AX33" s="81">
        <f t="shared" si="28"/>
        <v>671.02869845914915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</v>
      </c>
      <c r="D34" s="131" t="str">
        <f>Pricing!B30</f>
        <v>W25</v>
      </c>
      <c r="E34" s="132" t="str">
        <f>Pricing!N30</f>
        <v>12MM</v>
      </c>
      <c r="F34" s="68">
        <f>Pricing!G30</f>
        <v>382</v>
      </c>
      <c r="G34" s="68">
        <f>Pricing!H30</f>
        <v>2896</v>
      </c>
      <c r="H34" s="100">
        <f t="shared" si="0"/>
        <v>1.1062719999999999</v>
      </c>
      <c r="I34" s="70">
        <f>Pricing!I30</f>
        <v>3</v>
      </c>
      <c r="J34" s="69">
        <f t="shared" si="30"/>
        <v>3.318816</v>
      </c>
      <c r="K34" s="71">
        <f t="shared" si="31"/>
        <v>35.723735423999997</v>
      </c>
      <c r="L34" s="69"/>
      <c r="M34" s="72"/>
      <c r="N34" s="72"/>
      <c r="O34" s="72">
        <f t="shared" si="3"/>
        <v>0</v>
      </c>
      <c r="P34" s="73">
        <f>Pricing!M30</f>
        <v>14404.650000000001</v>
      </c>
      <c r="Q34" s="74">
        <f t="shared" si="65"/>
        <v>1440.4650000000001</v>
      </c>
      <c r="R34" s="74">
        <f t="shared" si="66"/>
        <v>1742.9626500000002</v>
      </c>
      <c r="S34" s="74">
        <f t="shared" si="67"/>
        <v>87.940388250000012</v>
      </c>
      <c r="T34" s="74">
        <f t="shared" si="68"/>
        <v>176.76018038250004</v>
      </c>
      <c r="U34" s="72">
        <f t="shared" si="69"/>
        <v>17852.778218632506</v>
      </c>
      <c r="V34" s="74">
        <f t="shared" si="70"/>
        <v>267.79167327948755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6272.5622400000002</v>
      </c>
      <c r="AE34" s="76">
        <f t="shared" si="43"/>
        <v>1612.1311475409836</v>
      </c>
      <c r="AF34" s="341">
        <f t="shared" si="44"/>
        <v>708.048</v>
      </c>
      <c r="AG34" s="342"/>
      <c r="AH34" s="76">
        <f t="shared" si="45"/>
        <v>59.003999999999998</v>
      </c>
      <c r="AI34" s="76">
        <f t="shared" si="15"/>
        <v>196.68</v>
      </c>
      <c r="AJ34" s="76">
        <f>J34*Pricing!Q30</f>
        <v>0</v>
      </c>
      <c r="AK34" s="76">
        <f>J34*Pricing!R30</f>
        <v>0</v>
      </c>
      <c r="AL34" s="76">
        <f t="shared" si="16"/>
        <v>3572.3735423999997</v>
      </c>
      <c r="AM34" s="77">
        <f t="shared" si="17"/>
        <v>0</v>
      </c>
      <c r="AN34" s="76">
        <f t="shared" si="18"/>
        <v>2857.8988339199996</v>
      </c>
      <c r="AO34" s="72">
        <f t="shared" si="19"/>
        <v>20696.433039452979</v>
      </c>
      <c r="AP34" s="74">
        <f t="shared" si="20"/>
        <v>25870.541299316224</v>
      </c>
      <c r="AQ34" s="74">
        <f t="shared" si="76"/>
        <v>0</v>
      </c>
      <c r="AR34" s="74">
        <f t="shared" si="22"/>
        <v>14031.200988174458</v>
      </c>
      <c r="AS34" s="72">
        <f t="shared" si="23"/>
        <v>59269.808955089204</v>
      </c>
      <c r="AT34" s="72">
        <f t="shared" si="24"/>
        <v>17858.72098817446</v>
      </c>
      <c r="AU34" s="78">
        <f t="shared" si="77"/>
        <v>1659.1156622235658</v>
      </c>
      <c r="AV34" s="79">
        <f t="shared" si="26"/>
        <v>1.3622077292906183E-2</v>
      </c>
      <c r="AW34" s="80">
        <f t="shared" si="27"/>
        <v>507.24174493068807</v>
      </c>
      <c r="AX34" s="81">
        <f t="shared" si="28"/>
        <v>1151.8739172928776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</v>
      </c>
      <c r="D35" s="131" t="str">
        <f>Pricing!B31</f>
        <v>W26</v>
      </c>
      <c r="E35" s="132" t="str">
        <f>Pricing!N31</f>
        <v>12MM (F)</v>
      </c>
      <c r="F35" s="68">
        <f>Pricing!G31</f>
        <v>534</v>
      </c>
      <c r="G35" s="68">
        <f>Pricing!H31</f>
        <v>2896</v>
      </c>
      <c r="H35" s="100">
        <f t="shared" si="0"/>
        <v>1.5464640000000001</v>
      </c>
      <c r="I35" s="70">
        <f>Pricing!I31</f>
        <v>1</v>
      </c>
      <c r="J35" s="69">
        <f t="shared" si="30"/>
        <v>1.5464640000000001</v>
      </c>
      <c r="K35" s="71">
        <f t="shared" si="31"/>
        <v>16.646138495999999</v>
      </c>
      <c r="L35" s="69"/>
      <c r="M35" s="72"/>
      <c r="N35" s="72"/>
      <c r="O35" s="72">
        <f t="shared" si="3"/>
        <v>0</v>
      </c>
      <c r="P35" s="73">
        <f>Pricing!M31</f>
        <v>5013.2</v>
      </c>
      <c r="Q35" s="74">
        <f t="shared" si="65"/>
        <v>501.32</v>
      </c>
      <c r="R35" s="74">
        <f t="shared" si="66"/>
        <v>606.59719999999993</v>
      </c>
      <c r="S35" s="74">
        <f t="shared" si="67"/>
        <v>30.605585999999999</v>
      </c>
      <c r="T35" s="74">
        <f t="shared" si="68"/>
        <v>61.517227859999991</v>
      </c>
      <c r="U35" s="72">
        <f t="shared" si="69"/>
        <v>6213.2400138599996</v>
      </c>
      <c r="V35" s="74">
        <f t="shared" si="70"/>
        <v>93.198600207899986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4472.3738880000001</v>
      </c>
      <c r="AE35" s="76">
        <f t="shared" si="43"/>
        <v>562.29508196721315</v>
      </c>
      <c r="AF35" s="341">
        <f t="shared" si="44"/>
        <v>246.96000000000004</v>
      </c>
      <c r="AG35" s="342"/>
      <c r="AH35" s="76">
        <f t="shared" si="45"/>
        <v>20.580000000000002</v>
      </c>
      <c r="AI35" s="76">
        <f t="shared" si="15"/>
        <v>68.600000000000009</v>
      </c>
      <c r="AJ35" s="76">
        <f>J35*Pricing!Q31</f>
        <v>0</v>
      </c>
      <c r="AK35" s="76">
        <f>J35*Pricing!R31</f>
        <v>0</v>
      </c>
      <c r="AL35" s="76">
        <f t="shared" si="16"/>
        <v>1664.6138495999999</v>
      </c>
      <c r="AM35" s="77">
        <f t="shared" si="17"/>
        <v>0</v>
      </c>
      <c r="AN35" s="76">
        <f t="shared" si="18"/>
        <v>1331.6910796799998</v>
      </c>
      <c r="AO35" s="72">
        <f t="shared" si="19"/>
        <v>7204.8736960351143</v>
      </c>
      <c r="AP35" s="74">
        <f t="shared" si="20"/>
        <v>9006.0921200438934</v>
      </c>
      <c r="AQ35" s="74">
        <f t="shared" si="76"/>
        <v>0</v>
      </c>
      <c r="AR35" s="74">
        <f t="shared" si="22"/>
        <v>10482.601480589918</v>
      </c>
      <c r="AS35" s="72">
        <f t="shared" si="23"/>
        <v>23679.644633359007</v>
      </c>
      <c r="AT35" s="72">
        <f t="shared" si="24"/>
        <v>15312.121480589916</v>
      </c>
      <c r="AU35" s="78">
        <f t="shared" si="77"/>
        <v>1422.5307952982087</v>
      </c>
      <c r="AV35" s="79">
        <f t="shared" si="26"/>
        <v>6.3474600998358654E-3</v>
      </c>
      <c r="AW35" s="80">
        <f t="shared" si="27"/>
        <v>378.85294632045213</v>
      </c>
      <c r="AX35" s="81">
        <f t="shared" si="28"/>
        <v>1043.6778489777566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FIXED GLASS</v>
      </c>
      <c r="D36" s="131" t="str">
        <f>Pricing!B32</f>
        <v>W27</v>
      </c>
      <c r="E36" s="132" t="str">
        <f>Pricing!N32</f>
        <v>12MM (F)</v>
      </c>
      <c r="F36" s="68">
        <f>Pricing!G32</f>
        <v>610</v>
      </c>
      <c r="G36" s="68">
        <f>Pricing!H32</f>
        <v>2896</v>
      </c>
      <c r="H36" s="100">
        <f t="shared" si="0"/>
        <v>1.7665599999999999</v>
      </c>
      <c r="I36" s="70">
        <f>Pricing!I32</f>
        <v>1</v>
      </c>
      <c r="J36" s="69">
        <f t="shared" si="30"/>
        <v>1.7665599999999999</v>
      </c>
      <c r="K36" s="71">
        <f t="shared" si="31"/>
        <v>19.015251839999998</v>
      </c>
      <c r="L36" s="69"/>
      <c r="M36" s="72"/>
      <c r="N36" s="72"/>
      <c r="O36" s="72">
        <f>N36*M36*L36/1000000</f>
        <v>0</v>
      </c>
      <c r="P36" s="73">
        <f>Pricing!M32</f>
        <v>5112.8</v>
      </c>
      <c r="Q36" s="74">
        <f t="shared" si="65"/>
        <v>511.28000000000003</v>
      </c>
      <c r="R36" s="74">
        <f t="shared" si="66"/>
        <v>618.64880000000005</v>
      </c>
      <c r="S36" s="74">
        <f t="shared" si="67"/>
        <v>31.213643999999999</v>
      </c>
      <c r="T36" s="74">
        <f t="shared" si="68"/>
        <v>62.739424440000001</v>
      </c>
      <c r="U36" s="72">
        <f t="shared" si="69"/>
        <v>6336.6818684400005</v>
      </c>
      <c r="V36" s="74">
        <f t="shared" si="70"/>
        <v>95.05022802660001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5108.8915200000001</v>
      </c>
      <c r="AE36" s="76">
        <f t="shared" si="43"/>
        <v>574.75409836065569</v>
      </c>
      <c r="AF36" s="341">
        <f t="shared" si="44"/>
        <v>252.43199999999996</v>
      </c>
      <c r="AG36" s="342"/>
      <c r="AH36" s="76">
        <f t="shared" si="45"/>
        <v>21.035999999999998</v>
      </c>
      <c r="AI36" s="76">
        <f t="shared" si="15"/>
        <v>70.11999999999999</v>
      </c>
      <c r="AJ36" s="76">
        <f>J36*Pricing!Q32</f>
        <v>0</v>
      </c>
      <c r="AK36" s="76">
        <f>J36*Pricing!R32</f>
        <v>0</v>
      </c>
      <c r="AL36" s="76">
        <f t="shared" si="16"/>
        <v>1901.5251839999996</v>
      </c>
      <c r="AM36" s="77">
        <f t="shared" si="17"/>
        <v>0</v>
      </c>
      <c r="AN36" s="76">
        <f t="shared" si="18"/>
        <v>1521.2201471999997</v>
      </c>
      <c r="AO36" s="72">
        <f t="shared" si="19"/>
        <v>7350.0741948272562</v>
      </c>
      <c r="AP36" s="74">
        <f t="shared" si="20"/>
        <v>9187.5927435340709</v>
      </c>
      <c r="AQ36" s="74">
        <f t="shared" si="76"/>
        <v>0</v>
      </c>
      <c r="AR36" s="74">
        <f t="shared" si="22"/>
        <v>9361.5087731870572</v>
      </c>
      <c r="AS36" s="72">
        <f t="shared" si="23"/>
        <v>25069.303789561327</v>
      </c>
      <c r="AT36" s="72">
        <f t="shared" si="24"/>
        <v>14191.028773187058</v>
      </c>
      <c r="AU36" s="78">
        <f t="shared" si="77"/>
        <v>1318.3787414703695</v>
      </c>
      <c r="AV36" s="79">
        <f t="shared" si="26"/>
        <v>7.2508439342694343E-3</v>
      </c>
      <c r="AW36" s="80">
        <f t="shared" si="27"/>
        <v>338.24070018031387</v>
      </c>
      <c r="AX36" s="81">
        <f t="shared" si="28"/>
        <v>980.13804129005564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FIXED GLASS</v>
      </c>
      <c r="D37" s="131" t="str">
        <f>Pricing!B33</f>
        <v>W28</v>
      </c>
      <c r="E37" s="132" t="str">
        <f>Pricing!N33</f>
        <v>12MM (F)</v>
      </c>
      <c r="F37" s="68">
        <f>Pricing!G33</f>
        <v>916</v>
      </c>
      <c r="G37" s="68">
        <f>Pricing!H33</f>
        <v>2896</v>
      </c>
      <c r="H37" s="100">
        <f t="shared" si="0"/>
        <v>2.652736</v>
      </c>
      <c r="I37" s="70">
        <f>Pricing!I33</f>
        <v>1</v>
      </c>
      <c r="J37" s="69">
        <f t="shared" si="30"/>
        <v>2.652736</v>
      </c>
      <c r="K37" s="71">
        <f t="shared" si="31"/>
        <v>28.554050303999997</v>
      </c>
      <c r="L37" s="69"/>
      <c r="M37" s="72"/>
      <c r="N37" s="72"/>
      <c r="O37" s="72">
        <f t="shared" ref="O37:O100" si="79">N37*M37*L37/1000000</f>
        <v>0</v>
      </c>
      <c r="P37" s="73">
        <f>Pricing!M33</f>
        <v>5512.8600000000006</v>
      </c>
      <c r="Q37" s="74">
        <f t="shared" si="65"/>
        <v>551.28600000000006</v>
      </c>
      <c r="R37" s="74">
        <f t="shared" si="66"/>
        <v>667.05606000000012</v>
      </c>
      <c r="S37" s="74">
        <f t="shared" si="67"/>
        <v>33.656010300000005</v>
      </c>
      <c r="T37" s="74">
        <f t="shared" si="68"/>
        <v>67.648580703000007</v>
      </c>
      <c r="U37" s="72">
        <f t="shared" si="69"/>
        <v>6832.506651003001</v>
      </c>
      <c r="V37" s="74">
        <f t="shared" si="70"/>
        <v>102.487599765045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7671.7125120000001</v>
      </c>
      <c r="AE37" s="76">
        <f t="shared" si="43"/>
        <v>624.91803278688519</v>
      </c>
      <c r="AF37" s="341">
        <f t="shared" si="44"/>
        <v>274.464</v>
      </c>
      <c r="AG37" s="342"/>
      <c r="AH37" s="76">
        <f t="shared" si="45"/>
        <v>22.872</v>
      </c>
      <c r="AI37" s="76">
        <f t="shared" si="15"/>
        <v>76.239999999999995</v>
      </c>
      <c r="AJ37" s="76">
        <f>J37*Pricing!Q33</f>
        <v>0</v>
      </c>
      <c r="AK37" s="76">
        <f>J37*Pricing!R33</f>
        <v>0</v>
      </c>
      <c r="AL37" s="76">
        <f t="shared" si="16"/>
        <v>2855.4050303999998</v>
      </c>
      <c r="AM37" s="77">
        <f t="shared" si="17"/>
        <v>0</v>
      </c>
      <c r="AN37" s="76">
        <f t="shared" si="18"/>
        <v>2284.3240243199998</v>
      </c>
      <c r="AO37" s="72">
        <f t="shared" si="19"/>
        <v>7933.4882835549306</v>
      </c>
      <c r="AP37" s="74">
        <f t="shared" si="20"/>
        <v>9916.8603544436628</v>
      </c>
      <c r="AQ37" s="74">
        <f t="shared" si="76"/>
        <v>0</v>
      </c>
      <c r="AR37" s="74">
        <f t="shared" si="22"/>
        <v>6729.0332087318875</v>
      </c>
      <c r="AS37" s="72">
        <f t="shared" si="23"/>
        <v>30661.790204718593</v>
      </c>
      <c r="AT37" s="72">
        <f t="shared" si="24"/>
        <v>11558.553208731888</v>
      </c>
      <c r="AU37" s="78">
        <f t="shared" si="77"/>
        <v>1073.8157941965708</v>
      </c>
      <c r="AV37" s="79">
        <f t="shared" si="26"/>
        <v>1.0888152530804593E-2</v>
      </c>
      <c r="AW37" s="80">
        <f t="shared" si="27"/>
        <v>242.87252340507914</v>
      </c>
      <c r="AX37" s="81">
        <f t="shared" si="28"/>
        <v>830.94327079149173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TOP HUNG WINDOW</v>
      </c>
      <c r="D38" s="131" t="str">
        <f>Pricing!B34</f>
        <v>W29</v>
      </c>
      <c r="E38" s="132" t="str">
        <f>Pricing!N34</f>
        <v>12MM (F)</v>
      </c>
      <c r="F38" s="68">
        <f>Pricing!G34</f>
        <v>916</v>
      </c>
      <c r="G38" s="68">
        <f>Pricing!H34</f>
        <v>1068</v>
      </c>
      <c r="H38" s="100">
        <f t="shared" si="0"/>
        <v>0.97828800000000005</v>
      </c>
      <c r="I38" s="70">
        <f>Pricing!I34</f>
        <v>1</v>
      </c>
      <c r="J38" s="69">
        <f t="shared" si="30"/>
        <v>0.97828800000000005</v>
      </c>
      <c r="K38" s="71">
        <f t="shared" si="31"/>
        <v>10.530292032</v>
      </c>
      <c r="L38" s="69"/>
      <c r="M38" s="72"/>
      <c r="N38" s="72"/>
      <c r="O38" s="72">
        <f t="shared" si="79"/>
        <v>0</v>
      </c>
      <c r="P38" s="73">
        <f>Pricing!M34</f>
        <v>16980.14</v>
      </c>
      <c r="Q38" s="74">
        <f t="shared" si="65"/>
        <v>1698.0140000000001</v>
      </c>
      <c r="R38" s="74">
        <f t="shared" si="66"/>
        <v>2054.5969399999999</v>
      </c>
      <c r="S38" s="74">
        <f t="shared" si="67"/>
        <v>103.6637547</v>
      </c>
      <c r="T38" s="74">
        <f t="shared" si="68"/>
        <v>208.36414694699997</v>
      </c>
      <c r="U38" s="72">
        <f t="shared" si="69"/>
        <v>21044.778841646996</v>
      </c>
      <c r="V38" s="74">
        <f t="shared" si="70"/>
        <v>315.67168262470494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2829.2088960000001</v>
      </c>
      <c r="AE38" s="76">
        <f t="shared" si="43"/>
        <v>325.24590163934425</v>
      </c>
      <c r="AF38" s="341">
        <f t="shared" si="44"/>
        <v>142.84800000000001</v>
      </c>
      <c r="AG38" s="342"/>
      <c r="AH38" s="76">
        <f t="shared" si="45"/>
        <v>11.904</v>
      </c>
      <c r="AI38" s="76">
        <f t="shared" si="15"/>
        <v>39.68</v>
      </c>
      <c r="AJ38" s="76">
        <f>J38*Pricing!Q34</f>
        <v>0</v>
      </c>
      <c r="AK38" s="76">
        <f>J38*Pricing!R34</f>
        <v>0</v>
      </c>
      <c r="AL38" s="76">
        <f t="shared" si="16"/>
        <v>1053.0292032</v>
      </c>
      <c r="AM38" s="77">
        <f t="shared" si="17"/>
        <v>0</v>
      </c>
      <c r="AN38" s="76">
        <f t="shared" si="18"/>
        <v>842.42336255999999</v>
      </c>
      <c r="AO38" s="72">
        <f t="shared" si="19"/>
        <v>21880.128425911047</v>
      </c>
      <c r="AP38" s="74">
        <f t="shared" si="20"/>
        <v>27350.160532388807</v>
      </c>
      <c r="AQ38" s="74">
        <f t="shared" si="76"/>
        <v>0</v>
      </c>
      <c r="AR38" s="74">
        <f t="shared" si="22"/>
        <v>50322.899757842119</v>
      </c>
      <c r="AS38" s="72">
        <f t="shared" si="23"/>
        <v>53954.950420059846</v>
      </c>
      <c r="AT38" s="72">
        <f t="shared" si="24"/>
        <v>55152.419757842108</v>
      </c>
      <c r="AU38" s="78">
        <f t="shared" si="77"/>
        <v>5123.7848158530387</v>
      </c>
      <c r="AV38" s="79">
        <f t="shared" si="26"/>
        <v>4.0153822178519705E-3</v>
      </c>
      <c r="AW38" s="80">
        <f t="shared" si="27"/>
        <v>2028.4765569046378</v>
      </c>
      <c r="AX38" s="81">
        <f t="shared" si="28"/>
        <v>3095.308258948402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TOP HUNG WINDOW WITH TOP FIXED</v>
      </c>
      <c r="D39" s="131" t="str">
        <f>Pricing!B35</f>
        <v>W30</v>
      </c>
      <c r="E39" s="132" t="str">
        <f>Pricing!N35</f>
        <v>12MM</v>
      </c>
      <c r="F39" s="68">
        <f>Pricing!G35</f>
        <v>916</v>
      </c>
      <c r="G39" s="68">
        <f>Pricing!H35</f>
        <v>1830</v>
      </c>
      <c r="H39" s="100">
        <f t="shared" si="0"/>
        <v>1.67628</v>
      </c>
      <c r="I39" s="70">
        <f>Pricing!I35</f>
        <v>1</v>
      </c>
      <c r="J39" s="69">
        <f t="shared" si="30"/>
        <v>1.67628</v>
      </c>
      <c r="K39" s="71">
        <f t="shared" si="31"/>
        <v>18.043477919999997</v>
      </c>
      <c r="L39" s="69"/>
      <c r="M39" s="72"/>
      <c r="N39" s="72"/>
      <c r="O39" s="72">
        <f t="shared" si="79"/>
        <v>0</v>
      </c>
      <c r="P39" s="73">
        <f>Pricing!M35</f>
        <v>20445.39</v>
      </c>
      <c r="Q39" s="74">
        <f t="shared" si="4"/>
        <v>2044.539</v>
      </c>
      <c r="R39" s="74">
        <f t="shared" si="5"/>
        <v>2473.89219</v>
      </c>
      <c r="S39" s="74">
        <f t="shared" si="6"/>
        <v>124.81910594999999</v>
      </c>
      <c r="T39" s="74">
        <f t="shared" si="7"/>
        <v>250.88640295949997</v>
      </c>
      <c r="U39" s="72">
        <f t="shared" si="8"/>
        <v>25339.526698909496</v>
      </c>
      <c r="V39" s="74">
        <f t="shared" si="9"/>
        <v>380.09290048364244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3168.1691999999998</v>
      </c>
      <c r="AE39" s="76">
        <f t="shared" si="43"/>
        <v>450.1639344262295</v>
      </c>
      <c r="AF39" s="341">
        <f t="shared" si="44"/>
        <v>197.71199999999999</v>
      </c>
      <c r="AG39" s="342"/>
      <c r="AH39" s="76">
        <f t="shared" si="45"/>
        <v>16.475999999999999</v>
      </c>
      <c r="AI39" s="76">
        <f t="shared" ref="AI39:AI44" si="80">(((F39+G39)*2*I39)/1000)*2*$AI$7</f>
        <v>54.92</v>
      </c>
      <c r="AJ39" s="76">
        <f>J39*Pricing!Q35</f>
        <v>0</v>
      </c>
      <c r="AK39" s="76">
        <f>J39*Pricing!R35</f>
        <v>0</v>
      </c>
      <c r="AL39" s="76">
        <f t="shared" si="16"/>
        <v>1804.3477919999998</v>
      </c>
      <c r="AM39" s="77">
        <f t="shared" si="17"/>
        <v>0</v>
      </c>
      <c r="AN39" s="76">
        <f t="shared" si="18"/>
        <v>1443.4782335999998</v>
      </c>
      <c r="AO39" s="72">
        <f t="shared" si="19"/>
        <v>26438.891533819369</v>
      </c>
      <c r="AP39" s="74">
        <f t="shared" si="20"/>
        <v>33048.614417274213</v>
      </c>
      <c r="AQ39" s="74">
        <f t="shared" si="21"/>
        <v>0</v>
      </c>
      <c r="AR39" s="74">
        <f t="shared" si="22"/>
        <v>35487.809883249567</v>
      </c>
      <c r="AS39" s="72">
        <f t="shared" si="23"/>
        <v>65903.501176693579</v>
      </c>
      <c r="AT39" s="72">
        <f t="shared" si="24"/>
        <v>39315.329883249564</v>
      </c>
      <c r="AU39" s="78">
        <f t="shared" si="25"/>
        <v>3652.4832667455935</v>
      </c>
      <c r="AV39" s="79">
        <f t="shared" si="26"/>
        <v>6.8802897553081506E-3</v>
      </c>
      <c r="AW39" s="80">
        <f t="shared" si="27"/>
        <v>1425.4247276177643</v>
      </c>
      <c r="AX39" s="81">
        <f t="shared" si="28"/>
        <v>2227.0585391278296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FIXED GLASS 2 NO'S</v>
      </c>
      <c r="D40" s="131" t="str">
        <f>Pricing!B36</f>
        <v>W31</v>
      </c>
      <c r="E40" s="132" t="str">
        <f>Pricing!N36</f>
        <v>12MM</v>
      </c>
      <c r="F40" s="68">
        <f>Pricing!G36</f>
        <v>3278</v>
      </c>
      <c r="G40" s="68">
        <f>Pricing!H36</f>
        <v>3302</v>
      </c>
      <c r="H40" s="100">
        <f t="shared" si="0"/>
        <v>10.823956000000001</v>
      </c>
      <c r="I40" s="70">
        <f>Pricing!I36</f>
        <v>1</v>
      </c>
      <c r="J40" s="69">
        <f t="shared" si="30"/>
        <v>10.823956000000001</v>
      </c>
      <c r="K40" s="71">
        <f t="shared" si="31"/>
        <v>116.509062384</v>
      </c>
      <c r="L40" s="69"/>
      <c r="M40" s="72"/>
      <c r="N40" s="72"/>
      <c r="O40" s="72">
        <f t="shared" si="79"/>
        <v>0</v>
      </c>
      <c r="P40" s="73">
        <f>Pricing!M36</f>
        <v>20890.27</v>
      </c>
      <c r="Q40" s="74">
        <f t="shared" si="4"/>
        <v>2089.027</v>
      </c>
      <c r="R40" s="74">
        <f t="shared" si="5"/>
        <v>2527.7226699999997</v>
      </c>
      <c r="S40" s="74">
        <f t="shared" si="6"/>
        <v>127.53509835</v>
      </c>
      <c r="T40" s="74">
        <f t="shared" si="7"/>
        <v>256.3455476835</v>
      </c>
      <c r="U40" s="72">
        <f t="shared" si="8"/>
        <v>25890.900316033498</v>
      </c>
      <c r="V40" s="74">
        <f t="shared" si="9"/>
        <v>388.36350474050244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20457.276840000002</v>
      </c>
      <c r="AE40" s="76">
        <f t="shared" si="43"/>
        <v>1078.688524590164</v>
      </c>
      <c r="AF40" s="341">
        <f t="shared" si="44"/>
        <v>473.76000000000005</v>
      </c>
      <c r="AG40" s="342"/>
      <c r="AH40" s="76">
        <f t="shared" si="45"/>
        <v>39.480000000000004</v>
      </c>
      <c r="AI40" s="76">
        <f t="shared" si="80"/>
        <v>131.6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11650.906238399999</v>
      </c>
      <c r="AM40" s="77">
        <f t="shared" ref="AM40:AM89" si="82">$AM$6*J40</f>
        <v>0</v>
      </c>
      <c r="AN40" s="76">
        <f t="shared" ref="AN40:AN89" si="83">$AN$6*J40</f>
        <v>9320.7249907200003</v>
      </c>
      <c r="AO40" s="72">
        <f t="shared" ref="AO40:AO89" si="84">SUM(U40:V40)+SUM(AC40:AI40)-AD40</f>
        <v>28002.79234536416</v>
      </c>
      <c r="AP40" s="74">
        <f t="shared" ref="AP40:AP89" si="85">AO40*$AP$6</f>
        <v>35003.490431705199</v>
      </c>
      <c r="AQ40" s="74">
        <f t="shared" si="21"/>
        <v>0</v>
      </c>
      <c r="AR40" s="74">
        <f t="shared" ref="AR40:AR57" si="86">SUM(AO40:AQ40)/J40</f>
        <v>5821.0032244282356</v>
      </c>
      <c r="AS40" s="72">
        <f t="shared" ref="AS40:AS57" si="87">SUM(AJ40:AQ40)+AD40+AB40</f>
        <v>104435.19084618936</v>
      </c>
      <c r="AT40" s="72">
        <f t="shared" ref="AT40:AT89" si="88">AS40/J40</f>
        <v>9648.5232244282361</v>
      </c>
      <c r="AU40" s="78">
        <f t="shared" si="25"/>
        <v>896.36967896955002</v>
      </c>
      <c r="AV40" s="79">
        <f t="shared" ref="AV40:AV71" si="89">K40/$K$109</f>
        <v>4.4426917686010814E-2</v>
      </c>
      <c r="AW40" s="80">
        <f t="shared" ref="AW40:AW89" si="90">(U40+V40)/(J40*10.764)</f>
        <v>225.5555343339789</v>
      </c>
      <c r="AX40" s="81">
        <f t="shared" ref="AX40:AX89" si="91">SUM(W40:AN40,AP40)/(J40*10.764)</f>
        <v>670.81414463557121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 2 NO'S</v>
      </c>
      <c r="D41" s="131" t="str">
        <f>Pricing!B37</f>
        <v>W32</v>
      </c>
      <c r="E41" s="132" t="str">
        <f>Pricing!N37</f>
        <v>12MM</v>
      </c>
      <c r="F41" s="68">
        <f>Pricing!G37</f>
        <v>3734</v>
      </c>
      <c r="G41" s="68">
        <f>Pricing!H37</f>
        <v>3302</v>
      </c>
      <c r="H41" s="100">
        <f t="shared" si="0"/>
        <v>12.329668</v>
      </c>
      <c r="I41" s="70">
        <f>Pricing!I37</f>
        <v>1</v>
      </c>
      <c r="J41" s="69">
        <f t="shared" si="30"/>
        <v>12.329668</v>
      </c>
      <c r="K41" s="71">
        <f t="shared" si="31"/>
        <v>132.71654635199999</v>
      </c>
      <c r="L41" s="69"/>
      <c r="M41" s="72"/>
      <c r="N41" s="72"/>
      <c r="O41" s="72">
        <f t="shared" si="79"/>
        <v>0</v>
      </c>
      <c r="P41" s="73">
        <f>Pricing!M37</f>
        <v>21487.040000000001</v>
      </c>
      <c r="Q41" s="74">
        <f t="shared" si="4"/>
        <v>2148.7040000000002</v>
      </c>
      <c r="R41" s="74">
        <f t="shared" si="5"/>
        <v>2599.9318400000002</v>
      </c>
      <c r="S41" s="74">
        <f t="shared" si="6"/>
        <v>131.17837920000002</v>
      </c>
      <c r="T41" s="74">
        <f t="shared" si="7"/>
        <v>263.66854219200002</v>
      </c>
      <c r="U41" s="72">
        <f t="shared" si="8"/>
        <v>26630.522761392003</v>
      </c>
      <c r="V41" s="74">
        <f t="shared" si="9"/>
        <v>399.45784142088002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23303.072520000002</v>
      </c>
      <c r="AE41" s="76">
        <f t="shared" si="43"/>
        <v>1153.4426229508197</v>
      </c>
      <c r="AF41" s="341">
        <f t="shared" si="44"/>
        <v>506.59199999999993</v>
      </c>
      <c r="AG41" s="342"/>
      <c r="AH41" s="76">
        <f t="shared" si="45"/>
        <v>42.215999999999994</v>
      </c>
      <c r="AI41" s="76">
        <f t="shared" si="80"/>
        <v>140.72</v>
      </c>
      <c r="AJ41" s="76">
        <f>J41*Pricing!Q37</f>
        <v>0</v>
      </c>
      <c r="AK41" s="76">
        <f>J41*Pricing!R37</f>
        <v>0</v>
      </c>
      <c r="AL41" s="76">
        <f t="shared" si="81"/>
        <v>13271.654635199999</v>
      </c>
      <c r="AM41" s="77">
        <f t="shared" si="82"/>
        <v>0</v>
      </c>
      <c r="AN41" s="76">
        <f t="shared" si="83"/>
        <v>10617.323708159998</v>
      </c>
      <c r="AO41" s="72">
        <f t="shared" si="84"/>
        <v>28872.951225763711</v>
      </c>
      <c r="AP41" s="74">
        <f t="shared" si="85"/>
        <v>36091.189032204638</v>
      </c>
      <c r="AQ41" s="74">
        <f t="shared" si="21"/>
        <v>0</v>
      </c>
      <c r="AR41" s="74">
        <f t="shared" si="86"/>
        <v>5268.9285922352774</v>
      </c>
      <c r="AS41" s="72">
        <f t="shared" si="87"/>
        <v>112156.19112132835</v>
      </c>
      <c r="AT41" s="72">
        <f t="shared" si="88"/>
        <v>9096.4485922352778</v>
      </c>
      <c r="AU41" s="78">
        <f t="shared" si="25"/>
        <v>845.08069418759555</v>
      </c>
      <c r="AV41" s="79">
        <f t="shared" si="89"/>
        <v>5.0607111238427198E-2</v>
      </c>
      <c r="AW41" s="80">
        <f t="shared" si="90"/>
        <v>203.66699816857877</v>
      </c>
      <c r="AX41" s="81">
        <f t="shared" si="91"/>
        <v>641.4136960190167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TOP HUNG WINDOW</v>
      </c>
      <c r="D42" s="131" t="str">
        <f>Pricing!B38</f>
        <v>W33</v>
      </c>
      <c r="E42" s="132" t="str">
        <f>Pricing!N38</f>
        <v>12MM (F)</v>
      </c>
      <c r="F42" s="68">
        <f>Pricing!G38</f>
        <v>500</v>
      </c>
      <c r="G42" s="68">
        <f>Pricing!H38</f>
        <v>1020</v>
      </c>
      <c r="H42" s="100">
        <f t="shared" si="0"/>
        <v>0.51</v>
      </c>
      <c r="I42" s="70">
        <f>Pricing!I38</f>
        <v>1</v>
      </c>
      <c r="J42" s="69">
        <f t="shared" si="30"/>
        <v>0.51</v>
      </c>
      <c r="K42" s="71">
        <f t="shared" si="31"/>
        <v>5.4896399999999996</v>
      </c>
      <c r="L42" s="69"/>
      <c r="M42" s="72"/>
      <c r="N42" s="72"/>
      <c r="O42" s="72">
        <f t="shared" si="79"/>
        <v>0</v>
      </c>
      <c r="P42" s="73">
        <f>Pricing!M38</f>
        <v>12514.74</v>
      </c>
      <c r="Q42" s="74">
        <f t="shared" si="4"/>
        <v>1251.4740000000002</v>
      </c>
      <c r="R42" s="74">
        <f t="shared" si="5"/>
        <v>1514.2835399999999</v>
      </c>
      <c r="S42" s="74">
        <f t="shared" si="6"/>
        <v>76.402487700000009</v>
      </c>
      <c r="T42" s="74">
        <f t="shared" si="7"/>
        <v>153.56900027699999</v>
      </c>
      <c r="U42" s="72">
        <f t="shared" si="8"/>
        <v>15510.469027977</v>
      </c>
      <c r="V42" s="74">
        <f t="shared" si="9"/>
        <v>232.65703541965499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1474.92</v>
      </c>
      <c r="AE42" s="76">
        <f t="shared" si="43"/>
        <v>249.18032786885246</v>
      </c>
      <c r="AF42" s="341">
        <f t="shared" si="44"/>
        <v>109.44</v>
      </c>
      <c r="AG42" s="342"/>
      <c r="AH42" s="76">
        <f t="shared" si="45"/>
        <v>9.120000000000001</v>
      </c>
      <c r="AI42" s="76">
        <f t="shared" si="80"/>
        <v>30.4</v>
      </c>
      <c r="AJ42" s="76">
        <f>J42*Pricing!Q38</f>
        <v>0</v>
      </c>
      <c r="AK42" s="76">
        <f>J42*Pricing!R38</f>
        <v>0</v>
      </c>
      <c r="AL42" s="76">
        <f t="shared" si="81"/>
        <v>548.96399999999994</v>
      </c>
      <c r="AM42" s="77">
        <f t="shared" si="82"/>
        <v>0</v>
      </c>
      <c r="AN42" s="76">
        <f t="shared" si="83"/>
        <v>439.17119999999994</v>
      </c>
      <c r="AO42" s="72">
        <f t="shared" si="84"/>
        <v>16141.26639126551</v>
      </c>
      <c r="AP42" s="74">
        <f t="shared" si="85"/>
        <v>20176.582989081886</v>
      </c>
      <c r="AQ42" s="74">
        <f t="shared" si="21"/>
        <v>0</v>
      </c>
      <c r="AR42" s="74">
        <f t="shared" si="86"/>
        <v>71211.469373230197</v>
      </c>
      <c r="AS42" s="72">
        <f t="shared" si="87"/>
        <v>38780.904580347393</v>
      </c>
      <c r="AT42" s="72">
        <f t="shared" si="88"/>
        <v>76040.989373230186</v>
      </c>
      <c r="AU42" s="78">
        <f t="shared" si="25"/>
        <v>7064.3802836520063</v>
      </c>
      <c r="AV42" s="79">
        <f t="shared" si="89"/>
        <v>2.0932945422048569E-3</v>
      </c>
      <c r="AW42" s="80">
        <f t="shared" si="90"/>
        <v>2867.7884275465526</v>
      </c>
      <c r="AX42" s="81">
        <f t="shared" si="91"/>
        <v>4196.5918561054532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 2 NO'S</v>
      </c>
      <c r="D43" s="131" t="str">
        <f>Pricing!B39</f>
        <v>W34</v>
      </c>
      <c r="E43" s="132" t="str">
        <f>Pricing!N39</f>
        <v>12MM</v>
      </c>
      <c r="F43" s="68">
        <f>Pricing!G39</f>
        <v>3200</v>
      </c>
      <c r="G43" s="68">
        <f>Pricing!H39</f>
        <v>2600</v>
      </c>
      <c r="H43" s="100">
        <f t="shared" si="0"/>
        <v>8.32</v>
      </c>
      <c r="I43" s="70">
        <f>Pricing!I39</f>
        <v>1</v>
      </c>
      <c r="J43" s="69">
        <f t="shared" si="30"/>
        <v>8.32</v>
      </c>
      <c r="K43" s="71">
        <f t="shared" si="31"/>
        <v>89.556479999999993</v>
      </c>
      <c r="L43" s="69"/>
      <c r="M43" s="72"/>
      <c r="N43" s="72"/>
      <c r="O43" s="72">
        <f t="shared" si="79"/>
        <v>0</v>
      </c>
      <c r="P43" s="73">
        <f>Pricing!M39</f>
        <v>14627.089999999998</v>
      </c>
      <c r="Q43" s="74">
        <f t="shared" si="4"/>
        <v>1462.7089999999998</v>
      </c>
      <c r="R43" s="74">
        <f t="shared" si="5"/>
        <v>1769.87789</v>
      </c>
      <c r="S43" s="74">
        <f t="shared" si="6"/>
        <v>89.29838445</v>
      </c>
      <c r="T43" s="74">
        <f t="shared" si="7"/>
        <v>179.48975274450001</v>
      </c>
      <c r="U43" s="72">
        <f t="shared" si="8"/>
        <v>18128.465027194499</v>
      </c>
      <c r="V43" s="74">
        <f t="shared" si="9"/>
        <v>271.9269754079175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15724.800000000001</v>
      </c>
      <c r="AE43" s="76">
        <f t="shared" si="43"/>
        <v>950.81967213114763</v>
      </c>
      <c r="AF43" s="341">
        <f t="shared" si="44"/>
        <v>417.59999999999997</v>
      </c>
      <c r="AG43" s="342"/>
      <c r="AH43" s="76">
        <f t="shared" si="45"/>
        <v>34.799999999999997</v>
      </c>
      <c r="AI43" s="76">
        <f t="shared" si="80"/>
        <v>116</v>
      </c>
      <c r="AJ43" s="76">
        <f>J43*Pricing!Q39</f>
        <v>0</v>
      </c>
      <c r="AK43" s="76">
        <f>J43*Pricing!R39</f>
        <v>0</v>
      </c>
      <c r="AL43" s="76">
        <f t="shared" si="81"/>
        <v>8955.6479999999992</v>
      </c>
      <c r="AM43" s="77">
        <f t="shared" si="82"/>
        <v>0</v>
      </c>
      <c r="AN43" s="76">
        <f t="shared" si="83"/>
        <v>7164.518399999999</v>
      </c>
      <c r="AO43" s="72">
        <f t="shared" si="84"/>
        <v>19919.611674733562</v>
      </c>
      <c r="AP43" s="74">
        <f t="shared" si="85"/>
        <v>24899.514593416952</v>
      </c>
      <c r="AQ43" s="74">
        <f t="shared" si="21"/>
        <v>0</v>
      </c>
      <c r="AR43" s="74">
        <f t="shared" si="86"/>
        <v>5386.9142149219369</v>
      </c>
      <c r="AS43" s="72">
        <f t="shared" si="87"/>
        <v>76664.092668150523</v>
      </c>
      <c r="AT43" s="72">
        <f t="shared" si="88"/>
        <v>9214.4342149219374</v>
      </c>
      <c r="AU43" s="78">
        <f t="shared" si="25"/>
        <v>856.04182598680211</v>
      </c>
      <c r="AV43" s="79">
        <f t="shared" si="89"/>
        <v>3.4149432531655699E-2</v>
      </c>
      <c r="AW43" s="80">
        <f t="shared" si="90"/>
        <v>205.46131338125861</v>
      </c>
      <c r="AX43" s="81">
        <f t="shared" si="91"/>
        <v>650.58051260554339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FIXED GLASS</v>
      </c>
      <c r="D44" s="131" t="str">
        <f>Pricing!B40</f>
        <v>W35</v>
      </c>
      <c r="E44" s="132" t="str">
        <f>Pricing!N40</f>
        <v>12MM</v>
      </c>
      <c r="F44" s="68">
        <f>Pricing!G40</f>
        <v>2300</v>
      </c>
      <c r="G44" s="68">
        <f>Pricing!H40</f>
        <v>2600</v>
      </c>
      <c r="H44" s="100">
        <f t="shared" si="0"/>
        <v>5.98</v>
      </c>
      <c r="I44" s="70">
        <f>Pricing!I40</f>
        <v>1</v>
      </c>
      <c r="J44" s="69">
        <f t="shared" si="30"/>
        <v>5.98</v>
      </c>
      <c r="K44" s="71">
        <f t="shared" si="31"/>
        <v>64.368719999999996</v>
      </c>
      <c r="L44" s="69"/>
      <c r="M44" s="72"/>
      <c r="N44" s="72"/>
      <c r="O44" s="72">
        <f t="shared" si="79"/>
        <v>0</v>
      </c>
      <c r="P44" s="73">
        <f>Pricing!M40</f>
        <v>6948.76</v>
      </c>
      <c r="Q44" s="74">
        <f t="shared" si="4"/>
        <v>694.87600000000009</v>
      </c>
      <c r="R44" s="74">
        <f t="shared" si="5"/>
        <v>840.79996000000006</v>
      </c>
      <c r="S44" s="74">
        <f t="shared" si="6"/>
        <v>42.422179800000002</v>
      </c>
      <c r="T44" s="74">
        <f t="shared" si="7"/>
        <v>85.268581398000009</v>
      </c>
      <c r="U44" s="72">
        <f t="shared" si="8"/>
        <v>8612.1267211980012</v>
      </c>
      <c r="V44" s="74">
        <f t="shared" si="9"/>
        <v>129.18190081797002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11302.2</v>
      </c>
      <c r="AE44" s="76">
        <f t="shared" si="43"/>
        <v>803.27868852459017</v>
      </c>
      <c r="AF44" s="341">
        <f t="shared" si="44"/>
        <v>352.79999999999995</v>
      </c>
      <c r="AG44" s="342"/>
      <c r="AH44" s="76">
        <f t="shared" si="45"/>
        <v>29.400000000000002</v>
      </c>
      <c r="AI44" s="76">
        <f t="shared" si="80"/>
        <v>98</v>
      </c>
      <c r="AJ44" s="76">
        <f>J44*Pricing!Q40</f>
        <v>0</v>
      </c>
      <c r="AK44" s="76">
        <f>J44*Pricing!R40</f>
        <v>0</v>
      </c>
      <c r="AL44" s="76">
        <f t="shared" si="81"/>
        <v>6436.8719999999994</v>
      </c>
      <c r="AM44" s="77">
        <f t="shared" si="82"/>
        <v>0</v>
      </c>
      <c r="AN44" s="76">
        <f t="shared" si="83"/>
        <v>5149.4975999999997</v>
      </c>
      <c r="AO44" s="72">
        <f t="shared" si="84"/>
        <v>10024.78731054056</v>
      </c>
      <c r="AP44" s="74">
        <f t="shared" si="85"/>
        <v>12530.9841381757</v>
      </c>
      <c r="AQ44" s="74">
        <f t="shared" si="21"/>
        <v>0</v>
      </c>
      <c r="AR44" s="74">
        <f t="shared" si="86"/>
        <v>3771.8681352368326</v>
      </c>
      <c r="AS44" s="72">
        <f t="shared" si="87"/>
        <v>45444.341048716262</v>
      </c>
      <c r="AT44" s="72">
        <f t="shared" si="88"/>
        <v>7599.3881352368326</v>
      </c>
      <c r="AU44" s="78">
        <f t="shared" si="25"/>
        <v>706.00038417287556</v>
      </c>
      <c r="AV44" s="79">
        <f t="shared" si="89"/>
        <v>2.4544904632127534E-2</v>
      </c>
      <c r="AW44" s="80">
        <f t="shared" si="90"/>
        <v>135.80056620693983</v>
      </c>
      <c r="AX44" s="81">
        <f t="shared" si="91"/>
        <v>570.19981796593572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3">
        <f t="shared" si="44"/>
        <v>0</v>
      </c>
      <c r="AG57" s="34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1">
        <f t="shared" ref="AF59:AF107" si="128">(((((F59*4)+(G59*4))/1000)*$AF$6*$AG$6)/300)*I59*$AF$7</f>
        <v>0</v>
      </c>
      <c r="AG59" s="342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1">
        <f t="shared" si="128"/>
        <v>0</v>
      </c>
      <c r="AG60" s="342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1">
        <f t="shared" si="128"/>
        <v>0</v>
      </c>
      <c r="AG61" s="342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1">
        <f t="shared" si="128"/>
        <v>0</v>
      </c>
      <c r="AG62" s="342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1">
        <f t="shared" si="128"/>
        <v>0</v>
      </c>
      <c r="AG63" s="342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1">
        <f t="shared" si="128"/>
        <v>0</v>
      </c>
      <c r="AG64" s="342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1">
        <f t="shared" si="128"/>
        <v>0</v>
      </c>
      <c r="AG65" s="342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1">
        <f t="shared" si="128"/>
        <v>0</v>
      </c>
      <c r="AG66" s="342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1">
        <f t="shared" si="128"/>
        <v>0</v>
      </c>
      <c r="AG67" s="342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1">
        <f t="shared" si="128"/>
        <v>0</v>
      </c>
      <c r="AG68" s="342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1">
        <f t="shared" si="128"/>
        <v>0</v>
      </c>
      <c r="AG69" s="342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1">
        <f t="shared" si="128"/>
        <v>0</v>
      </c>
      <c r="AG70" s="342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1">
        <f t="shared" si="128"/>
        <v>0</v>
      </c>
      <c r="AG71" s="342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1">
        <f t="shared" si="128"/>
        <v>0</v>
      </c>
      <c r="AG72" s="342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1">
        <f t="shared" si="128"/>
        <v>0</v>
      </c>
      <c r="AG73" s="342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1">
        <f t="shared" si="128"/>
        <v>0</v>
      </c>
      <c r="AG74" s="342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1">
        <f t="shared" si="128"/>
        <v>0</v>
      </c>
      <c r="AG75" s="342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1">
        <f t="shared" si="128"/>
        <v>0</v>
      </c>
      <c r="AG76" s="342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1">
        <f t="shared" si="128"/>
        <v>0</v>
      </c>
      <c r="AG77" s="342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1">
        <f t="shared" si="128"/>
        <v>0</v>
      </c>
      <c r="AG78" s="342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1">
        <f t="shared" si="128"/>
        <v>0</v>
      </c>
      <c r="AG79" s="342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1">
        <f t="shared" si="128"/>
        <v>0</v>
      </c>
      <c r="AG80" s="342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1">
        <f t="shared" si="128"/>
        <v>0</v>
      </c>
      <c r="AG81" s="342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1">
        <f t="shared" si="128"/>
        <v>0</v>
      </c>
      <c r="AG82" s="342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1">
        <f t="shared" si="128"/>
        <v>0</v>
      </c>
      <c r="AG83" s="342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1">
        <f t="shared" si="128"/>
        <v>0</v>
      </c>
      <c r="AG84" s="342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1">
        <f t="shared" si="128"/>
        <v>0</v>
      </c>
      <c r="AG85" s="342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1">
        <f t="shared" si="128"/>
        <v>0</v>
      </c>
      <c r="AG86" s="342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1">
        <f t="shared" si="128"/>
        <v>0</v>
      </c>
      <c r="AG87" s="342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1">
        <f t="shared" si="128"/>
        <v>0</v>
      </c>
      <c r="AG88" s="342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1">
        <f t="shared" si="128"/>
        <v>0</v>
      </c>
      <c r="AG89" s="342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1">
        <f t="shared" si="128"/>
        <v>0</v>
      </c>
      <c r="AG90" s="342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1">
        <f t="shared" si="128"/>
        <v>0</v>
      </c>
      <c r="AG91" s="342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1">
        <f t="shared" si="128"/>
        <v>0</v>
      </c>
      <c r="AG92" s="342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1">
        <f t="shared" si="128"/>
        <v>0</v>
      </c>
      <c r="AG93" s="342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1">
        <f t="shared" si="128"/>
        <v>0</v>
      </c>
      <c r="AG94" s="342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1">
        <f t="shared" si="128"/>
        <v>0</v>
      </c>
      <c r="AG95" s="342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1">
        <f t="shared" si="128"/>
        <v>0</v>
      </c>
      <c r="AG96" s="342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1">
        <f t="shared" si="128"/>
        <v>0</v>
      </c>
      <c r="AG97" s="342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1">
        <f t="shared" si="128"/>
        <v>0</v>
      </c>
      <c r="AG98" s="342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1">
        <f t="shared" si="128"/>
        <v>0</v>
      </c>
      <c r="AG99" s="342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1">
        <f t="shared" si="128"/>
        <v>0</v>
      </c>
      <c r="AG100" s="342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1">
        <f t="shared" si="128"/>
        <v>0</v>
      </c>
      <c r="AG101" s="342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1">
        <f t="shared" si="128"/>
        <v>0</v>
      </c>
      <c r="AG102" s="342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1">
        <f t="shared" si="128"/>
        <v>0</v>
      </c>
      <c r="AG103" s="342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1">
        <f t="shared" si="128"/>
        <v>0</v>
      </c>
      <c r="AG104" s="342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1">
        <f t="shared" si="128"/>
        <v>0</v>
      </c>
      <c r="AG105" s="342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1">
        <f t="shared" si="128"/>
        <v>0</v>
      </c>
      <c r="AG106" s="342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3">
        <f t="shared" si="128"/>
        <v>0</v>
      </c>
      <c r="AG107" s="34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9" t="s">
        <v>5</v>
      </c>
      <c r="C109" s="350"/>
      <c r="D109" s="350"/>
      <c r="E109" s="350"/>
      <c r="F109" s="350"/>
      <c r="G109" s="351"/>
      <c r="H109" s="149">
        <f>SUM(H8:H108)</f>
        <v>232.59070399999996</v>
      </c>
      <c r="I109" s="87">
        <f>SUM(I8:I108)</f>
        <v>44</v>
      </c>
      <c r="J109" s="88">
        <f>SUM(J8:J108)</f>
        <v>243.63508799999997</v>
      </c>
      <c r="K109" s="89">
        <f>SUM(K8:K108)</f>
        <v>2622.488087232</v>
      </c>
      <c r="L109" s="88">
        <f>SUM(L8:L8)</f>
        <v>0</v>
      </c>
      <c r="M109" s="88"/>
      <c r="N109" s="88"/>
      <c r="O109" s="88"/>
      <c r="P109" s="87">
        <f>SUM(P8:P108)</f>
        <v>1041288.12</v>
      </c>
      <c r="Q109" s="88">
        <f t="shared" ref="Q109:AE109" si="156">SUM(Q8:Q108)</f>
        <v>104128.81199999999</v>
      </c>
      <c r="R109" s="88">
        <f t="shared" si="156"/>
        <v>125995.86252000002</v>
      </c>
      <c r="S109" s="88">
        <f t="shared" si="156"/>
        <v>6357.0639726000009</v>
      </c>
      <c r="T109" s="88">
        <f t="shared" si="156"/>
        <v>12777.698584926002</v>
      </c>
      <c r="U109" s="88">
        <f t="shared" si="156"/>
        <v>1290547.5570775261</v>
      </c>
      <c r="V109" s="88">
        <f t="shared" si="156"/>
        <v>19358.213356162894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482657.86906399991</v>
      </c>
      <c r="AE109" s="88">
        <f t="shared" si="156"/>
        <v>33434.098360655735</v>
      </c>
      <c r="AF109" s="352">
        <f>SUM(AF8:AG108)</f>
        <v>14684.256000000005</v>
      </c>
      <c r="AG109" s="353"/>
      <c r="AH109" s="88">
        <f t="shared" ref="AH109:AQ109" si="157">SUM(AH8:AH108)</f>
        <v>1223.6879999999999</v>
      </c>
      <c r="AI109" s="88">
        <f t="shared" si="157"/>
        <v>4078.9599999999991</v>
      </c>
      <c r="AJ109" s="88">
        <f t="shared" ref="AJ109" si="158">SUM(AJ8:AJ108)</f>
        <v>5968.4894567999991</v>
      </c>
      <c r="AK109" s="88">
        <f t="shared" si="157"/>
        <v>179600.7758688</v>
      </c>
      <c r="AL109" s="88">
        <f t="shared" si="157"/>
        <v>262248.80872319988</v>
      </c>
      <c r="AM109" s="88">
        <f t="shared" si="157"/>
        <v>0</v>
      </c>
      <c r="AN109" s="88">
        <f t="shared" si="157"/>
        <v>209799.04697855993</v>
      </c>
      <c r="AO109" s="88">
        <f t="shared" si="157"/>
        <v>1363326.772794344</v>
      </c>
      <c r="AP109" s="88">
        <f t="shared" si="157"/>
        <v>1704158.4659929308</v>
      </c>
      <c r="AQ109" s="88">
        <f t="shared" si="157"/>
        <v>0</v>
      </c>
      <c r="AR109" s="88"/>
      <c r="AS109" s="87">
        <f>SUM(AS8:AS108)</f>
        <v>4207760.2288786341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14684.256000000005</v>
      </c>
      <c r="AW110" s="84"/>
    </row>
    <row r="111" spans="2:54">
      <c r="AF111" s="174"/>
      <c r="AG111" s="174"/>
      <c r="AH111" s="174">
        <f>SUM(AE109:AI109,AC109)</f>
        <v>53421.002360655737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P6" sqref="P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4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/>
    </row>
    <row r="2" spans="2:15" ht="23.25" customHeight="1">
      <c r="B2" s="427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23.25" customHeight="1">
      <c r="B3" s="427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9"/>
    </row>
    <row r="4" spans="2:15" ht="30" customHeight="1">
      <c r="B4" s="427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9"/>
    </row>
    <row r="5" spans="2:15" ht="30" customHeight="1" thickBot="1">
      <c r="B5" s="427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9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ABPL-DE-19.20-2116</v>
      </c>
      <c r="N6" s="473"/>
    </row>
    <row r="7" spans="2:15" ht="24.95" customHeight="1">
      <c r="B7" s="489" t="s">
        <v>126</v>
      </c>
      <c r="C7" s="490"/>
      <c r="D7" s="490"/>
      <c r="E7" s="490"/>
      <c r="F7" s="433" t="str">
        <f>'BD Team'!E2</f>
        <v>Mr. Balaji residence</v>
      </c>
      <c r="G7" s="433"/>
      <c r="H7" s="433"/>
      <c r="I7" s="433"/>
      <c r="J7" s="434"/>
      <c r="K7" s="497" t="s">
        <v>104</v>
      </c>
      <c r="L7" s="490"/>
      <c r="M7" s="495">
        <f>'BD Team'!J3</f>
        <v>43664</v>
      </c>
      <c r="N7" s="496"/>
    </row>
    <row r="8" spans="2:15" ht="24.95" customHeight="1">
      <c r="B8" s="489" t="s">
        <v>127</v>
      </c>
      <c r="C8" s="490"/>
      <c r="D8" s="490"/>
      <c r="E8" s="490"/>
      <c r="F8" s="215" t="str">
        <f>'BD Team'!E3</f>
        <v>Hyderabad</v>
      </c>
      <c r="G8" s="481" t="s">
        <v>180</v>
      </c>
      <c r="H8" s="482"/>
      <c r="I8" s="433" t="str">
        <f>'BD Team'!G3</f>
        <v>1.5Kpa</v>
      </c>
      <c r="J8" s="434"/>
      <c r="K8" s="497" t="s">
        <v>105</v>
      </c>
      <c r="L8" s="490"/>
      <c r="M8" s="178" t="s">
        <v>365</v>
      </c>
      <c r="N8" s="179">
        <v>43664</v>
      </c>
    </row>
    <row r="9" spans="2:15" ht="24.95" customHeight="1">
      <c r="B9" s="489" t="s">
        <v>169</v>
      </c>
      <c r="C9" s="490"/>
      <c r="D9" s="490"/>
      <c r="E9" s="490"/>
      <c r="F9" s="433" t="str">
        <f>'BD Team'!E4</f>
        <v>Mr.  Ranjith : 8008103068</v>
      </c>
      <c r="G9" s="433"/>
      <c r="H9" s="433"/>
      <c r="I9" s="433"/>
      <c r="J9" s="434"/>
      <c r="K9" s="497" t="s">
        <v>179</v>
      </c>
      <c r="L9" s="490"/>
      <c r="M9" s="474" t="str">
        <f>'BD Team'!J4</f>
        <v>Mahesh</v>
      </c>
      <c r="N9" s="475"/>
    </row>
    <row r="10" spans="2:15" ht="27.75" customHeight="1" thickBot="1">
      <c r="B10" s="491" t="s">
        <v>177</v>
      </c>
      <c r="C10" s="492"/>
      <c r="D10" s="492"/>
      <c r="E10" s="492"/>
      <c r="F10" s="217" t="str">
        <f>'BD Team'!E5</f>
        <v>Anodised</v>
      </c>
      <c r="G10" s="502" t="s">
        <v>178</v>
      </c>
      <c r="H10" s="503"/>
      <c r="I10" s="500" t="str">
        <f>'BD Team'!G5</f>
        <v>Silver</v>
      </c>
      <c r="J10" s="501"/>
      <c r="K10" s="498" t="s">
        <v>375</v>
      </c>
      <c r="L10" s="499"/>
      <c r="M10" s="493">
        <f>'BD Team'!J5</f>
        <v>0</v>
      </c>
      <c r="N10" s="494"/>
    </row>
    <row r="11" spans="2:15" ht="19.5" thickTop="1">
      <c r="B11" s="430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2"/>
    </row>
    <row r="12" spans="2:15" s="93" customFormat="1" ht="19.5" thickBot="1">
      <c r="B12" s="430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2"/>
    </row>
    <row r="13" spans="2:15" s="93" customFormat="1" ht="18" customHeight="1" thickTop="1" thickBot="1">
      <c r="B13" s="483" t="s">
        <v>170</v>
      </c>
      <c r="C13" s="484"/>
      <c r="D13" s="487" t="s">
        <v>171</v>
      </c>
      <c r="E13" s="487" t="s">
        <v>172</v>
      </c>
      <c r="F13" s="487" t="s">
        <v>37</v>
      </c>
      <c r="G13" s="485" t="s">
        <v>63</v>
      </c>
      <c r="H13" s="485" t="s">
        <v>210</v>
      </c>
      <c r="I13" s="485" t="s">
        <v>209</v>
      </c>
      <c r="J13" s="486" t="s">
        <v>173</v>
      </c>
      <c r="K13" s="486" t="s">
        <v>174</v>
      </c>
      <c r="L13" s="484" t="s">
        <v>211</v>
      </c>
      <c r="M13" s="486" t="s">
        <v>175</v>
      </c>
      <c r="N13" s="488" t="s">
        <v>176</v>
      </c>
    </row>
    <row r="14" spans="2:15" s="94" customFormat="1" ht="18" customHeight="1" thickTop="1" thickBot="1">
      <c r="B14" s="483"/>
      <c r="C14" s="484"/>
      <c r="D14" s="487"/>
      <c r="E14" s="487"/>
      <c r="F14" s="487"/>
      <c r="G14" s="485"/>
      <c r="H14" s="485"/>
      <c r="I14" s="485"/>
      <c r="J14" s="486"/>
      <c r="K14" s="486"/>
      <c r="L14" s="484"/>
      <c r="M14" s="486"/>
      <c r="N14" s="488"/>
    </row>
    <row r="15" spans="2:15" s="94" customFormat="1" ht="26.25" customHeight="1" thickTop="1" thickBot="1">
      <c r="B15" s="483"/>
      <c r="C15" s="484"/>
      <c r="D15" s="487"/>
      <c r="E15" s="487"/>
      <c r="F15" s="487"/>
      <c r="G15" s="485"/>
      <c r="H15" s="485"/>
      <c r="I15" s="485"/>
      <c r="J15" s="486"/>
      <c r="K15" s="486"/>
      <c r="L15" s="484"/>
      <c r="M15" s="486"/>
      <c r="N15" s="488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W1</v>
      </c>
      <c r="E16" s="187" t="str">
        <f>Pricing!C4</f>
        <v>M15000</v>
      </c>
      <c r="F16" s="187" t="str">
        <f>Pricing!D4</f>
        <v>FIXED GLASS 2 NO'S</v>
      </c>
      <c r="G16" s="187" t="str">
        <f>Pricing!N4</f>
        <v>12MM</v>
      </c>
      <c r="H16" s="187" t="str">
        <f>Pricing!F4</f>
        <v>GF - DRAWING</v>
      </c>
      <c r="I16" s="216" t="str">
        <f>Pricing!E4</f>
        <v>NO</v>
      </c>
      <c r="J16" s="216">
        <f>Pricing!G4</f>
        <v>7392</v>
      </c>
      <c r="K16" s="216">
        <f>Pricing!H4</f>
        <v>1220</v>
      </c>
      <c r="L16" s="216">
        <f>Pricing!I4</f>
        <v>1</v>
      </c>
      <c r="M16" s="188">
        <f t="shared" ref="M16:M24" si="0">J16*K16*L16/1000000</f>
        <v>9.0182400000000005</v>
      </c>
      <c r="N16" s="189">
        <f>'Cost Calculation'!AS8</f>
        <v>82962.553189894199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W2</v>
      </c>
      <c r="E17" s="187" t="str">
        <f>Pricing!C5</f>
        <v>M15000</v>
      </c>
      <c r="F17" s="187" t="str">
        <f>Pricing!D5</f>
        <v>FIXED GLASS 2 NO'S</v>
      </c>
      <c r="G17" s="187" t="str">
        <f>Pricing!N5</f>
        <v>12MM</v>
      </c>
      <c r="H17" s="187" t="str">
        <f>Pricing!F5</f>
        <v>GF - DRAWING OPEN TO SKY</v>
      </c>
      <c r="I17" s="216" t="str">
        <f>Pricing!E5</f>
        <v>NO</v>
      </c>
      <c r="J17" s="216">
        <f>Pricing!G5</f>
        <v>4192</v>
      </c>
      <c r="K17" s="216">
        <f>Pricing!H5</f>
        <v>3506</v>
      </c>
      <c r="L17" s="216">
        <f>Pricing!I5</f>
        <v>1</v>
      </c>
      <c r="M17" s="188">
        <f t="shared" si="0"/>
        <v>14.697152000000001</v>
      </c>
      <c r="N17" s="189">
        <f>'Cost Calculation'!AS9</f>
        <v>129863.20913042153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W3</v>
      </c>
      <c r="E18" s="187" t="str">
        <f>Pricing!C6</f>
        <v>M14600</v>
      </c>
      <c r="F18" s="187" t="str">
        <f>Pricing!D6</f>
        <v>3 TRACK 2 SHUTTER SLIDING WINDOW</v>
      </c>
      <c r="G18" s="187" t="str">
        <f>Pricing!N6</f>
        <v>10MM</v>
      </c>
      <c r="H18" s="187" t="str">
        <f>Pricing!F6</f>
        <v>GF - WET KITCHEN</v>
      </c>
      <c r="I18" s="216" t="str">
        <f>Pricing!E6</f>
        <v>SS</v>
      </c>
      <c r="J18" s="216">
        <f>Pricing!G6</f>
        <v>1830</v>
      </c>
      <c r="K18" s="216">
        <f>Pricing!H6</f>
        <v>610</v>
      </c>
      <c r="L18" s="216">
        <f>Pricing!I6</f>
        <v>1</v>
      </c>
      <c r="M18" s="188">
        <f t="shared" si="0"/>
        <v>1.1163000000000001</v>
      </c>
      <c r="N18" s="189">
        <f>'Cost Calculation'!AS10</f>
        <v>64730.27933834037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W4</v>
      </c>
      <c r="E19" s="187" t="str">
        <f>Pricing!C7</f>
        <v>M15000</v>
      </c>
      <c r="F19" s="187" t="str">
        <f>Pricing!D7</f>
        <v>FIXED GLASS</v>
      </c>
      <c r="G19" s="187" t="str">
        <f>Pricing!N7</f>
        <v>12MM</v>
      </c>
      <c r="H19" s="187" t="str">
        <f>Pricing!F7</f>
        <v>GF - OPEN KITCHEN</v>
      </c>
      <c r="I19" s="216" t="str">
        <f>Pricing!E7</f>
        <v>NO</v>
      </c>
      <c r="J19" s="216">
        <f>Pricing!G7</f>
        <v>1830</v>
      </c>
      <c r="K19" s="216">
        <f>Pricing!H7</f>
        <v>2896</v>
      </c>
      <c r="L19" s="216">
        <f>Pricing!I7</f>
        <v>1</v>
      </c>
      <c r="M19" s="188">
        <f t="shared" si="0"/>
        <v>5.2996800000000004</v>
      </c>
      <c r="N19" s="189">
        <f>'Cost Calculation'!AS11</f>
        <v>42094.160048624086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W4A</v>
      </c>
      <c r="E20" s="187" t="str">
        <f>Pricing!C8</f>
        <v>M14600</v>
      </c>
      <c r="F20" s="187" t="str">
        <f>Pricing!D8</f>
        <v>2 TRACK 4 SHUTTER SLIDING DOOR</v>
      </c>
      <c r="G20" s="187" t="str">
        <f>Pricing!N8</f>
        <v>10MM</v>
      </c>
      <c r="H20" s="187" t="str">
        <f>Pricing!F8</f>
        <v>GF - OPEN KITCHEN / DINING</v>
      </c>
      <c r="I20" s="216" t="str">
        <f>Pricing!E8</f>
        <v>RETRACTABLE</v>
      </c>
      <c r="J20" s="216">
        <f>Pricing!G8</f>
        <v>4268</v>
      </c>
      <c r="K20" s="216">
        <f>Pricing!H8</f>
        <v>2896</v>
      </c>
      <c r="L20" s="216">
        <f>Pricing!I8</f>
        <v>1</v>
      </c>
      <c r="M20" s="188">
        <f t="shared" si="0"/>
        <v>12.360128</v>
      </c>
      <c r="N20" s="189">
        <f>'Cost Calculation'!AS12</f>
        <v>401705.92323033483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W5</v>
      </c>
      <c r="E21" s="187" t="str">
        <f>Pricing!C9</f>
        <v>M15000</v>
      </c>
      <c r="F21" s="187" t="str">
        <f>Pricing!D9</f>
        <v>TOP HUNG WINDOW</v>
      </c>
      <c r="G21" s="187" t="str">
        <f>Pricing!N9</f>
        <v>12MM (F)</v>
      </c>
      <c r="H21" s="187" t="str">
        <f>Pricing!F9</f>
        <v>GF - TOILET</v>
      </c>
      <c r="I21" s="216" t="str">
        <f>Pricing!E9</f>
        <v>NO</v>
      </c>
      <c r="J21" s="216">
        <f>Pricing!G9</f>
        <v>610</v>
      </c>
      <c r="K21" s="216">
        <f>Pricing!H9</f>
        <v>1068</v>
      </c>
      <c r="L21" s="216">
        <f>Pricing!I9</f>
        <v>1</v>
      </c>
      <c r="M21" s="188">
        <f t="shared" si="0"/>
        <v>0.65147999999999995</v>
      </c>
      <c r="N21" s="189">
        <f>'Cost Calculation'!AS13</f>
        <v>48531.448435278871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W6</v>
      </c>
      <c r="E22" s="187" t="str">
        <f>Pricing!C10</f>
        <v>M14600</v>
      </c>
      <c r="F22" s="187" t="str">
        <f>Pricing!D10</f>
        <v>3 TRACK 2 SHUTTER SLIDING WINDOW</v>
      </c>
      <c r="G22" s="187" t="str">
        <f>Pricing!N10</f>
        <v>10MM</v>
      </c>
      <c r="H22" s="187" t="str">
        <f>Pricing!F10</f>
        <v>GF - BEDROOM</v>
      </c>
      <c r="I22" s="216" t="str">
        <f>Pricing!E10</f>
        <v>SS</v>
      </c>
      <c r="J22" s="216">
        <f>Pricing!G10</f>
        <v>1830</v>
      </c>
      <c r="K22" s="216">
        <f>Pricing!H10</f>
        <v>2592</v>
      </c>
      <c r="L22" s="216">
        <f>Pricing!I10</f>
        <v>1</v>
      </c>
      <c r="M22" s="188">
        <f t="shared" si="0"/>
        <v>4.74336</v>
      </c>
      <c r="N22" s="189">
        <f>'Cost Calculation'!AS14</f>
        <v>144726.62622945095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W7</v>
      </c>
      <c r="E23" s="187" t="str">
        <f>Pricing!C11</f>
        <v>M15000</v>
      </c>
      <c r="F23" s="187" t="str">
        <f>Pricing!D11</f>
        <v>FIXED GLASS</v>
      </c>
      <c r="G23" s="187" t="str">
        <f>Pricing!N11</f>
        <v>12MM (F)</v>
      </c>
      <c r="H23" s="187" t="str">
        <f>Pricing!F11</f>
        <v>GF - POWDER ROOM</v>
      </c>
      <c r="I23" s="216" t="str">
        <f>Pricing!E11</f>
        <v>NO</v>
      </c>
      <c r="J23" s="216">
        <f>Pricing!G11</f>
        <v>3202</v>
      </c>
      <c r="K23" s="216">
        <f>Pricing!H11</f>
        <v>610</v>
      </c>
      <c r="L23" s="216">
        <f>Pricing!I11</f>
        <v>1</v>
      </c>
      <c r="M23" s="188">
        <f t="shared" si="0"/>
        <v>1.95322</v>
      </c>
      <c r="N23" s="189">
        <f>'Cost Calculation'!AS15</f>
        <v>27360.989034632788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W8</v>
      </c>
      <c r="E24" s="187" t="str">
        <f>Pricing!C12</f>
        <v>M15000</v>
      </c>
      <c r="F24" s="187" t="str">
        <f>Pricing!D12</f>
        <v>FIXED GLASS 3 NO'S</v>
      </c>
      <c r="G24" s="187" t="str">
        <f>Pricing!N12</f>
        <v>12MM</v>
      </c>
      <c r="H24" s="187" t="str">
        <f>Pricing!F12</f>
        <v>GF - WIDE PASSAGE</v>
      </c>
      <c r="I24" s="216" t="str">
        <f>Pricing!E12</f>
        <v>NO</v>
      </c>
      <c r="J24" s="216">
        <f>Pricing!G12</f>
        <v>6326</v>
      </c>
      <c r="K24" s="216">
        <f>Pricing!H12</f>
        <v>3354</v>
      </c>
      <c r="L24" s="216">
        <f>Pricing!I12</f>
        <v>1</v>
      </c>
      <c r="M24" s="188">
        <f t="shared" si="0"/>
        <v>21.217403999999998</v>
      </c>
      <c r="N24" s="189">
        <f>'Cost Calculation'!AS16</f>
        <v>191026.80607629346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W9</v>
      </c>
      <c r="E25" s="187" t="str">
        <f>Pricing!C13</f>
        <v>M15000</v>
      </c>
      <c r="F25" s="187" t="str">
        <f>Pricing!D13</f>
        <v>FIXED GLASS 3 NO'S CORNOR WINDOW</v>
      </c>
      <c r="G25" s="187" t="str">
        <f>Pricing!N13</f>
        <v>12MM</v>
      </c>
      <c r="H25" s="187" t="str">
        <f>Pricing!F13</f>
        <v>1F - BALCONY</v>
      </c>
      <c r="I25" s="216" t="str">
        <f>Pricing!E13</f>
        <v>NO</v>
      </c>
      <c r="J25" s="216">
        <f>Pricing!G13</f>
        <v>2706</v>
      </c>
      <c r="K25" s="216">
        <f>Pricing!H13</f>
        <v>3048</v>
      </c>
      <c r="L25" s="216">
        <f>Pricing!I13</f>
        <v>1</v>
      </c>
      <c r="M25" s="188">
        <f t="shared" ref="M25:M42" si="1">J25*K25*L25/1000000</f>
        <v>8.2478879999999997</v>
      </c>
      <c r="N25" s="189">
        <f>'Cost Calculation'!AS17</f>
        <v>141963.85663249012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W9A</v>
      </c>
      <c r="E26" s="187" t="str">
        <f>Pricing!C14</f>
        <v>M14600</v>
      </c>
      <c r="F26" s="187" t="str">
        <f>Pricing!D14</f>
        <v>2 TRACK 2 SHUTTER SLIDING DOOR</v>
      </c>
      <c r="G26" s="187" t="str">
        <f>Pricing!N14</f>
        <v>10MM</v>
      </c>
      <c r="H26" s="187" t="str">
        <f>Pricing!F14</f>
        <v>1F - BALCONY</v>
      </c>
      <c r="I26" s="216" t="str">
        <f>Pricing!E14</f>
        <v>RETRACTABLE</v>
      </c>
      <c r="J26" s="216">
        <f>Pricing!G14</f>
        <v>2134</v>
      </c>
      <c r="K26" s="216">
        <f>Pricing!H14</f>
        <v>3048</v>
      </c>
      <c r="L26" s="216">
        <f>Pricing!I14</f>
        <v>1</v>
      </c>
      <c r="M26" s="188">
        <f t="shared" si="1"/>
        <v>6.5044320000000004</v>
      </c>
      <c r="N26" s="189">
        <f>'Cost Calculation'!AS18</f>
        <v>215361.57889090822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W10</v>
      </c>
      <c r="E27" s="187" t="str">
        <f>Pricing!C15</f>
        <v>M15000</v>
      </c>
      <c r="F27" s="187" t="str">
        <f>Pricing!D15</f>
        <v>FIXED GLASS</v>
      </c>
      <c r="G27" s="187" t="str">
        <f>Pricing!N15</f>
        <v>12MM</v>
      </c>
      <c r="H27" s="187" t="str">
        <f>Pricing!F15</f>
        <v>1F - POOJA ROOM</v>
      </c>
      <c r="I27" s="216" t="str">
        <f>Pricing!E15</f>
        <v>NO</v>
      </c>
      <c r="J27" s="216">
        <f>Pricing!G15</f>
        <v>916</v>
      </c>
      <c r="K27" s="216">
        <f>Pricing!H15</f>
        <v>2744</v>
      </c>
      <c r="L27" s="216">
        <f>Pricing!I15</f>
        <v>1</v>
      </c>
      <c r="M27" s="188">
        <f t="shared" si="1"/>
        <v>2.5135040000000002</v>
      </c>
      <c r="N27" s="189">
        <f>'Cost Calculation'!AS19</f>
        <v>26819.782476308927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W11</v>
      </c>
      <c r="E28" s="187" t="str">
        <f>Pricing!C16</f>
        <v>M15000</v>
      </c>
      <c r="F28" s="187" t="str">
        <f>Pricing!D16</f>
        <v>FIXED GLASS</v>
      </c>
      <c r="G28" s="187" t="str">
        <f>Pricing!N16</f>
        <v>12MM</v>
      </c>
      <c r="H28" s="187" t="str">
        <f>Pricing!F16</f>
        <v>1F - PRANEETH BEDROOM</v>
      </c>
      <c r="I28" s="216" t="str">
        <f>Pricing!E16</f>
        <v>NO</v>
      </c>
      <c r="J28" s="216">
        <f>Pricing!G16</f>
        <v>1000</v>
      </c>
      <c r="K28" s="216">
        <f>Pricing!H16</f>
        <v>2200</v>
      </c>
      <c r="L28" s="216">
        <f>Pricing!I16</f>
        <v>2</v>
      </c>
      <c r="M28" s="188">
        <f t="shared" si="1"/>
        <v>4.4000000000000004</v>
      </c>
      <c r="N28" s="189">
        <f>'Cost Calculation'!AS20</f>
        <v>47291.058477448118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W12</v>
      </c>
      <c r="E29" s="187" t="str">
        <f>Pricing!C17</f>
        <v>M15000</v>
      </c>
      <c r="F29" s="187" t="str">
        <f>Pricing!D17</f>
        <v>TOP HUNG WINDOW WITH TOP FIXED</v>
      </c>
      <c r="G29" s="187" t="str">
        <f>Pricing!N17</f>
        <v>12MM (F)</v>
      </c>
      <c r="H29" s="187" t="str">
        <f>Pricing!F17</f>
        <v>1F - PRANEETH BEDROOM TOILET</v>
      </c>
      <c r="I29" s="216" t="str">
        <f>Pricing!E17</f>
        <v>NO</v>
      </c>
      <c r="J29" s="216">
        <f>Pricing!G17</f>
        <v>610</v>
      </c>
      <c r="K29" s="216">
        <f>Pricing!H17</f>
        <v>1830</v>
      </c>
      <c r="L29" s="216">
        <f>Pricing!I17</f>
        <v>1</v>
      </c>
      <c r="M29" s="188">
        <f t="shared" si="1"/>
        <v>1.1163000000000001</v>
      </c>
      <c r="N29" s="189">
        <f>'Cost Calculation'!AS21</f>
        <v>59351.457913270053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W13</v>
      </c>
      <c r="E30" s="187" t="str">
        <f>Pricing!C18</f>
        <v>M14600</v>
      </c>
      <c r="F30" s="187" t="str">
        <f>Pricing!D18</f>
        <v>3 TRACK 2 SHUTTER SLIDING DOOR</v>
      </c>
      <c r="G30" s="187" t="str">
        <f>Pricing!N18</f>
        <v>10MM</v>
      </c>
      <c r="H30" s="187" t="str">
        <f>Pricing!F18</f>
        <v>1F - MASTER BEDROOM</v>
      </c>
      <c r="I30" s="216" t="str">
        <f>Pricing!E18</f>
        <v>SS</v>
      </c>
      <c r="J30" s="216">
        <f>Pricing!G18</f>
        <v>1906</v>
      </c>
      <c r="K30" s="216">
        <f>Pricing!H18</f>
        <v>2744</v>
      </c>
      <c r="L30" s="216">
        <f>Pricing!I18</f>
        <v>1</v>
      </c>
      <c r="M30" s="188">
        <f t="shared" si="1"/>
        <v>5.2300639999999996</v>
      </c>
      <c r="N30" s="189">
        <f>'Cost Calculation'!AS22</f>
        <v>159499.4373851103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W14</v>
      </c>
      <c r="E31" s="187" t="str">
        <f>Pricing!C19</f>
        <v>M15000</v>
      </c>
      <c r="F31" s="187" t="str">
        <f>Pricing!D19</f>
        <v>FIXED GLASS</v>
      </c>
      <c r="G31" s="187" t="str">
        <f>Pricing!N19</f>
        <v>12MM</v>
      </c>
      <c r="H31" s="187" t="str">
        <f>Pricing!F19</f>
        <v>1F - MASTER BEDROOM</v>
      </c>
      <c r="I31" s="216" t="str">
        <f>Pricing!E19</f>
        <v>NO</v>
      </c>
      <c r="J31" s="216">
        <f>Pricing!G19</f>
        <v>916</v>
      </c>
      <c r="K31" s="216">
        <f>Pricing!H19</f>
        <v>2896</v>
      </c>
      <c r="L31" s="216">
        <f>Pricing!I19</f>
        <v>2</v>
      </c>
      <c r="M31" s="188">
        <f t="shared" si="1"/>
        <v>5.305472</v>
      </c>
      <c r="N31" s="189">
        <f>'Cost Calculation'!AS23</f>
        <v>56007.497465437191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W15</v>
      </c>
      <c r="E32" s="187" t="str">
        <f>Pricing!C20</f>
        <v>M15000</v>
      </c>
      <c r="F32" s="187" t="str">
        <f>Pricing!D20</f>
        <v>FIXED GLASS</v>
      </c>
      <c r="G32" s="187" t="str">
        <f>Pricing!N20</f>
        <v>12MM (F)</v>
      </c>
      <c r="H32" s="187" t="str">
        <f>Pricing!F20</f>
        <v>1F - MASTER TOILET</v>
      </c>
      <c r="I32" s="216" t="str">
        <f>Pricing!E20</f>
        <v>NO</v>
      </c>
      <c r="J32" s="216">
        <f>Pricing!G20</f>
        <v>458</v>
      </c>
      <c r="K32" s="216">
        <f>Pricing!H20</f>
        <v>2896</v>
      </c>
      <c r="L32" s="216">
        <f>Pricing!I20</f>
        <v>4</v>
      </c>
      <c r="M32" s="188">
        <f t="shared" si="1"/>
        <v>5.305472</v>
      </c>
      <c r="N32" s="189">
        <f>'Cost Calculation'!AS24</f>
        <v>89009.589729748288</v>
      </c>
      <c r="O32" s="95"/>
    </row>
    <row r="33" spans="2:15" s="94" customFormat="1" ht="49.9" customHeight="1" thickTop="1" thickBot="1">
      <c r="B33" s="413">
        <f>Pricing!A21</f>
        <v>18</v>
      </c>
      <c r="C33" s="414"/>
      <c r="D33" s="187" t="str">
        <f>Pricing!B21</f>
        <v>W16</v>
      </c>
      <c r="E33" s="187" t="str">
        <f>Pricing!C21</f>
        <v>M15000</v>
      </c>
      <c r="F33" s="187" t="str">
        <f>Pricing!D21</f>
        <v>FIXED GLASS</v>
      </c>
      <c r="G33" s="187" t="str">
        <f>Pricing!N21</f>
        <v>12MM (F)</v>
      </c>
      <c r="H33" s="187" t="str">
        <f>Pricing!F21</f>
        <v>1F - MASTER DRESSING</v>
      </c>
      <c r="I33" s="216" t="str">
        <f>Pricing!E21</f>
        <v>NO</v>
      </c>
      <c r="J33" s="216">
        <f>Pricing!G21</f>
        <v>916</v>
      </c>
      <c r="K33" s="216">
        <f>Pricing!H21</f>
        <v>2896</v>
      </c>
      <c r="L33" s="216">
        <f>Pricing!I21</f>
        <v>1</v>
      </c>
      <c r="M33" s="188">
        <f t="shared" si="1"/>
        <v>2.652736</v>
      </c>
      <c r="N33" s="189">
        <f>'Cost Calculation'!AS25</f>
        <v>30661.790204718593</v>
      </c>
      <c r="O33" s="95"/>
    </row>
    <row r="34" spans="2:15" s="94" customFormat="1" ht="49.9" customHeight="1" thickTop="1" thickBot="1">
      <c r="B34" s="413">
        <f>Pricing!A22</f>
        <v>19</v>
      </c>
      <c r="C34" s="414"/>
      <c r="D34" s="187" t="str">
        <f>Pricing!B22</f>
        <v>W17</v>
      </c>
      <c r="E34" s="187" t="str">
        <f>Pricing!C22</f>
        <v>M15000</v>
      </c>
      <c r="F34" s="187" t="str">
        <f>Pricing!D22</f>
        <v>TOP HUNG WINDOW</v>
      </c>
      <c r="G34" s="187" t="str">
        <f>Pricing!N22</f>
        <v>12MM (F)</v>
      </c>
      <c r="H34" s="187" t="str">
        <f>Pricing!F22</f>
        <v>1F - GBR TOILET</v>
      </c>
      <c r="I34" s="216" t="str">
        <f>Pricing!E22</f>
        <v>NO</v>
      </c>
      <c r="J34" s="216">
        <f>Pricing!G22</f>
        <v>916</v>
      </c>
      <c r="K34" s="216">
        <f>Pricing!H22</f>
        <v>1068</v>
      </c>
      <c r="L34" s="216">
        <f>Pricing!I22</f>
        <v>1</v>
      </c>
      <c r="M34" s="188">
        <f t="shared" si="1"/>
        <v>0.97828800000000005</v>
      </c>
      <c r="N34" s="189">
        <f>'Cost Calculation'!AS26</f>
        <v>57584.545988297206</v>
      </c>
      <c r="O34" s="95"/>
    </row>
    <row r="35" spans="2:15" s="94" customFormat="1" ht="49.9" customHeight="1" thickTop="1" thickBot="1">
      <c r="B35" s="413">
        <f>Pricing!A23</f>
        <v>20</v>
      </c>
      <c r="C35" s="414"/>
      <c r="D35" s="187" t="str">
        <f>Pricing!B23</f>
        <v>W18</v>
      </c>
      <c r="E35" s="187" t="str">
        <f>Pricing!C23</f>
        <v>M15000</v>
      </c>
      <c r="F35" s="187" t="str">
        <f>Pricing!D23</f>
        <v>FIXED GLASS</v>
      </c>
      <c r="G35" s="187" t="str">
        <f>Pricing!N23</f>
        <v>12MM</v>
      </c>
      <c r="H35" s="187" t="str">
        <f>Pricing!F23</f>
        <v>1F - GUEST BEDROOM</v>
      </c>
      <c r="I35" s="216" t="str">
        <f>Pricing!E23</f>
        <v>NO</v>
      </c>
      <c r="J35" s="216">
        <f>Pricing!G23</f>
        <v>1000</v>
      </c>
      <c r="K35" s="216">
        <f>Pricing!H23</f>
        <v>2200</v>
      </c>
      <c r="L35" s="216">
        <f>Pricing!I23</f>
        <v>1</v>
      </c>
      <c r="M35" s="188">
        <f t="shared" si="1"/>
        <v>2.2000000000000002</v>
      </c>
      <c r="N35" s="189">
        <f>'Cost Calculation'!AS27</f>
        <v>23645.529238724059</v>
      </c>
      <c r="O35" s="95"/>
    </row>
    <row r="36" spans="2:15" s="94" customFormat="1" ht="49.9" customHeight="1" thickTop="1" thickBot="1">
      <c r="B36" s="413">
        <f>Pricing!A24</f>
        <v>21</v>
      </c>
      <c r="C36" s="414"/>
      <c r="D36" s="187" t="str">
        <f>Pricing!B24</f>
        <v>W19</v>
      </c>
      <c r="E36" s="187" t="str">
        <f>Pricing!C24</f>
        <v>M15000</v>
      </c>
      <c r="F36" s="187" t="str">
        <f>Pricing!D24</f>
        <v>FIXED GLASS 2 NO'S</v>
      </c>
      <c r="G36" s="187" t="str">
        <f>Pricing!N24</f>
        <v>12MM</v>
      </c>
      <c r="H36" s="187" t="str">
        <f>Pricing!F24</f>
        <v>1F - GUEST BEDROOM</v>
      </c>
      <c r="I36" s="216" t="str">
        <f>Pricing!E24</f>
        <v>NO</v>
      </c>
      <c r="J36" s="216">
        <f>Pricing!G24</f>
        <v>3278</v>
      </c>
      <c r="K36" s="216">
        <f>Pricing!H24</f>
        <v>2440</v>
      </c>
      <c r="L36" s="216">
        <f>Pricing!I24</f>
        <v>1</v>
      </c>
      <c r="M36" s="188">
        <f t="shared" si="1"/>
        <v>7.9983199999999997</v>
      </c>
      <c r="N36" s="189">
        <f>'Cost Calculation'!AS28</f>
        <v>74118.281876419322</v>
      </c>
      <c r="O36" s="95"/>
    </row>
    <row r="37" spans="2:15" s="94" customFormat="1" ht="49.9" customHeight="1" thickTop="1" thickBot="1">
      <c r="B37" s="413">
        <f>Pricing!A25</f>
        <v>22</v>
      </c>
      <c r="C37" s="414"/>
      <c r="D37" s="187" t="str">
        <f>Pricing!B25</f>
        <v>W20</v>
      </c>
      <c r="E37" s="187" t="str">
        <f>Pricing!C25</f>
        <v>M15000</v>
      </c>
      <c r="F37" s="187" t="str">
        <f>Pricing!D25</f>
        <v>FIXED GLASS 3 NO'S</v>
      </c>
      <c r="G37" s="187" t="str">
        <f>Pricing!N25</f>
        <v>12MM</v>
      </c>
      <c r="H37" s="187" t="str">
        <f>Pricing!F25</f>
        <v>1F - LOUNGE</v>
      </c>
      <c r="I37" s="216" t="str">
        <f>Pricing!E25</f>
        <v>NO</v>
      </c>
      <c r="J37" s="216">
        <f>Pricing!G25</f>
        <v>6326</v>
      </c>
      <c r="K37" s="216">
        <f>Pricing!H25</f>
        <v>2400</v>
      </c>
      <c r="L37" s="216">
        <f>Pricing!I25</f>
        <v>1</v>
      </c>
      <c r="M37" s="188">
        <f t="shared" si="1"/>
        <v>15.182399999999999</v>
      </c>
      <c r="N37" s="189">
        <f>'Cost Calculation'!AS29</f>
        <v>130804.04407210616</v>
      </c>
      <c r="O37" s="95"/>
    </row>
    <row r="38" spans="2:15" s="94" customFormat="1" ht="49.9" customHeight="1" thickTop="1" thickBot="1">
      <c r="B38" s="413">
        <f>Pricing!A26</f>
        <v>23</v>
      </c>
      <c r="C38" s="414"/>
      <c r="D38" s="187" t="str">
        <f>Pricing!B26</f>
        <v>W21</v>
      </c>
      <c r="E38" s="187" t="str">
        <f>Pricing!C26</f>
        <v>SF85</v>
      </c>
      <c r="F38" s="187" t="str">
        <f>Pricing!D26</f>
        <v>4 LEAF SLIDE &amp; FOLD DOOR</v>
      </c>
      <c r="G38" s="187" t="str">
        <f>Pricing!N26</f>
        <v>24MM</v>
      </c>
      <c r="H38" s="187" t="str">
        <f>Pricing!F26</f>
        <v>2F - OPEN BALCONY</v>
      </c>
      <c r="I38" s="216" t="str">
        <f>Pricing!E26</f>
        <v>NO</v>
      </c>
      <c r="J38" s="216">
        <f>Pricing!G26</f>
        <v>3658</v>
      </c>
      <c r="K38" s="216">
        <f>Pricing!H26</f>
        <v>3302</v>
      </c>
      <c r="L38" s="216">
        <f>Pricing!I26</f>
        <v>1</v>
      </c>
      <c r="M38" s="188">
        <f t="shared" si="1"/>
        <v>12.078716</v>
      </c>
      <c r="N38" s="189">
        <f>'Cost Calculation'!AS30</f>
        <v>879703.02064572845</v>
      </c>
      <c r="O38" s="95"/>
    </row>
    <row r="39" spans="2:15" s="94" customFormat="1" ht="49.9" customHeight="1" thickTop="1" thickBot="1">
      <c r="B39" s="413">
        <f>Pricing!A27</f>
        <v>24</v>
      </c>
      <c r="C39" s="414"/>
      <c r="D39" s="187" t="str">
        <f>Pricing!B27</f>
        <v>W22</v>
      </c>
      <c r="E39" s="187" t="str">
        <f>Pricing!C27</f>
        <v>M15000</v>
      </c>
      <c r="F39" s="187" t="str">
        <f>Pricing!D27</f>
        <v>FIXED GLASS 4 NO'S</v>
      </c>
      <c r="G39" s="187" t="str">
        <f>Pricing!N27</f>
        <v>12MM</v>
      </c>
      <c r="H39" s="187" t="str">
        <f>Pricing!F27</f>
        <v>2F - BILLARDS</v>
      </c>
      <c r="I39" s="216" t="str">
        <f>Pricing!E27</f>
        <v>NO</v>
      </c>
      <c r="J39" s="216">
        <f>Pricing!G27</f>
        <v>6326</v>
      </c>
      <c r="K39" s="216">
        <f>Pricing!H27</f>
        <v>3302</v>
      </c>
      <c r="L39" s="216">
        <f>Pricing!I27</f>
        <v>1</v>
      </c>
      <c r="M39" s="188">
        <f t="shared" si="1"/>
        <v>20.888452000000001</v>
      </c>
      <c r="N39" s="189">
        <f>'Cost Calculation'!AS31</f>
        <v>222523.26139606442</v>
      </c>
      <c r="O39" s="95"/>
    </row>
    <row r="40" spans="2:15" s="94" customFormat="1" ht="49.9" customHeight="1" thickTop="1" thickBot="1">
      <c r="B40" s="413">
        <f>Pricing!A28</f>
        <v>25</v>
      </c>
      <c r="C40" s="414"/>
      <c r="D40" s="187" t="str">
        <f>Pricing!B28</f>
        <v>W23</v>
      </c>
      <c r="E40" s="187" t="str">
        <f>Pricing!C28</f>
        <v>M15000</v>
      </c>
      <c r="F40" s="187" t="str">
        <f>Pricing!D28</f>
        <v>FIXED GLASS 3 NO'S</v>
      </c>
      <c r="G40" s="187" t="str">
        <f>Pricing!N28</f>
        <v>12MM</v>
      </c>
      <c r="H40" s="187" t="str">
        <f>Pricing!F28</f>
        <v>2F - HOME THEATER</v>
      </c>
      <c r="I40" s="216" t="str">
        <f>Pricing!E28</f>
        <v>NO</v>
      </c>
      <c r="J40" s="216">
        <f>Pricing!G28</f>
        <v>4878</v>
      </c>
      <c r="K40" s="216">
        <f>Pricing!H28</f>
        <v>2896</v>
      </c>
      <c r="L40" s="216">
        <f>Pricing!I28</f>
        <v>1</v>
      </c>
      <c r="M40" s="188">
        <f t="shared" si="1"/>
        <v>14.126688</v>
      </c>
      <c r="N40" s="189">
        <f>'Cost Calculation'!AS32</f>
        <v>148069.06675251568</v>
      </c>
      <c r="O40" s="95"/>
    </row>
    <row r="41" spans="2:15" s="94" customFormat="1" ht="49.9" customHeight="1" thickTop="1" thickBot="1">
      <c r="B41" s="413">
        <f>Pricing!A29</f>
        <v>26</v>
      </c>
      <c r="C41" s="414"/>
      <c r="D41" s="187" t="str">
        <f>Pricing!B29</f>
        <v>W24</v>
      </c>
      <c r="E41" s="187" t="str">
        <f>Pricing!C29</f>
        <v>M15000</v>
      </c>
      <c r="F41" s="187" t="str">
        <f>Pricing!D29</f>
        <v>FIXED GLASS 2 NO'S</v>
      </c>
      <c r="G41" s="187" t="str">
        <f>Pricing!N29</f>
        <v>12MM</v>
      </c>
      <c r="H41" s="187" t="str">
        <f>Pricing!F29</f>
        <v>2F - BEDROOM</v>
      </c>
      <c r="I41" s="216" t="str">
        <f>Pricing!E29</f>
        <v>NO</v>
      </c>
      <c r="J41" s="216">
        <f>Pricing!G29</f>
        <v>2744</v>
      </c>
      <c r="K41" s="216">
        <f>Pricing!H29</f>
        <v>2896</v>
      </c>
      <c r="L41" s="216">
        <f>Pricing!I29</f>
        <v>1</v>
      </c>
      <c r="M41" s="188">
        <f t="shared" si="1"/>
        <v>7.9466239999999999</v>
      </c>
      <c r="N41" s="189">
        <f>'Cost Calculation'!AS33</f>
        <v>76324.715575855618</v>
      </c>
      <c r="O41" s="95"/>
    </row>
    <row r="42" spans="2:15" s="94" customFormat="1" ht="49.9" customHeight="1" thickTop="1" thickBot="1">
      <c r="B42" s="413">
        <f>Pricing!A30</f>
        <v>27</v>
      </c>
      <c r="C42" s="414"/>
      <c r="D42" s="187" t="str">
        <f>Pricing!B30</f>
        <v>W25</v>
      </c>
      <c r="E42" s="187" t="str">
        <f>Pricing!C30</f>
        <v>M15000</v>
      </c>
      <c r="F42" s="187" t="str">
        <f>Pricing!D30</f>
        <v>FIXED GLASS</v>
      </c>
      <c r="G42" s="187" t="str">
        <f>Pricing!N30</f>
        <v>12MM</v>
      </c>
      <c r="H42" s="187" t="str">
        <f>Pricing!F30</f>
        <v>2F - SON'S BEDROOM</v>
      </c>
      <c r="I42" s="216" t="str">
        <f>Pricing!E30</f>
        <v>NO</v>
      </c>
      <c r="J42" s="216">
        <f>Pricing!G30</f>
        <v>382</v>
      </c>
      <c r="K42" s="216">
        <f>Pricing!H30</f>
        <v>2896</v>
      </c>
      <c r="L42" s="216">
        <f>Pricing!I30</f>
        <v>3</v>
      </c>
      <c r="M42" s="188">
        <f t="shared" si="1"/>
        <v>3.318816</v>
      </c>
      <c r="N42" s="189">
        <f>'Cost Calculation'!AS34</f>
        <v>59269.808955089204</v>
      </c>
      <c r="O42" s="95"/>
    </row>
    <row r="43" spans="2:15" s="94" customFormat="1" ht="49.9" customHeight="1" thickTop="1" thickBot="1">
      <c r="B43" s="413">
        <f>Pricing!A31</f>
        <v>28</v>
      </c>
      <c r="C43" s="414"/>
      <c r="D43" s="187" t="str">
        <f>Pricing!B31</f>
        <v>W26</v>
      </c>
      <c r="E43" s="187" t="str">
        <f>Pricing!C31</f>
        <v>M15000</v>
      </c>
      <c r="F43" s="187" t="str">
        <f>Pricing!D31</f>
        <v>FIXED GLASS</v>
      </c>
      <c r="G43" s="187" t="str">
        <f>Pricing!N31</f>
        <v>12MM (F)</v>
      </c>
      <c r="H43" s="187" t="str">
        <f>Pricing!F31</f>
        <v>2F - BATHROOM</v>
      </c>
      <c r="I43" s="216" t="str">
        <f>Pricing!E31</f>
        <v>NO</v>
      </c>
      <c r="J43" s="216">
        <f>Pricing!G31</f>
        <v>534</v>
      </c>
      <c r="K43" s="216">
        <f>Pricing!H31</f>
        <v>2896</v>
      </c>
      <c r="L43" s="216">
        <f>Pricing!I31</f>
        <v>1</v>
      </c>
      <c r="M43" s="188">
        <f t="shared" ref="M43:M92" si="2">J43*K43*L43/1000000</f>
        <v>1.5464640000000001</v>
      </c>
      <c r="N43" s="189">
        <f>'Cost Calculation'!AS35</f>
        <v>23679.644633359007</v>
      </c>
      <c r="O43" s="95"/>
    </row>
    <row r="44" spans="2:15" s="94" customFormat="1" ht="49.9" customHeight="1" thickTop="1" thickBot="1">
      <c r="B44" s="413">
        <f>Pricing!A32</f>
        <v>29</v>
      </c>
      <c r="C44" s="414"/>
      <c r="D44" s="187" t="str">
        <f>Pricing!B32</f>
        <v>W27</v>
      </c>
      <c r="E44" s="187" t="str">
        <f>Pricing!C32</f>
        <v>M15000</v>
      </c>
      <c r="F44" s="187" t="str">
        <f>Pricing!D32</f>
        <v>FIXED GLASS</v>
      </c>
      <c r="G44" s="187" t="str">
        <f>Pricing!N32</f>
        <v>12MM (F)</v>
      </c>
      <c r="H44" s="187" t="str">
        <f>Pricing!F32</f>
        <v>2F - BATHROOM</v>
      </c>
      <c r="I44" s="216" t="str">
        <f>Pricing!E32</f>
        <v>NO</v>
      </c>
      <c r="J44" s="216">
        <f>Pricing!G32</f>
        <v>610</v>
      </c>
      <c r="K44" s="216">
        <f>Pricing!H32</f>
        <v>2896</v>
      </c>
      <c r="L44" s="216">
        <f>Pricing!I32</f>
        <v>1</v>
      </c>
      <c r="M44" s="188">
        <f t="shared" si="2"/>
        <v>1.7665599999999999</v>
      </c>
      <c r="N44" s="189">
        <f>'Cost Calculation'!AS36</f>
        <v>25069.303789561327</v>
      </c>
      <c r="O44" s="95"/>
    </row>
    <row r="45" spans="2:15" s="94" customFormat="1" ht="49.9" customHeight="1" thickTop="1" thickBot="1">
      <c r="B45" s="413">
        <f>Pricing!A33</f>
        <v>30</v>
      </c>
      <c r="C45" s="414"/>
      <c r="D45" s="187" t="str">
        <f>Pricing!B33</f>
        <v>W28</v>
      </c>
      <c r="E45" s="187" t="str">
        <f>Pricing!C33</f>
        <v>M15000</v>
      </c>
      <c r="F45" s="187" t="str">
        <f>Pricing!D33</f>
        <v>FIXED GLASS</v>
      </c>
      <c r="G45" s="187" t="str">
        <f>Pricing!N33</f>
        <v>12MM (F)</v>
      </c>
      <c r="H45" s="187" t="str">
        <f>Pricing!F33</f>
        <v>2F - DRESSING</v>
      </c>
      <c r="I45" s="216" t="str">
        <f>Pricing!E33</f>
        <v>NO</v>
      </c>
      <c r="J45" s="216">
        <f>Pricing!G33</f>
        <v>916</v>
      </c>
      <c r="K45" s="216">
        <f>Pricing!H33</f>
        <v>2896</v>
      </c>
      <c r="L45" s="216">
        <f>Pricing!I33</f>
        <v>1</v>
      </c>
      <c r="M45" s="188">
        <f t="shared" si="2"/>
        <v>2.652736</v>
      </c>
      <c r="N45" s="189">
        <f>'Cost Calculation'!AS37</f>
        <v>30661.790204718593</v>
      </c>
      <c r="O45" s="95"/>
    </row>
    <row r="46" spans="2:15" s="94" customFormat="1" ht="49.9" customHeight="1" thickTop="1" thickBot="1">
      <c r="B46" s="413">
        <f>Pricing!A34</f>
        <v>31</v>
      </c>
      <c r="C46" s="414"/>
      <c r="D46" s="187" t="str">
        <f>Pricing!B34</f>
        <v>W29</v>
      </c>
      <c r="E46" s="187" t="str">
        <f>Pricing!C34</f>
        <v>M15000</v>
      </c>
      <c r="F46" s="187" t="str">
        <f>Pricing!D34</f>
        <v>TOP HUNG WINDOW</v>
      </c>
      <c r="G46" s="187" t="str">
        <f>Pricing!N34</f>
        <v>12MM (F)</v>
      </c>
      <c r="H46" s="187" t="str">
        <f>Pricing!F34</f>
        <v>2F - PW. ROOM</v>
      </c>
      <c r="I46" s="216" t="str">
        <f>Pricing!E34</f>
        <v>NO</v>
      </c>
      <c r="J46" s="216">
        <f>Pricing!G34</f>
        <v>916</v>
      </c>
      <c r="K46" s="216">
        <f>Pricing!H34</f>
        <v>1068</v>
      </c>
      <c r="L46" s="216">
        <f>Pricing!I34</f>
        <v>1</v>
      </c>
      <c r="M46" s="188">
        <f t="shared" si="2"/>
        <v>0.97828800000000005</v>
      </c>
      <c r="N46" s="189">
        <f>'Cost Calculation'!AS38</f>
        <v>53954.950420059846</v>
      </c>
      <c r="O46" s="95"/>
    </row>
    <row r="47" spans="2:15" s="94" customFormat="1" ht="49.9" customHeight="1" thickTop="1" thickBot="1">
      <c r="B47" s="413">
        <f>Pricing!A35</f>
        <v>32</v>
      </c>
      <c r="C47" s="414"/>
      <c r="D47" s="187" t="str">
        <f>Pricing!B35</f>
        <v>W30</v>
      </c>
      <c r="E47" s="187" t="str">
        <f>Pricing!C35</f>
        <v>M15000</v>
      </c>
      <c r="F47" s="187" t="str">
        <f>Pricing!D35</f>
        <v>TOP HUNG WINDOW WITH TOP FIXED</v>
      </c>
      <c r="G47" s="187" t="str">
        <f>Pricing!N35</f>
        <v>12MM</v>
      </c>
      <c r="H47" s="187" t="str">
        <f>Pricing!F35</f>
        <v>2F - STORE</v>
      </c>
      <c r="I47" s="216" t="str">
        <f>Pricing!E35</f>
        <v>NO</v>
      </c>
      <c r="J47" s="216">
        <f>Pricing!G35</f>
        <v>916</v>
      </c>
      <c r="K47" s="216">
        <f>Pricing!H35</f>
        <v>1830</v>
      </c>
      <c r="L47" s="216">
        <f>Pricing!I35</f>
        <v>1</v>
      </c>
      <c r="M47" s="188">
        <f t="shared" si="2"/>
        <v>1.67628</v>
      </c>
      <c r="N47" s="189">
        <f>'Cost Calculation'!AS39</f>
        <v>65903.501176693579</v>
      </c>
      <c r="O47" s="95"/>
    </row>
    <row r="48" spans="2:15" s="94" customFormat="1" ht="49.9" customHeight="1" thickTop="1" thickBot="1">
      <c r="B48" s="413">
        <f>Pricing!A36</f>
        <v>33</v>
      </c>
      <c r="C48" s="414"/>
      <c r="D48" s="187" t="str">
        <f>Pricing!B36</f>
        <v>W31</v>
      </c>
      <c r="E48" s="187" t="str">
        <f>Pricing!C36</f>
        <v>M15000</v>
      </c>
      <c r="F48" s="187" t="str">
        <f>Pricing!D36</f>
        <v>FIXED GLASS 2 NO'S</v>
      </c>
      <c r="G48" s="187" t="str">
        <f>Pricing!N36</f>
        <v>12MM</v>
      </c>
      <c r="H48" s="187" t="str">
        <f>Pricing!F36</f>
        <v>2F - GYM</v>
      </c>
      <c r="I48" s="216" t="str">
        <f>Pricing!E36</f>
        <v>NO</v>
      </c>
      <c r="J48" s="216">
        <f>Pricing!G36</f>
        <v>3278</v>
      </c>
      <c r="K48" s="216">
        <f>Pricing!H36</f>
        <v>3302</v>
      </c>
      <c r="L48" s="216">
        <f>Pricing!I36</f>
        <v>1</v>
      </c>
      <c r="M48" s="188">
        <f t="shared" si="2"/>
        <v>10.823956000000001</v>
      </c>
      <c r="N48" s="189">
        <f>'Cost Calculation'!AS40</f>
        <v>104435.19084618936</v>
      </c>
      <c r="O48" s="95"/>
    </row>
    <row r="49" spans="2:15" s="94" customFormat="1" ht="49.9" customHeight="1" thickTop="1" thickBot="1">
      <c r="B49" s="413">
        <f>Pricing!A37</f>
        <v>34</v>
      </c>
      <c r="C49" s="414"/>
      <c r="D49" s="187" t="str">
        <f>Pricing!B37</f>
        <v>W32</v>
      </c>
      <c r="E49" s="187" t="str">
        <f>Pricing!C37</f>
        <v>M15000</v>
      </c>
      <c r="F49" s="187" t="str">
        <f>Pricing!D37</f>
        <v>FIXED GLASS 2 NO'S</v>
      </c>
      <c r="G49" s="187" t="str">
        <f>Pricing!N37</f>
        <v>12MM</v>
      </c>
      <c r="H49" s="187" t="str">
        <f>Pricing!F37</f>
        <v>2F - GYM</v>
      </c>
      <c r="I49" s="216" t="str">
        <f>Pricing!E37</f>
        <v>NO</v>
      </c>
      <c r="J49" s="216">
        <f>Pricing!G37</f>
        <v>3734</v>
      </c>
      <c r="K49" s="216">
        <f>Pricing!H37</f>
        <v>3302</v>
      </c>
      <c r="L49" s="216">
        <f>Pricing!I37</f>
        <v>1</v>
      </c>
      <c r="M49" s="188">
        <f t="shared" si="2"/>
        <v>12.329668</v>
      </c>
      <c r="N49" s="189">
        <f>'Cost Calculation'!AS41</f>
        <v>112156.19112132835</v>
      </c>
      <c r="O49" s="95"/>
    </row>
    <row r="50" spans="2:15" s="94" customFormat="1" ht="49.9" customHeight="1" thickTop="1" thickBot="1">
      <c r="B50" s="413">
        <f>Pricing!A38</f>
        <v>35</v>
      </c>
      <c r="C50" s="414"/>
      <c r="D50" s="187" t="str">
        <f>Pricing!B38</f>
        <v>W33</v>
      </c>
      <c r="E50" s="187" t="str">
        <f>Pricing!C38</f>
        <v>M15000</v>
      </c>
      <c r="F50" s="187" t="str">
        <f>Pricing!D38</f>
        <v>TOP HUNG WINDOW</v>
      </c>
      <c r="G50" s="187" t="str">
        <f>Pricing!N38</f>
        <v>12MM (F)</v>
      </c>
      <c r="H50" s="187" t="str">
        <f>Pricing!F38</f>
        <v>POOL AREA DRESS</v>
      </c>
      <c r="I50" s="216" t="str">
        <f>Pricing!E38</f>
        <v>NO</v>
      </c>
      <c r="J50" s="216">
        <f>Pricing!G38</f>
        <v>500</v>
      </c>
      <c r="K50" s="216">
        <f>Pricing!H38</f>
        <v>1020</v>
      </c>
      <c r="L50" s="216">
        <f>Pricing!I38</f>
        <v>1</v>
      </c>
      <c r="M50" s="188">
        <f t="shared" si="2"/>
        <v>0.51</v>
      </c>
      <c r="N50" s="189">
        <f>'Cost Calculation'!AS42</f>
        <v>38780.904580347393</v>
      </c>
      <c r="O50" s="95"/>
    </row>
    <row r="51" spans="2:15" s="94" customFormat="1" ht="49.9" customHeight="1" thickTop="1" thickBot="1">
      <c r="B51" s="413">
        <f>Pricing!A39</f>
        <v>36</v>
      </c>
      <c r="C51" s="414"/>
      <c r="D51" s="187" t="str">
        <f>Pricing!B39</f>
        <v>W34</v>
      </c>
      <c r="E51" s="187" t="str">
        <f>Pricing!C39</f>
        <v>M15000</v>
      </c>
      <c r="F51" s="187" t="str">
        <f>Pricing!D39</f>
        <v>FIXED GLASS 2 NO'S</v>
      </c>
      <c r="G51" s="187" t="str">
        <f>Pricing!N39</f>
        <v>12MM</v>
      </c>
      <c r="H51" s="187" t="str">
        <f>Pricing!F39</f>
        <v>POOL AREA</v>
      </c>
      <c r="I51" s="216" t="str">
        <f>Pricing!E39</f>
        <v>NO</v>
      </c>
      <c r="J51" s="216">
        <f>Pricing!G39</f>
        <v>3200</v>
      </c>
      <c r="K51" s="216">
        <f>Pricing!H39</f>
        <v>2600</v>
      </c>
      <c r="L51" s="216">
        <f>Pricing!I39</f>
        <v>1</v>
      </c>
      <c r="M51" s="188">
        <f t="shared" si="2"/>
        <v>8.32</v>
      </c>
      <c r="N51" s="189">
        <f>'Cost Calculation'!AS43</f>
        <v>76664.092668150523</v>
      </c>
      <c r="O51" s="95"/>
    </row>
    <row r="52" spans="2:15" s="94" customFormat="1" ht="49.9" customHeight="1" thickTop="1" thickBot="1">
      <c r="B52" s="413">
        <f>Pricing!A40</f>
        <v>37</v>
      </c>
      <c r="C52" s="414"/>
      <c r="D52" s="187" t="str">
        <f>Pricing!B40</f>
        <v>W35</v>
      </c>
      <c r="E52" s="187" t="str">
        <f>Pricing!C40</f>
        <v>M15000</v>
      </c>
      <c r="F52" s="187" t="str">
        <f>Pricing!D40</f>
        <v>FIXED GLASS</v>
      </c>
      <c r="G52" s="187" t="str">
        <f>Pricing!N40</f>
        <v>12MM</v>
      </c>
      <c r="H52" s="187" t="str">
        <f>Pricing!F40</f>
        <v>POOL AREA</v>
      </c>
      <c r="I52" s="216" t="str">
        <f>Pricing!E40</f>
        <v>NO</v>
      </c>
      <c r="J52" s="216">
        <f>Pricing!G40</f>
        <v>2300</v>
      </c>
      <c r="K52" s="216">
        <f>Pricing!H40</f>
        <v>2600</v>
      </c>
      <c r="L52" s="216">
        <f>Pricing!I40</f>
        <v>1</v>
      </c>
      <c r="M52" s="188">
        <f t="shared" si="2"/>
        <v>5.98</v>
      </c>
      <c r="N52" s="189">
        <f>'Cost Calculation'!AS44</f>
        <v>45444.341048716262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4"/>
      <c r="C116" s="505"/>
      <c r="D116" s="505"/>
      <c r="E116" s="505"/>
      <c r="F116" s="505"/>
      <c r="G116" s="505"/>
      <c r="H116" s="505"/>
      <c r="I116" s="505"/>
      <c r="J116" s="505"/>
      <c r="K116" s="506"/>
      <c r="L116" s="190">
        <f>SUM(L16:L115)</f>
        <v>44</v>
      </c>
      <c r="M116" s="191">
        <f>SUM(M16:M115)</f>
        <v>243.63508799999997</v>
      </c>
      <c r="N116" s="186"/>
      <c r="O116" s="95"/>
    </row>
    <row r="117" spans="2:15" s="94" customFormat="1" ht="30" customHeight="1" thickTop="1" thickBot="1">
      <c r="B117" s="507" t="s">
        <v>181</v>
      </c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9"/>
      <c r="N117" s="192">
        <f>ROUND(SUM(N16:N115),0.1)</f>
        <v>4207760</v>
      </c>
      <c r="O117" s="95">
        <f>N117/SUM(M116)</f>
        <v>17270.747142956687</v>
      </c>
    </row>
    <row r="118" spans="2:15" s="94" customFormat="1" ht="30" customHeight="1" thickTop="1" thickBot="1">
      <c r="B118" s="507" t="s">
        <v>111</v>
      </c>
      <c r="C118" s="508"/>
      <c r="D118" s="508"/>
      <c r="E118" s="508"/>
      <c r="F118" s="508"/>
      <c r="G118" s="508"/>
      <c r="H118" s="508"/>
      <c r="I118" s="508"/>
      <c r="J118" s="508"/>
      <c r="K118" s="508"/>
      <c r="L118" s="508"/>
      <c r="M118" s="509"/>
      <c r="N118" s="192">
        <f>ROUND(N117*18%,0.1)</f>
        <v>757397</v>
      </c>
      <c r="O118" s="95">
        <f>N118/SUM(M116)</f>
        <v>3108.7353066320238</v>
      </c>
    </row>
    <row r="119" spans="2:15" s="94" customFormat="1" ht="30" customHeight="1" thickTop="1" thickBot="1">
      <c r="B119" s="507" t="s">
        <v>182</v>
      </c>
      <c r="C119" s="508"/>
      <c r="D119" s="508"/>
      <c r="E119" s="508"/>
      <c r="F119" s="508"/>
      <c r="G119" s="508"/>
      <c r="H119" s="508"/>
      <c r="I119" s="508"/>
      <c r="J119" s="508"/>
      <c r="K119" s="508"/>
      <c r="L119" s="508"/>
      <c r="M119" s="509"/>
      <c r="N119" s="192">
        <f>ROUND(SUM(N117:N118),0.1)</f>
        <v>4965157</v>
      </c>
      <c r="O119" s="95">
        <f>N119/SUM(M116)</f>
        <v>20379.482449588708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1604.4915591747201</v>
      </c>
    </row>
    <row r="121" spans="2:15" s="139" customFormat="1" ht="30" customHeight="1" thickTop="1">
      <c r="B121" s="478" t="s">
        <v>237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1">
        <v>1</v>
      </c>
      <c r="C122" s="412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10"/>
    </row>
    <row r="123" spans="2:15" s="139" customFormat="1" ht="30" customHeight="1">
      <c r="B123" s="418" t="s">
        <v>207</v>
      </c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20"/>
      <c r="O123" s="138"/>
    </row>
    <row r="124" spans="2:15" s="93" customFormat="1" ht="24.95" customHeight="1">
      <c r="B124" s="411">
        <v>1</v>
      </c>
      <c r="C124" s="412"/>
      <c r="D124" s="409" t="s">
        <v>374</v>
      </c>
      <c r="E124" s="409"/>
      <c r="F124" s="409"/>
      <c r="G124" s="409"/>
      <c r="H124" s="409"/>
      <c r="I124" s="409"/>
      <c r="J124" s="409"/>
      <c r="K124" s="409"/>
      <c r="L124" s="409"/>
      <c r="M124" s="409"/>
      <c r="N124" s="410"/>
    </row>
    <row r="125" spans="2:15" s="93" customFormat="1" ht="24.95" customHeight="1">
      <c r="B125" s="411">
        <v>2</v>
      </c>
      <c r="C125" s="412"/>
      <c r="D125" s="409" t="s">
        <v>511</v>
      </c>
      <c r="E125" s="409"/>
      <c r="F125" s="409"/>
      <c r="G125" s="409"/>
      <c r="H125" s="409"/>
      <c r="I125" s="409"/>
      <c r="J125" s="409"/>
      <c r="K125" s="409"/>
      <c r="L125" s="409"/>
      <c r="M125" s="409"/>
      <c r="N125" s="410"/>
    </row>
    <row r="126" spans="2:15" s="93" customFormat="1" ht="24.95" customHeight="1">
      <c r="B126" s="411">
        <v>3</v>
      </c>
      <c r="C126" s="412"/>
      <c r="D126" s="409" t="s">
        <v>512</v>
      </c>
      <c r="E126" s="409"/>
      <c r="F126" s="409"/>
      <c r="G126" s="409"/>
      <c r="H126" s="409"/>
      <c r="I126" s="409"/>
      <c r="J126" s="409"/>
      <c r="K126" s="409"/>
      <c r="L126" s="409"/>
      <c r="M126" s="409"/>
      <c r="N126" s="410"/>
    </row>
    <row r="127" spans="2:15" s="93" customFormat="1" ht="24.95" customHeight="1">
      <c r="B127" s="411">
        <v>4</v>
      </c>
      <c r="C127" s="412"/>
      <c r="D127" s="409" t="s">
        <v>513</v>
      </c>
      <c r="E127" s="409"/>
      <c r="F127" s="409"/>
      <c r="G127" s="409"/>
      <c r="H127" s="409"/>
      <c r="I127" s="409"/>
      <c r="J127" s="409"/>
      <c r="K127" s="409"/>
      <c r="L127" s="409"/>
      <c r="M127" s="409"/>
      <c r="N127" s="410"/>
    </row>
    <row r="128" spans="2:15" s="139" customFormat="1" ht="30" customHeight="1">
      <c r="B128" s="418" t="s">
        <v>140</v>
      </c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20"/>
      <c r="O128" s="138"/>
    </row>
    <row r="129" spans="2:14" s="93" customFormat="1" ht="24.95" customHeight="1">
      <c r="B129" s="411">
        <v>1</v>
      </c>
      <c r="C129" s="412"/>
      <c r="D129" s="409" t="s">
        <v>364</v>
      </c>
      <c r="E129" s="409"/>
      <c r="F129" s="409"/>
      <c r="G129" s="409"/>
      <c r="H129" s="409"/>
      <c r="I129" s="409"/>
      <c r="J129" s="409"/>
      <c r="K129" s="409"/>
      <c r="L129" s="409"/>
      <c r="M129" s="409"/>
      <c r="N129" s="410"/>
    </row>
    <row r="130" spans="2:14" s="93" customFormat="1" ht="24.95" customHeight="1">
      <c r="B130" s="411">
        <v>2</v>
      </c>
      <c r="C130" s="412"/>
      <c r="D130" s="409" t="s">
        <v>390</v>
      </c>
      <c r="E130" s="409"/>
      <c r="F130" s="409"/>
      <c r="G130" s="409"/>
      <c r="H130" s="409"/>
      <c r="I130" s="409"/>
      <c r="J130" s="409"/>
      <c r="K130" s="409"/>
      <c r="L130" s="409"/>
      <c r="M130" s="409"/>
      <c r="N130" s="410"/>
    </row>
    <row r="131" spans="2:14" s="93" customFormat="1" ht="24.95" customHeight="1">
      <c r="B131" s="411">
        <v>3</v>
      </c>
      <c r="C131" s="412"/>
      <c r="D131" s="438" t="s">
        <v>406</v>
      </c>
      <c r="E131" s="438"/>
      <c r="F131" s="438"/>
      <c r="G131" s="438"/>
      <c r="H131" s="438"/>
      <c r="I131" s="438"/>
      <c r="J131" s="438"/>
      <c r="K131" s="438"/>
      <c r="L131" s="438"/>
      <c r="M131" s="438"/>
      <c r="N131" s="439"/>
    </row>
    <row r="132" spans="2:14" s="93" customFormat="1" ht="24.95" customHeight="1">
      <c r="B132" s="411">
        <v>4</v>
      </c>
      <c r="C132" s="412"/>
      <c r="D132" s="438" t="s">
        <v>407</v>
      </c>
      <c r="E132" s="438"/>
      <c r="F132" s="438"/>
      <c r="G132" s="438"/>
      <c r="H132" s="438"/>
      <c r="I132" s="438"/>
      <c r="J132" s="438"/>
      <c r="K132" s="438"/>
      <c r="L132" s="438"/>
      <c r="M132" s="438"/>
      <c r="N132" s="439"/>
    </row>
    <row r="133" spans="2:14" s="139" customFormat="1" ht="30" customHeight="1">
      <c r="B133" s="415" t="s">
        <v>141</v>
      </c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</row>
    <row r="134" spans="2:14" s="93" customFormat="1" ht="24.95" customHeight="1">
      <c r="B134" s="411">
        <v>1</v>
      </c>
      <c r="C134" s="412"/>
      <c r="D134" s="409" t="s">
        <v>142</v>
      </c>
      <c r="E134" s="409"/>
      <c r="F134" s="409"/>
      <c r="G134" s="409"/>
      <c r="H134" s="409"/>
      <c r="I134" s="409"/>
      <c r="J134" s="409"/>
      <c r="K134" s="409"/>
      <c r="L134" s="409"/>
      <c r="M134" s="409"/>
      <c r="N134" s="410"/>
    </row>
    <row r="135" spans="2:14" s="93" customFormat="1" ht="24.95" customHeight="1">
      <c r="B135" s="411">
        <v>2</v>
      </c>
      <c r="C135" s="412"/>
      <c r="D135" s="409" t="s">
        <v>143</v>
      </c>
      <c r="E135" s="409"/>
      <c r="F135" s="409"/>
      <c r="G135" s="409"/>
      <c r="H135" s="409"/>
      <c r="I135" s="409"/>
      <c r="J135" s="409"/>
      <c r="K135" s="409"/>
      <c r="L135" s="409"/>
      <c r="M135" s="409"/>
      <c r="N135" s="410"/>
    </row>
    <row r="136" spans="2:14" s="93" customFormat="1" ht="24.95" customHeight="1">
      <c r="B136" s="411">
        <v>3</v>
      </c>
      <c r="C136" s="412"/>
      <c r="D136" s="409" t="s">
        <v>144</v>
      </c>
      <c r="E136" s="409"/>
      <c r="F136" s="409"/>
      <c r="G136" s="409"/>
      <c r="H136" s="409"/>
      <c r="I136" s="409"/>
      <c r="J136" s="409"/>
      <c r="K136" s="409"/>
      <c r="L136" s="409"/>
      <c r="M136" s="409"/>
      <c r="N136" s="410"/>
    </row>
    <row r="137" spans="2:14" s="139" customFormat="1" ht="30" customHeight="1">
      <c r="B137" s="415" t="s">
        <v>145</v>
      </c>
      <c r="C137" s="416"/>
      <c r="D137" s="416"/>
      <c r="E137" s="416"/>
      <c r="F137" s="416"/>
      <c r="G137" s="416"/>
      <c r="H137" s="416"/>
      <c r="I137" s="416"/>
      <c r="J137" s="416"/>
      <c r="K137" s="416"/>
      <c r="L137" s="416"/>
      <c r="M137" s="416"/>
      <c r="N137" s="417"/>
    </row>
    <row r="138" spans="2:14" s="139" customFormat="1" ht="30" customHeight="1">
      <c r="B138" s="435" t="s">
        <v>146</v>
      </c>
      <c r="C138" s="436"/>
      <c r="D138" s="436"/>
      <c r="E138" s="436"/>
      <c r="F138" s="436"/>
      <c r="G138" s="436"/>
      <c r="H138" s="436"/>
      <c r="I138" s="436"/>
      <c r="J138" s="436"/>
      <c r="K138" s="436"/>
      <c r="L138" s="436"/>
      <c r="M138" s="436"/>
      <c r="N138" s="437"/>
    </row>
    <row r="139" spans="2:14" s="93" customFormat="1" ht="24.95" customHeight="1">
      <c r="B139" s="411">
        <v>1</v>
      </c>
      <c r="C139" s="412"/>
      <c r="D139" s="409" t="s">
        <v>147</v>
      </c>
      <c r="E139" s="409"/>
      <c r="F139" s="409"/>
      <c r="G139" s="409"/>
      <c r="H139" s="409"/>
      <c r="I139" s="409"/>
      <c r="J139" s="409"/>
      <c r="K139" s="409"/>
      <c r="L139" s="409"/>
      <c r="M139" s="409"/>
      <c r="N139" s="410"/>
    </row>
    <row r="140" spans="2:14" s="93" customFormat="1" ht="24.95" customHeight="1">
      <c r="B140" s="411">
        <v>2</v>
      </c>
      <c r="C140" s="412"/>
      <c r="D140" s="409" t="s">
        <v>403</v>
      </c>
      <c r="E140" s="409"/>
      <c r="F140" s="409"/>
      <c r="G140" s="409"/>
      <c r="H140" s="409"/>
      <c r="I140" s="409"/>
      <c r="J140" s="409"/>
      <c r="K140" s="409"/>
      <c r="L140" s="409"/>
      <c r="M140" s="409"/>
      <c r="N140" s="410"/>
    </row>
    <row r="141" spans="2:14" s="93" customFormat="1" ht="24.95" customHeight="1">
      <c r="B141" s="411">
        <v>3</v>
      </c>
      <c r="C141" s="412"/>
      <c r="D141" s="409" t="s">
        <v>148</v>
      </c>
      <c r="E141" s="409"/>
      <c r="F141" s="409"/>
      <c r="G141" s="409"/>
      <c r="H141" s="409"/>
      <c r="I141" s="409"/>
      <c r="J141" s="409"/>
      <c r="K141" s="409"/>
      <c r="L141" s="409"/>
      <c r="M141" s="409"/>
      <c r="N141" s="410"/>
    </row>
    <row r="142" spans="2:14" s="93" customFormat="1" ht="24.95" customHeight="1">
      <c r="B142" s="411">
        <v>4</v>
      </c>
      <c r="C142" s="412"/>
      <c r="D142" s="409" t="s">
        <v>149</v>
      </c>
      <c r="E142" s="409"/>
      <c r="F142" s="409"/>
      <c r="G142" s="409"/>
      <c r="H142" s="409"/>
      <c r="I142" s="409"/>
      <c r="J142" s="409"/>
      <c r="K142" s="409"/>
      <c r="L142" s="409"/>
      <c r="M142" s="409"/>
      <c r="N142" s="410"/>
    </row>
    <row r="143" spans="2:14" s="93" customFormat="1" ht="24.95" customHeight="1">
      <c r="B143" s="411">
        <v>5</v>
      </c>
      <c r="C143" s="412"/>
      <c r="D143" s="409" t="s">
        <v>150</v>
      </c>
      <c r="E143" s="409"/>
      <c r="F143" s="409"/>
      <c r="G143" s="409"/>
      <c r="H143" s="409"/>
      <c r="I143" s="409"/>
      <c r="J143" s="409"/>
      <c r="K143" s="409"/>
      <c r="L143" s="409"/>
      <c r="M143" s="409"/>
      <c r="N143" s="410"/>
    </row>
    <row r="144" spans="2:14" s="93" customFormat="1" ht="24.95" customHeight="1">
      <c r="B144" s="411">
        <v>6</v>
      </c>
      <c r="C144" s="412"/>
      <c r="D144" s="409" t="s">
        <v>151</v>
      </c>
      <c r="E144" s="409"/>
      <c r="F144" s="409"/>
      <c r="G144" s="409"/>
      <c r="H144" s="409"/>
      <c r="I144" s="409"/>
      <c r="J144" s="409"/>
      <c r="K144" s="409"/>
      <c r="L144" s="409"/>
      <c r="M144" s="409"/>
      <c r="N144" s="410"/>
    </row>
    <row r="145" spans="2:14" s="140" customFormat="1" ht="30" customHeight="1">
      <c r="B145" s="415" t="s">
        <v>152</v>
      </c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7"/>
    </row>
    <row r="146" spans="2:14" s="93" customFormat="1" ht="24.95" customHeight="1">
      <c r="B146" s="411">
        <v>1</v>
      </c>
      <c r="C146" s="412"/>
      <c r="D146" s="409" t="s">
        <v>153</v>
      </c>
      <c r="E146" s="409"/>
      <c r="F146" s="409"/>
      <c r="G146" s="409"/>
      <c r="H146" s="409"/>
      <c r="I146" s="409"/>
      <c r="J146" s="409"/>
      <c r="K146" s="409"/>
      <c r="L146" s="409"/>
      <c r="M146" s="409"/>
      <c r="N146" s="410"/>
    </row>
    <row r="147" spans="2:14" s="93" customFormat="1" ht="135" customHeight="1">
      <c r="B147" s="411">
        <v>2</v>
      </c>
      <c r="C147" s="412"/>
      <c r="D147" s="421" t="s">
        <v>154</v>
      </c>
      <c r="E147" s="422"/>
      <c r="F147" s="422"/>
      <c r="G147" s="422"/>
      <c r="H147" s="422"/>
      <c r="I147" s="422"/>
      <c r="J147" s="422"/>
      <c r="K147" s="422"/>
      <c r="L147" s="422"/>
      <c r="M147" s="422"/>
      <c r="N147" s="423"/>
    </row>
    <row r="148" spans="2:14" s="93" customFormat="1" ht="24.95" customHeight="1">
      <c r="B148" s="411">
        <v>3</v>
      </c>
      <c r="C148" s="412"/>
      <c r="D148" s="409" t="s">
        <v>155</v>
      </c>
      <c r="E148" s="409"/>
      <c r="F148" s="409"/>
      <c r="G148" s="409"/>
      <c r="H148" s="409"/>
      <c r="I148" s="409"/>
      <c r="J148" s="409"/>
      <c r="K148" s="409"/>
      <c r="L148" s="409"/>
      <c r="M148" s="409"/>
      <c r="N148" s="410"/>
    </row>
    <row r="149" spans="2:14" s="93" customFormat="1" ht="24.95" customHeight="1">
      <c r="B149" s="411">
        <v>4</v>
      </c>
      <c r="C149" s="412"/>
      <c r="D149" s="409" t="s">
        <v>156</v>
      </c>
      <c r="E149" s="409"/>
      <c r="F149" s="409"/>
      <c r="G149" s="409"/>
      <c r="H149" s="409"/>
      <c r="I149" s="409"/>
      <c r="J149" s="409"/>
      <c r="K149" s="409"/>
      <c r="L149" s="409"/>
      <c r="M149" s="409"/>
      <c r="N149" s="410"/>
    </row>
    <row r="150" spans="2:14" s="140" customFormat="1" ht="30" customHeight="1">
      <c r="B150" s="415" t="s">
        <v>157</v>
      </c>
      <c r="C150" s="416"/>
      <c r="D150" s="416"/>
      <c r="E150" s="416"/>
      <c r="F150" s="416"/>
      <c r="G150" s="416"/>
      <c r="H150" s="416"/>
      <c r="I150" s="416"/>
      <c r="J150" s="416"/>
      <c r="K150" s="416"/>
      <c r="L150" s="416"/>
      <c r="M150" s="416"/>
      <c r="N150" s="417"/>
    </row>
    <row r="151" spans="2:14" s="93" customFormat="1" ht="24.95" customHeight="1">
      <c r="B151" s="411">
        <v>1</v>
      </c>
      <c r="C151" s="412"/>
      <c r="D151" s="409" t="s">
        <v>158</v>
      </c>
      <c r="E151" s="409"/>
      <c r="F151" s="409"/>
      <c r="G151" s="409"/>
      <c r="H151" s="409"/>
      <c r="I151" s="409"/>
      <c r="J151" s="409"/>
      <c r="K151" s="409"/>
      <c r="L151" s="409"/>
      <c r="M151" s="409"/>
      <c r="N151" s="410"/>
    </row>
    <row r="152" spans="2:14" s="93" customFormat="1" ht="55.9" customHeight="1">
      <c r="B152" s="411">
        <v>2</v>
      </c>
      <c r="C152" s="412"/>
      <c r="D152" s="421" t="s">
        <v>159</v>
      </c>
      <c r="E152" s="422"/>
      <c r="F152" s="422"/>
      <c r="G152" s="422"/>
      <c r="H152" s="422"/>
      <c r="I152" s="422"/>
      <c r="J152" s="422"/>
      <c r="K152" s="422"/>
      <c r="L152" s="422"/>
      <c r="M152" s="422"/>
      <c r="N152" s="423"/>
    </row>
    <row r="153" spans="2:14" s="140" customFormat="1" ht="30" customHeight="1">
      <c r="B153" s="415" t="s">
        <v>160</v>
      </c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7"/>
    </row>
    <row r="154" spans="2:14" s="93" customFormat="1" ht="24.95" customHeight="1">
      <c r="B154" s="411">
        <v>1</v>
      </c>
      <c r="C154" s="412"/>
      <c r="D154" s="440" t="s">
        <v>161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24.95" customHeight="1">
      <c r="B155" s="411">
        <v>2</v>
      </c>
      <c r="C155" s="412"/>
      <c r="D155" s="440" t="s">
        <v>162</v>
      </c>
      <c r="E155" s="440"/>
      <c r="F155" s="440"/>
      <c r="G155" s="440"/>
      <c r="H155" s="440"/>
      <c r="I155" s="440"/>
      <c r="J155" s="440"/>
      <c r="K155" s="440"/>
      <c r="L155" s="440"/>
      <c r="M155" s="440"/>
      <c r="N155" s="441"/>
    </row>
    <row r="156" spans="2:14" s="93" customFormat="1" ht="49.9" customHeight="1">
      <c r="B156" s="411">
        <v>3</v>
      </c>
      <c r="C156" s="412"/>
      <c r="D156" s="445" t="s">
        <v>163</v>
      </c>
      <c r="E156" s="446"/>
      <c r="F156" s="446"/>
      <c r="G156" s="446"/>
      <c r="H156" s="446"/>
      <c r="I156" s="446"/>
      <c r="J156" s="446"/>
      <c r="K156" s="446"/>
      <c r="L156" s="446"/>
      <c r="M156" s="446"/>
      <c r="N156" s="447"/>
    </row>
    <row r="157" spans="2:14" s="93" customFormat="1" ht="24.95" customHeight="1">
      <c r="B157" s="411">
        <v>4</v>
      </c>
      <c r="C157" s="412"/>
      <c r="D157" s="440" t="s">
        <v>164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140" customFormat="1" ht="30" customHeight="1">
      <c r="B158" s="415" t="s">
        <v>165</v>
      </c>
      <c r="C158" s="416"/>
      <c r="D158" s="416"/>
      <c r="E158" s="416"/>
      <c r="F158" s="416"/>
      <c r="G158" s="416"/>
      <c r="H158" s="416"/>
      <c r="I158" s="416"/>
      <c r="J158" s="416"/>
      <c r="K158" s="416"/>
      <c r="L158" s="416"/>
      <c r="M158" s="416"/>
      <c r="N158" s="417"/>
    </row>
    <row r="159" spans="2:14" s="93" customFormat="1" ht="24.95" customHeight="1">
      <c r="B159" s="411">
        <v>1</v>
      </c>
      <c r="C159" s="412"/>
      <c r="D159" s="440" t="s">
        <v>166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11">
        <v>2</v>
      </c>
      <c r="C160" s="412"/>
      <c r="D160" s="440" t="s">
        <v>167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11">
        <v>3</v>
      </c>
      <c r="C161" s="412"/>
      <c r="D161" s="440" t="s">
        <v>168</v>
      </c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93" customFormat="1" ht="24.95" customHeight="1">
      <c r="B162" s="411">
        <v>4</v>
      </c>
      <c r="C162" s="412"/>
      <c r="D162" s="440" t="s">
        <v>402</v>
      </c>
      <c r="E162" s="440"/>
      <c r="F162" s="440"/>
      <c r="G162" s="440"/>
      <c r="H162" s="440"/>
      <c r="I162" s="440"/>
      <c r="J162" s="440"/>
      <c r="K162" s="440"/>
      <c r="L162" s="440"/>
      <c r="M162" s="440"/>
      <c r="N162" s="441"/>
    </row>
    <row r="163" spans="2:14" s="93" customFormat="1" ht="24.95" customHeight="1">
      <c r="B163" s="442" t="s">
        <v>240</v>
      </c>
      <c r="C163" s="443"/>
      <c r="D163" s="443"/>
      <c r="E163" s="443"/>
      <c r="F163" s="443"/>
      <c r="G163" s="443"/>
      <c r="H163" s="443"/>
      <c r="I163" s="443"/>
      <c r="J163" s="443"/>
      <c r="K163" s="443"/>
      <c r="L163" s="443"/>
      <c r="M163" s="443"/>
      <c r="N163" s="444"/>
    </row>
    <row r="164" spans="2:14" s="93" customFormat="1" ht="24.95" customHeight="1">
      <c r="B164" s="442" t="s">
        <v>241</v>
      </c>
      <c r="C164" s="443"/>
      <c r="D164" s="443"/>
      <c r="E164" s="443"/>
      <c r="F164" s="443"/>
      <c r="G164" s="443"/>
      <c r="H164" s="443"/>
      <c r="I164" s="443"/>
      <c r="J164" s="443"/>
      <c r="K164" s="443"/>
      <c r="L164" s="443"/>
      <c r="M164" s="443"/>
      <c r="N164" s="444"/>
    </row>
    <row r="165" spans="2:14" s="93" customFormat="1" ht="41.25" customHeight="1">
      <c r="B165" s="460"/>
      <c r="C165" s="461"/>
      <c r="D165" s="461"/>
      <c r="E165" s="461"/>
      <c r="F165" s="461"/>
      <c r="G165" s="461"/>
      <c r="H165" s="461"/>
      <c r="I165" s="461"/>
      <c r="J165" s="461"/>
      <c r="K165" s="461"/>
      <c r="L165" s="461"/>
      <c r="M165" s="461"/>
      <c r="N165" s="462"/>
    </row>
    <row r="166" spans="2:14" s="93" customFormat="1" ht="39.950000000000003" customHeight="1">
      <c r="B166" s="463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5"/>
    </row>
    <row r="167" spans="2:14" s="93" customFormat="1" ht="41.25" customHeight="1">
      <c r="B167" s="463"/>
      <c r="C167" s="464"/>
      <c r="D167" s="464"/>
      <c r="E167" s="464"/>
      <c r="F167" s="464"/>
      <c r="G167" s="464"/>
      <c r="H167" s="464"/>
      <c r="I167" s="464"/>
      <c r="J167" s="464"/>
      <c r="K167" s="464"/>
      <c r="L167" s="464"/>
      <c r="M167" s="464"/>
      <c r="N167" s="465"/>
    </row>
    <row r="168" spans="2:14" s="93" customFormat="1" ht="39.950000000000003" customHeight="1" thickBot="1">
      <c r="B168" s="466"/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8"/>
    </row>
    <row r="169" spans="2:14" s="93" customFormat="1" ht="30" customHeight="1" thickTop="1">
      <c r="B169" s="450" t="s">
        <v>110</v>
      </c>
      <c r="C169" s="451"/>
      <c r="D169" s="451"/>
      <c r="E169" s="454"/>
      <c r="F169" s="455"/>
      <c r="G169" s="455"/>
      <c r="H169" s="455"/>
      <c r="I169" s="455"/>
      <c r="J169" s="455"/>
      <c r="K169" s="455"/>
      <c r="L169" s="456"/>
      <c r="M169" s="451" t="s">
        <v>205</v>
      </c>
      <c r="N169" s="452"/>
    </row>
    <row r="170" spans="2:14" s="93" customFormat="1" ht="33" customHeight="1" thickBot="1">
      <c r="B170" s="453" t="s">
        <v>107</v>
      </c>
      <c r="C170" s="448"/>
      <c r="D170" s="448"/>
      <c r="E170" s="457"/>
      <c r="F170" s="458"/>
      <c r="G170" s="458"/>
      <c r="H170" s="458"/>
      <c r="I170" s="458"/>
      <c r="J170" s="458"/>
      <c r="K170" s="458"/>
      <c r="L170" s="459"/>
      <c r="M170" s="448" t="s">
        <v>108</v>
      </c>
      <c r="N170" s="44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5:N125"/>
    <mergeCell ref="B124:C124"/>
    <mergeCell ref="D124:N124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43664</v>
      </c>
      <c r="F2" s="514" t="s">
        <v>245</v>
      </c>
      <c r="G2" s="514"/>
    </row>
    <row r="3" spans="3:13">
      <c r="C3" s="297" t="s">
        <v>126</v>
      </c>
      <c r="D3" s="515" t="str">
        <f>QUOTATION!F7</f>
        <v>Mr. Balaji residence</v>
      </c>
      <c r="E3" s="515"/>
      <c r="F3" s="518" t="s">
        <v>246</v>
      </c>
      <c r="G3" s="519">
        <f>QUOTATION!N8</f>
        <v>43664</v>
      </c>
    </row>
    <row r="4" spans="3:13">
      <c r="C4" s="297" t="s">
        <v>243</v>
      </c>
      <c r="D4" s="516" t="str">
        <f>QUOTATION!M6</f>
        <v>ABPL-DE-19.20-2116</v>
      </c>
      <c r="E4" s="516"/>
      <c r="F4" s="518"/>
      <c r="G4" s="520"/>
    </row>
    <row r="5" spans="3:13">
      <c r="C5" s="297" t="s">
        <v>127</v>
      </c>
      <c r="D5" s="515" t="str">
        <f>QUOTATION!F8</f>
        <v>Hyderabad</v>
      </c>
      <c r="E5" s="515"/>
      <c r="F5" s="518"/>
      <c r="G5" s="520"/>
    </row>
    <row r="6" spans="3:13">
      <c r="C6" s="297" t="s">
        <v>169</v>
      </c>
      <c r="D6" s="515" t="str">
        <f>QUOTATION!F9</f>
        <v>Mr.  Ranjith : 8008103068</v>
      </c>
      <c r="E6" s="515"/>
      <c r="F6" s="518"/>
      <c r="G6" s="520"/>
    </row>
    <row r="7" spans="3:13">
      <c r="C7" s="297" t="s">
        <v>377</v>
      </c>
      <c r="D7" s="515">
        <f>QUOTATION!M10</f>
        <v>0</v>
      </c>
      <c r="E7" s="515"/>
      <c r="F7" s="518"/>
      <c r="G7" s="520"/>
    </row>
    <row r="8" spans="3:13">
      <c r="C8" s="297" t="s">
        <v>177</v>
      </c>
      <c r="D8" s="515" t="str">
        <f>QUOTATION!F10</f>
        <v>Anodised</v>
      </c>
      <c r="E8" s="515"/>
      <c r="F8" s="518"/>
      <c r="G8" s="520"/>
    </row>
    <row r="9" spans="3:13">
      <c r="C9" s="297" t="s">
        <v>178</v>
      </c>
      <c r="D9" s="515" t="str">
        <f>QUOTATION!I10</f>
        <v>Silver</v>
      </c>
      <c r="E9" s="515"/>
      <c r="F9" s="518"/>
      <c r="G9" s="520"/>
    </row>
    <row r="10" spans="3:13">
      <c r="C10" s="297" t="s">
        <v>180</v>
      </c>
      <c r="D10" s="515" t="str">
        <f>QUOTATION!I8</f>
        <v>1.5Kpa</v>
      </c>
      <c r="E10" s="515"/>
      <c r="F10" s="518"/>
      <c r="G10" s="520"/>
    </row>
    <row r="11" spans="3:13">
      <c r="C11" s="297" t="s">
        <v>242</v>
      </c>
      <c r="D11" s="515" t="str">
        <f>QUOTATION!M9</f>
        <v>Mahesh</v>
      </c>
      <c r="E11" s="515"/>
      <c r="F11" s="518"/>
      <c r="G11" s="520"/>
    </row>
    <row r="12" spans="3:13">
      <c r="C12" s="297" t="s">
        <v>244</v>
      </c>
      <c r="D12" s="517">
        <f>QUOTATION!M7</f>
        <v>43664</v>
      </c>
      <c r="E12" s="517"/>
      <c r="F12" s="518"/>
      <c r="G12" s="521"/>
    </row>
    <row r="13" spans="3:13">
      <c r="C13" s="193" t="s">
        <v>236</v>
      </c>
      <c r="D13" s="510" t="s">
        <v>232</v>
      </c>
      <c r="E13" s="511"/>
      <c r="F13" s="512" t="s">
        <v>233</v>
      </c>
      <c r="G13" s="513"/>
    </row>
    <row r="14" spans="3:13">
      <c r="C14" s="194" t="s">
        <v>234</v>
      </c>
      <c r="D14" s="296"/>
      <c r="E14" s="244">
        <f>Pricing!L104</f>
        <v>12545.64</v>
      </c>
      <c r="F14" s="205"/>
      <c r="G14" s="206">
        <f>E14</f>
        <v>12545.64</v>
      </c>
    </row>
    <row r="15" spans="3:13">
      <c r="C15" s="194" t="s">
        <v>235</v>
      </c>
      <c r="D15" s="296">
        <f>'Changable Values'!D4</f>
        <v>83</v>
      </c>
      <c r="E15" s="199">
        <f>E14*D15</f>
        <v>1041288.12</v>
      </c>
      <c r="F15" s="205"/>
      <c r="G15" s="207">
        <f>E15</f>
        <v>1041288.12</v>
      </c>
    </row>
    <row r="16" spans="3:13">
      <c r="C16" s="195" t="s">
        <v>97</v>
      </c>
      <c r="D16" s="200">
        <f>'Changable Values'!D5</f>
        <v>0.1</v>
      </c>
      <c r="E16" s="199">
        <f>E15*D16</f>
        <v>104128.81200000001</v>
      </c>
      <c r="F16" s="208">
        <f>'Changable Values'!D5</f>
        <v>0.1</v>
      </c>
      <c r="G16" s="207">
        <f>G15*F16</f>
        <v>104128.81200000001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125995.86252000001</v>
      </c>
      <c r="F17" s="208">
        <f>'Changable Values'!D6</f>
        <v>0.11</v>
      </c>
      <c r="G17" s="207">
        <f>SUM(G15:G16)*F17</f>
        <v>125995.86252000001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6357.0639725999999</v>
      </c>
      <c r="F18" s="208">
        <f>'Changable Values'!D7</f>
        <v>5.0000000000000001E-3</v>
      </c>
      <c r="G18" s="207">
        <f>SUM(G15:G17)*F18</f>
        <v>6357.0639725999999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12777.698584926</v>
      </c>
      <c r="F19" s="208">
        <f>'Changable Values'!D8</f>
        <v>0.01</v>
      </c>
      <c r="G19" s="207">
        <f>SUM(G15:G18)*F19</f>
        <v>12777.698584926</v>
      </c>
    </row>
    <row r="20" spans="3:7">
      <c r="C20" s="195" t="s">
        <v>99</v>
      </c>
      <c r="D20" s="201"/>
      <c r="E20" s="199">
        <f>SUM(E15:E19)</f>
        <v>1290547.5570775261</v>
      </c>
      <c r="F20" s="208"/>
      <c r="G20" s="207">
        <f>SUM(G15:G19)</f>
        <v>1290547.5570775261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19358.213356162891</v>
      </c>
      <c r="F21" s="208">
        <f>'Changable Values'!D9</f>
        <v>1.4999999999999999E-2</v>
      </c>
      <c r="G21" s="207">
        <f>G20*F21</f>
        <v>19358.213356162891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482657.86906399991</v>
      </c>
      <c r="F23" s="209"/>
      <c r="G23" s="207">
        <f t="shared" si="0"/>
        <v>482657.86906399991</v>
      </c>
    </row>
    <row r="24" spans="3:7">
      <c r="C24" s="195" t="s">
        <v>230</v>
      </c>
      <c r="D24" s="198"/>
      <c r="E24" s="199">
        <f>'Cost Calculation'!AH111</f>
        <v>53421.002360655737</v>
      </c>
      <c r="F24" s="209"/>
      <c r="G24" s="207">
        <f t="shared" si="0"/>
        <v>53421.002360655737</v>
      </c>
    </row>
    <row r="25" spans="3:7">
      <c r="C25" s="196" t="s">
        <v>238</v>
      </c>
      <c r="D25" s="198"/>
      <c r="E25" s="199">
        <f>'Cost Calculation'!AJ109</f>
        <v>5968.4894567999991</v>
      </c>
      <c r="F25" s="209"/>
      <c r="G25" s="207">
        <f t="shared" si="0"/>
        <v>5968.4894567999991</v>
      </c>
    </row>
    <row r="26" spans="3:7">
      <c r="C26" s="196" t="s">
        <v>239</v>
      </c>
      <c r="D26" s="198"/>
      <c r="E26" s="199">
        <f>'Cost Calculation'!AK109</f>
        <v>179600.7758688</v>
      </c>
      <c r="F26" s="209"/>
      <c r="G26" s="207">
        <f t="shared" si="0"/>
        <v>179600.7758688</v>
      </c>
    </row>
    <row r="27" spans="3:7">
      <c r="C27" s="195" t="s">
        <v>86</v>
      </c>
      <c r="D27" s="198"/>
      <c r="E27" s="199">
        <f>'Cost Calculation'!AL109</f>
        <v>262248.80872319988</v>
      </c>
      <c r="F27" s="209"/>
      <c r="G27" s="207">
        <f t="shared" si="0"/>
        <v>262248.80872319988</v>
      </c>
    </row>
    <row r="28" spans="3:7">
      <c r="C28" s="195" t="s">
        <v>88</v>
      </c>
      <c r="D28" s="198"/>
      <c r="E28" s="199">
        <f>'Cost Calculation'!AN109</f>
        <v>209799.04697855993</v>
      </c>
      <c r="F28" s="209"/>
      <c r="G28" s="207">
        <f t="shared" si="0"/>
        <v>209799.04697855993</v>
      </c>
    </row>
    <row r="29" spans="3:7">
      <c r="C29" s="293" t="s">
        <v>380</v>
      </c>
      <c r="D29" s="294"/>
      <c r="E29" s="295">
        <f>SUM(E20:E28)</f>
        <v>2503601.7628857042</v>
      </c>
      <c r="F29" s="209"/>
      <c r="G29" s="207">
        <f>SUM(G20:G21,G24)</f>
        <v>1363326.7727943447</v>
      </c>
    </row>
    <row r="30" spans="3:7">
      <c r="C30" s="293" t="s">
        <v>381</v>
      </c>
      <c r="D30" s="294"/>
      <c r="E30" s="295">
        <f>E29/E33</f>
        <v>954.66659127066669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1704158.4659929306</v>
      </c>
      <c r="F31" s="214">
        <f>'Changable Values'!D23</f>
        <v>1.25</v>
      </c>
      <c r="G31" s="207">
        <f>G29*F31</f>
        <v>1704158.4659929308</v>
      </c>
    </row>
    <row r="32" spans="3:7">
      <c r="C32" s="290" t="s">
        <v>5</v>
      </c>
      <c r="D32" s="291"/>
      <c r="E32" s="292">
        <f>E31+E29</f>
        <v>4207760.228878635</v>
      </c>
      <c r="F32" s="205"/>
      <c r="G32" s="207">
        <f>SUM(G25:G31,G22:G23)</f>
        <v>4207760.228878635</v>
      </c>
    </row>
    <row r="33" spans="3:7">
      <c r="C33" s="300" t="s">
        <v>231</v>
      </c>
      <c r="D33" s="301"/>
      <c r="E33" s="308">
        <f>'Cost Calculation'!K109</f>
        <v>2622.488087232</v>
      </c>
      <c r="F33" s="210"/>
      <c r="G33" s="211">
        <f>E33</f>
        <v>2622.488087232</v>
      </c>
    </row>
    <row r="34" spans="3:7">
      <c r="C34" s="302" t="s">
        <v>9</v>
      </c>
      <c r="D34" s="303"/>
      <c r="E34" s="304">
        <f>QUOTATION!L116</f>
        <v>44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1604.4916464500961</v>
      </c>
      <c r="F35" s="212"/>
      <c r="G35" s="213">
        <f>G32/(G33)</f>
        <v>1604.4916464500961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6"/>
      <c r="C4" s="527"/>
      <c r="D4" s="528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0" t="s">
        <v>39</v>
      </c>
      <c r="C5" s="531"/>
      <c r="D5" s="529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2"/>
      <c r="C6" s="533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2" t="s">
        <v>11</v>
      </c>
      <c r="C35" s="523"/>
      <c r="D35" s="523"/>
      <c r="E35" s="523"/>
      <c r="F35" s="523"/>
      <c r="G35" s="523"/>
      <c r="H35" s="523"/>
      <c r="I35" s="523"/>
      <c r="J35" s="524"/>
      <c r="K35" s="28">
        <f>SUM(K8:K34)</f>
        <v>0</v>
      </c>
    </row>
    <row r="36" spans="2:11" ht="15.75">
      <c r="B36" s="522" t="s">
        <v>4</v>
      </c>
      <c r="C36" s="523"/>
      <c r="D36" s="523"/>
      <c r="E36" s="523"/>
      <c r="F36" s="523"/>
      <c r="G36" s="523"/>
      <c r="H36" s="523"/>
      <c r="I36" s="524"/>
      <c r="J36" s="29">
        <v>0.1</v>
      </c>
      <c r="K36" s="28">
        <f>J36*K35</f>
        <v>0</v>
      </c>
    </row>
    <row r="37" spans="2:11" ht="15.75">
      <c r="B37" s="522" t="s">
        <v>5</v>
      </c>
      <c r="C37" s="523"/>
      <c r="D37" s="523"/>
      <c r="E37" s="523"/>
      <c r="F37" s="523"/>
      <c r="G37" s="523"/>
      <c r="H37" s="523"/>
      <c r="I37" s="523"/>
      <c r="J37" s="524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5" t="s">
        <v>21</v>
      </c>
      <c r="J38" s="525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2019-07-18T10:34:05Z</cp:lastPrinted>
  <dcterms:created xsi:type="dcterms:W3CDTF">2010-12-18T06:34:46Z</dcterms:created>
  <dcterms:modified xsi:type="dcterms:W3CDTF">2019-07-18T10:37:15Z</dcterms:modified>
</cp:coreProperties>
</file>