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Drawings!$C$2:$O$172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17" i="158" l="1"/>
  <c r="R15" i="158"/>
  <c r="R14" i="158"/>
  <c r="R11" i="158"/>
  <c r="R8" i="158"/>
  <c r="R6" i="158"/>
  <c r="R5" i="158"/>
  <c r="R7" i="158"/>
  <c r="R9" i="158"/>
  <c r="R12" i="158"/>
  <c r="R13" i="158"/>
  <c r="R18" i="158"/>
  <c r="R4" i="158"/>
  <c r="Q16" i="158"/>
  <c r="Q10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25" i="159" l="1"/>
  <c r="AH33" i="159"/>
  <c r="AH41" i="159"/>
  <c r="AH49" i="159"/>
  <c r="AH57" i="159"/>
  <c r="AH65" i="159"/>
  <c r="AH73" i="159"/>
  <c r="AH81" i="159"/>
  <c r="AH89" i="159"/>
  <c r="AH97" i="159"/>
  <c r="AH105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27" i="159"/>
  <c r="AH35" i="159"/>
  <c r="AH43" i="159"/>
  <c r="AH51" i="159"/>
  <c r="AH59" i="159"/>
  <c r="AH67" i="159"/>
  <c r="AH83" i="159"/>
  <c r="AH99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9" i="159"/>
  <c r="AH37" i="159"/>
  <c r="AH45" i="159"/>
  <c r="AH53" i="159"/>
  <c r="AH61" i="159"/>
  <c r="AH69" i="159"/>
  <c r="AH77" i="159"/>
  <c r="AH85" i="159"/>
  <c r="AH93" i="159"/>
  <c r="AH101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AH13" i="159" s="1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AH8" i="159" s="1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M40" i="160" l="1"/>
  <c r="AH22" i="159"/>
  <c r="M30" i="160"/>
  <c r="AH21" i="159"/>
  <c r="AH20" i="159"/>
  <c r="AH19" i="159"/>
  <c r="M26" i="160"/>
  <c r="AH17" i="159"/>
  <c r="AH15" i="159"/>
  <c r="AH14" i="159"/>
  <c r="AH12" i="159"/>
  <c r="AH11" i="159"/>
  <c r="AH10" i="159"/>
  <c r="AH9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F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<sst xmlns="http://schemas.openxmlformats.org/spreadsheetml/2006/main" count="2006" uniqueCount="458">
  <si>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</si>
  <si>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</si>
  <si>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</si>
  <si>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</si>
  <si>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</si>
  <si>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</si>
  <si>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</si>
  <si>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</si>
  <si>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</si>
  <si>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</si>
  <si>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</si>
  <si>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</si>
  <si>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</si>
  <si>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</si>
  <si>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</si>
  <si>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</si>
  <si>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</si>
  <si>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</si>
  <si>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</si>
  <si>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</si>
  <si>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</si>
  <si>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</si>
  <si>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</si>
  <si>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</si>
  <si>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</si>
  <si>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</si>
  <si>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</si>
  <si>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</si>
  <si>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</si>
  <si>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</si>
  <si>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</si>
  <si>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</si>
  <si>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</si>
  <si>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</si>
  <si>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</si>
  <si>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</si>
  <si>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</si>
  <si>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</si>
  <si>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</si>
  <si>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</si>
  <si>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</si>
  <si>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</si>
  <si>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</si>
  <si>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</si>
  <si>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</si>
  <si>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</si>
  <si>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</si>
  <si>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</si>
  <si>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</si>
  <si>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</si>
  <si>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</si>
  <si>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</si>
  <si>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</si>
  <si>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</si>
  <si>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</si>
  <si>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</si>
  <si>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</si>
  <si>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</si>
  <si>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</si>
  <si>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</si>
  <si>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</si>
  <si>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</si>
  <si>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</si>
  <si>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</si>
  <si>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</si>
  <si>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</si>
  <si>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</si>
  <si>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</si>
  <si>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</si>
  <si>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</si>
  <si>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</si>
  <si>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</si>
  <si>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</si>
  <si>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</si>
  <si>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</si>
  <si>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</si>
  <si>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</si>
  <si>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</si>
  <si>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</si>
  <si>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</si>
  <si>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</si>
  <si>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</si>
  <si>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</si>
  <si>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</si>
  <si>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</si>
  <si>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</si>
  <si>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</si>
  <si>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</si>
  <si>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</si>
  <si>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</si>
  <si>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</si>
  <si>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</si>
  <si>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</si>
  <si>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</si>
  <si>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</si>
  <si>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</si>
  <si>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</si>
  <si>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</si>
  <si>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</si>
  <si>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</si>
  <si>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</si>
  <si>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</si>
  <si>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</si>
  <si>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</si>
  <si>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</si>
  <si>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</si>
  <si>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</si>
  <si>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</si>
  <si>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</si>
  <si>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</si>
  <si>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</si>
  <si>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</si>
  <si>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</si>
  <si>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</si>
  <si>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</si>
  <si>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</si>
  <si>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</si>
  <si>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</si>
  <si>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</si>
  <si>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</si>
  <si>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</si>
  <si>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</si>
  <si>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</si>
  <si>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</si>
  <si>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</si>
  <si>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</si>
  <si>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</si>
  <si>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</si>
  <si>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</si>
  <si>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</si>
  <si>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</si>
  <si>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</si>
  <si>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</si>
  <si>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</si>
  <si>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</si>
  <si>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</si>
  <si>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</si>
  <si>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</si>
  <si>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</si>
  <si>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</si>
  <si>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</si>
  <si>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</si>
  <si>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</si>
  <si>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</si>
  <si>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</si>
  <si>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</si>
  <si>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</si>
  <si>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</si>
  <si>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</si>
  <si>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</si>
  <si>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</si>
  <si>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</si>
  <si>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</si>
  <si>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</si>
  <si>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</si>
  <si>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</si>
  <si>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</si>
  <si>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</si>
  <si>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</si>
  <si>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</si>
  <si>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</si>
  <si>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</si>
  <si>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</si>
  <si>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</si>
  <si>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</si>
  <si>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</si>
  <si>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</si>
  <si>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</si>
  <si>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</si>
  <si>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</si>
  <si>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</si>
  <si>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</si>
  <si>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</si>
  <si>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</si>
  <si>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</si>
  <si>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</si>
  <si>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</si>
  <si>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</si>
  <si>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</si>
  <si>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</si>
  <si>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</si>
  <si>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</si>
  <si>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</si>
  <si>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</si>
  <si>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</si>
  <si>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</si>
  <si>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</si>
  <si>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</si>
  <si>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</si>
  <si>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</si>
  <si>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</si>
  <si>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</si>
  <si>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</si>
  <si>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</si>
  <si>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</si>
  <si>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</si>
  <si>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</si>
  <si>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</si>
  <si>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</si>
  <si>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</si>
  <si>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</si>
  <si>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</si>
  <si>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</si>
  <si>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</si>
  <si>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</si>
  <si>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</si>
  <si>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</si>
  <si>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</si>
  <si>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</si>
  <si>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</si>
  <si>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</si>
  <si>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</si>
  <si>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</si>
  <si>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</si>
  <si>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</si>
  <si>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</si>
  <si>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</si>
  <si>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</si>
  <si>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</si>
  <si>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</si>
  <si>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</si>
  <si>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</si>
  <si>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</si>
  <si>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</si>
  <si>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</si>
  <si>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</si>
  <si>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</si>
  <si>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</si>
  <si>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</si>
  <si>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</si>
  <si>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</si>
  <si>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</si>
  <si>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</si>
  <si>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</si>
  <si>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</si>
  <si>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</si>
  <si>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</si>
  <si>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</si>
  <si>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</si>
  <si>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</si>
  <si>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</si>
  <si>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</si>
  <si>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</si>
  <si>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</si>
  <si>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</si>
  <si>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</si>
  <si>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</si>
  <si>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</si>
  <si>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</si>
  <si>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</si>
  <si>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</si>
  <si>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</si>
  <si>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</si>
  <si>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</si>
  <si>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</si>
  <si>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</si>
  <si>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</si>
  <si>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</si>
  <si>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</si>
  <si>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</si>
  <si>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</si>
  <si>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</si>
  <si>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</si>
  <si>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</si>
  <si>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</si>
  <si>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</si>
  <si>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</si>
  <si>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</si>
  <si>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</si>
  <si>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</si>
  <si>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</si>
  <si>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</si>
  <si>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</si>
  <si>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</si>
  <si>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</si>
  <si>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</si>
  <si>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</si>
  <si>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</si>
  <si>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</si>
  <si>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</si>
  <si>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</si>
  <si>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</si>
  <si>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</si>
  <si>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</si>
  <si>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</si>
  <si>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</si>
  <si>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</si>
  <si>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</si>
  <si>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</si>
  <si>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</si>
  <si>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</si>
  <si>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</si>
  <si>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</si>
  <si>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</si>
  <si>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</si>
  <si>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</si>
  <si>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</si>
  <si>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</si>
  <si>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</si>
  <si>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</si>
  <si>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</si>
  <si>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</si>
  <si>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</si>
  <si>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</si>
  <si>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</si>
  <si>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</si>
  <si>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</si>
  <si>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</si>
  <si>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</si>
  <si>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</si>
  <si>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</si>
  <si>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</si>
  <si>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</si>
  <si>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</si>
  <si>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</si>
  <si>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</si>
  <si>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</si>
  <si>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</si>
  <si>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</si>
  <si>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</si>
  <si>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</si>
  <si>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</si>
  <si>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</si>
  <si>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</si>
  <si>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</si>
  <si>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</si>
  <si>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</si>
  <si>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</si>
  <si>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</si>
  <si>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</si>
  <si>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</si>
  <si>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</si>
  <si>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</si>
  <si>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</si>
  <si>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</si>
  <si>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</si>
  <si>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</si>
  <si>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</si>
  <si>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</si>
  <si>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</si>
  <si>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</si>
  <si>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</si>
  <si>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</si>
  <si>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</si>
  <si>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</si>
  <si>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</si>
  <si>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</si>
  <si>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</si>
  <si>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</si>
  <si>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</si>
  <si>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</si>
  <si>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</si>
  <si>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</si>
  <si>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</si>
  <si>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</si>
  <si>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</si>
  <si>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</si>
  <si>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</si>
  <si>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</si>
  <si>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</si>
  <si>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</si>
  <si>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</si>
  <si>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</si>
  <si>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</si>
  <si>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</si>
  <si>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</si>
  <si>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</si>
  <si>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</si>
  <si>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</si>
  <si>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</si>
  <si>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</si>
  <si>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</si>
  <si>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</si>
  <si>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</si>
  <si>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</si>
  <si>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</si>
  <si>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</si>
  <si>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</si>
  <si>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</si>
  <si>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</si>
  <si>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</si>
  <si>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</si>
  <si>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</si>
  <si>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</si>
  <si>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</si>
  <si>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</si>
  <si>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</si>
  <si>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</si>
  <si>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</si>
  <si>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</si>
  <si>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</si>
  <si>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</si>
  <si>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</si>
  <si>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</si>
  <si>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</si>
  <si>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</si>
  <si>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</si>
  <si>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</si>
  <si>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</si>
  <si>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</si>
  <si>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</si>
  <si>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</si>
  <si>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</si>
  <si>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</si>
  <si>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</si>
  <si>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</si>
  <si>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</si>
  <si>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</si>
  <si>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</si>
  <si>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</si>
  <si>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</si>
  <si>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</si>
  <si>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</si>
  <si>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</si>
  <si>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</si>
  <si>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</si>
  <si>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</si>
  <si>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</si>
  <si>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</si>
  <si>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ABPL-DE-19.20-2127</t>
  </si>
  <si>
    <t>Powder Coating</t>
  </si>
  <si>
    <t>Mr. Arun</t>
  </si>
  <si>
    <t>V1</t>
  </si>
  <si>
    <t>M940</t>
  </si>
  <si>
    <t>TOP HUNG WINDOW</t>
  </si>
  <si>
    <t>13.52MM (F)</t>
  </si>
  <si>
    <t>NO</t>
  </si>
  <si>
    <t>NA</t>
  </si>
  <si>
    <t>W1</t>
  </si>
  <si>
    <t>FRENCH CASEMENT WINDOW WITH TOP FIXED</t>
  </si>
  <si>
    <t>13.52MM</t>
  </si>
  <si>
    <t>W2</t>
  </si>
  <si>
    <t>FRENCH CASEMENT WINDOW</t>
  </si>
  <si>
    <t>W7</t>
  </si>
  <si>
    <t>SIDE HUNG WINDOW</t>
  </si>
  <si>
    <t>W3</t>
  </si>
  <si>
    <t>W5</t>
  </si>
  <si>
    <t>W6</t>
  </si>
  <si>
    <t>M900</t>
  </si>
  <si>
    <t>3 TRACK 2 SHUTTER SLIDING WINDOW</t>
  </si>
  <si>
    <t>SS</t>
  </si>
  <si>
    <t>W8</t>
  </si>
  <si>
    <t>SIDE HUNG WINDOW WITH TOP FIXED</t>
  </si>
  <si>
    <t>W9</t>
  </si>
  <si>
    <t>FIXED GLASS</t>
  </si>
  <si>
    <t>W10</t>
  </si>
  <si>
    <t>W11</t>
  </si>
  <si>
    <t>W12</t>
  </si>
  <si>
    <t>W4</t>
  </si>
  <si>
    <t>W13</t>
  </si>
  <si>
    <t>W14</t>
  </si>
  <si>
    <t>Chennai</t>
  </si>
  <si>
    <t>12mm :- 12mm Clear Toughened Glass</t>
  </si>
  <si>
    <t>13.52mm :- 6mm Clear Toughened Glass + 1.52mm Clear PVB + 6mm Clear Toughened Glass</t>
  </si>
  <si>
    <t>13.52mm (F) :- 6mm Frosted Toughened Glass + 1.52mm Clear PVB + 6mm Clear Toughened Glass</t>
  </si>
  <si>
    <t>Transportation is extra as actuals.</t>
  </si>
  <si>
    <t>RETRACTABLE</t>
  </si>
  <si>
    <t>ROLL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</si>
</sst>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1444337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107673</xdr:colOff>
      <xdr:row>9</xdr:row>
      <xdr:rowOff>240196</xdr:rowOff>
    </xdr:from>
    <xdr:to>
      <xdr:col>5</xdr:col>
      <xdr:colOff>1966343</xdr:colOff>
      <xdr:row>14</xdr:row>
      <xdr:rowOff>49696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2029239"/>
          <a:ext cx="1858670" cy="1383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19</xdr:row>
      <xdr:rowOff>140803</xdr:rowOff>
    </xdr:from>
    <xdr:to>
      <xdr:col>6</xdr:col>
      <xdr:colOff>314739</xdr:colOff>
      <xdr:row>27</xdr:row>
      <xdr:rowOff>145883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4928151"/>
          <a:ext cx="2294283" cy="2522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380999</xdr:colOff>
      <xdr:row>30</xdr:row>
      <xdr:rowOff>289890</xdr:rowOff>
    </xdr:from>
    <xdr:to>
      <xdr:col>7</xdr:col>
      <xdr:colOff>182217</xdr:colOff>
      <xdr:row>37</xdr:row>
      <xdr:rowOff>254317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0" y="8390281"/>
          <a:ext cx="2865783" cy="2167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42</xdr:row>
      <xdr:rowOff>49696</xdr:rowOff>
    </xdr:from>
    <xdr:to>
      <xdr:col>5</xdr:col>
      <xdr:colOff>1644832</xdr:colOff>
      <xdr:row>48</xdr:row>
      <xdr:rowOff>215348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11777870"/>
          <a:ext cx="1172724" cy="2054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53</xdr:row>
      <xdr:rowOff>190500</xdr:rowOff>
    </xdr:from>
    <xdr:to>
      <xdr:col>6</xdr:col>
      <xdr:colOff>272178</xdr:colOff>
      <xdr:row>58</xdr:row>
      <xdr:rowOff>198783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15231717"/>
          <a:ext cx="2475352" cy="1581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521803</xdr:colOff>
      <xdr:row>64</xdr:row>
      <xdr:rowOff>173935</xdr:rowOff>
    </xdr:from>
    <xdr:to>
      <xdr:col>5</xdr:col>
      <xdr:colOff>1449456</xdr:colOff>
      <xdr:row>69</xdr:row>
      <xdr:rowOff>291333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3" y="18528196"/>
          <a:ext cx="927653" cy="1691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75</xdr:row>
      <xdr:rowOff>107673</xdr:rowOff>
    </xdr:from>
    <xdr:to>
      <xdr:col>6</xdr:col>
      <xdr:colOff>149088</xdr:colOff>
      <xdr:row>81</xdr:row>
      <xdr:rowOff>194127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1" y="21774977"/>
          <a:ext cx="2219740" cy="1974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198782</xdr:colOff>
      <xdr:row>85</xdr:row>
      <xdr:rowOff>149087</xdr:rowOff>
    </xdr:from>
    <xdr:to>
      <xdr:col>5</xdr:col>
      <xdr:colOff>1722782</xdr:colOff>
      <xdr:row>93</xdr:row>
      <xdr:rowOff>4294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24814696"/>
          <a:ext cx="1524000" cy="2373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579781</xdr:colOff>
      <xdr:row>96</xdr:row>
      <xdr:rowOff>132522</xdr:rowOff>
    </xdr:from>
    <xdr:to>
      <xdr:col>5</xdr:col>
      <xdr:colOff>1184412</xdr:colOff>
      <xdr:row>104</xdr:row>
      <xdr:rowOff>156687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1" y="28111174"/>
          <a:ext cx="604631" cy="2542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108</xdr:row>
      <xdr:rowOff>74543</xdr:rowOff>
    </xdr:from>
    <xdr:to>
      <xdr:col>5</xdr:col>
      <xdr:colOff>1590262</xdr:colOff>
      <xdr:row>114</xdr:row>
      <xdr:rowOff>299975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2" y="31680978"/>
          <a:ext cx="1076740" cy="211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289890</xdr:colOff>
      <xdr:row>119</xdr:row>
      <xdr:rowOff>74543</xdr:rowOff>
    </xdr:from>
    <xdr:to>
      <xdr:col>7</xdr:col>
      <xdr:colOff>66260</xdr:colOff>
      <xdr:row>126</xdr:row>
      <xdr:rowOff>20176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2151" y="34994021"/>
          <a:ext cx="2840935" cy="21488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629477</xdr:colOff>
      <xdr:row>129</xdr:row>
      <xdr:rowOff>281607</xdr:rowOff>
    </xdr:from>
    <xdr:to>
      <xdr:col>6</xdr:col>
      <xdr:colOff>66261</xdr:colOff>
      <xdr:row>137</xdr:row>
      <xdr:rowOff>33909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8" y="38199390"/>
          <a:ext cx="2112066" cy="2270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662607</xdr:colOff>
      <xdr:row>140</xdr:row>
      <xdr:rowOff>265043</xdr:rowOff>
    </xdr:from>
    <xdr:to>
      <xdr:col>6</xdr:col>
      <xdr:colOff>115956</xdr:colOff>
      <xdr:row>147</xdr:row>
      <xdr:rowOff>271052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8" y="41495869"/>
          <a:ext cx="2128631" cy="2209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207063</xdr:colOff>
      <xdr:row>151</xdr:row>
      <xdr:rowOff>91109</xdr:rowOff>
    </xdr:from>
    <xdr:to>
      <xdr:col>5</xdr:col>
      <xdr:colOff>1797324</xdr:colOff>
      <xdr:row>159</xdr:row>
      <xdr:rowOff>167292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3" y="44634979"/>
          <a:ext cx="1590261" cy="2594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115957</xdr:colOff>
      <xdr:row>163</xdr:row>
      <xdr:rowOff>99390</xdr:rowOff>
    </xdr:from>
    <xdr:to>
      <xdr:col>5</xdr:col>
      <xdr:colOff>1847023</xdr:colOff>
      <xdr:row>169</xdr:row>
      <xdr:rowOff>201440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7" y="48271042"/>
          <a:ext cx="1731066" cy="199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2.25</v>
      </c>
      <c r="E23" s="175"/>
      <c r="F23" s="159">
        <f>'Final Summary'!E32</f>
        <v>1808549.1469551697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69" sqref="Q16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ABPL-DE-19.20-2127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Mr. Arun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43672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Chennai</v>
      </c>
      <c r="G4" s="538"/>
      <c r="H4" s="538"/>
      <c r="I4" s="540" t="s">
        <v>180</v>
      </c>
      <c r="J4" s="540"/>
      <c r="K4" s="539" t="str">
        <f>QUOTATION!I8</f>
        <v>1.5Kpa</v>
      </c>
      <c r="L4" s="539"/>
      <c r="M4" s="284" t="s">
        <v>105</v>
      </c>
      <c r="N4" s="286" t="str">
        <f>QUOTATION!M8</f>
        <v>R0</v>
      </c>
      <c r="O4" s="287">
        <f>QUOTATION!N8</f>
        <v>43672</v>
      </c>
    </row>
    <row r="5" spans="2:16">
      <c r="B5" s="218"/>
      <c r="C5" s="538" t="s">
        <v>169</v>
      </c>
      <c r="D5" s="538"/>
      <c r="E5" s="538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Pradeep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Powder Coating</v>
      </c>
      <c r="G6" s="538"/>
      <c r="H6" s="538"/>
      <c r="I6" s="540" t="s">
        <v>178</v>
      </c>
      <c r="J6" s="540"/>
      <c r="K6" s="539" t="str">
        <f>QUOTATION!I10</f>
        <v>Silver</v>
      </c>
      <c r="L6" s="539"/>
      <c r="M6" s="284"/>
      <c r="N6" s="540"/>
      <c r="O6" s="540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254</v>
      </c>
      <c r="D8" s="538"/>
      <c r="E8" s="286" t="str">
        <f>'BD Team'!B9</f>
        <v>V1</v>
      </c>
      <c r="F8" s="288" t="s">
        <v>255</v>
      </c>
      <c r="G8" s="539" t="str">
        <f>'BD Team'!D9</f>
        <v>TOP HUNG WINDOW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NA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4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900 X 600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4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M940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13.52MM (F)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ROLL UP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254</v>
      </c>
      <c r="D19" s="538"/>
      <c r="E19" s="286" t="str">
        <f>'BD Team'!B10</f>
        <v>W1</v>
      </c>
      <c r="F19" s="288" t="s">
        <v>255</v>
      </c>
      <c r="G19" s="539" t="str">
        <f>'BD Team'!D10</f>
        <v>FRENCH CASEMENT WINDOW WITH TOP FIXED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NA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1800 X 2000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2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M940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13.52MM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RETRACTABLE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254</v>
      </c>
      <c r="D30" s="538"/>
      <c r="E30" s="286" t="str">
        <f>'BD Team'!B11</f>
        <v>W2</v>
      </c>
      <c r="F30" s="288" t="s">
        <v>255</v>
      </c>
      <c r="G30" s="539" t="str">
        <f>'BD Team'!D11</f>
        <v>FRENCH CASEMENT WINDOW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NA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>1800 X 1300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2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 t="str">
        <f>'BD Team'!C11</f>
        <v>M940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 t="str">
        <f>'BD Team'!E11</f>
        <v>13.52MM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 t="str">
        <f>'BD Team'!F11</f>
        <v>RETRACTABLE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254</v>
      </c>
      <c r="D41" s="538"/>
      <c r="E41" s="286" t="str">
        <f>'BD Team'!B12</f>
        <v>W7</v>
      </c>
      <c r="F41" s="288" t="s">
        <v>255</v>
      </c>
      <c r="G41" s="539" t="str">
        <f>'BD Team'!D12</f>
        <v>SIDE HUNG WINDOW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NA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>500 X 1050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2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 t="str">
        <f>'BD Team'!C12</f>
        <v>M940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 t="str">
        <f>'BD Team'!E12</f>
        <v>13.52MM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 t="str">
        <f>'BD Team'!F12</f>
        <v>RETRACTABLE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254</v>
      </c>
      <c r="D52" s="538"/>
      <c r="E52" s="286" t="str">
        <f>'BD Team'!B13</f>
        <v>W3</v>
      </c>
      <c r="F52" s="288" t="s">
        <v>255</v>
      </c>
      <c r="G52" s="539" t="str">
        <f>'BD Team'!D13</f>
        <v>FRENCH CASEMENT WINDOW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NA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>1800 X 1050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1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 t="str">
        <f>'BD Team'!C13</f>
        <v>M940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 t="str">
        <f>'BD Team'!E13</f>
        <v>13.52MM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 t="str">
        <f>'BD Team'!F13</f>
        <v>RETRACTABLE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254</v>
      </c>
      <c r="D63" s="538"/>
      <c r="E63" s="286" t="str">
        <f>'BD Team'!B14</f>
        <v>W5</v>
      </c>
      <c r="F63" s="288" t="s">
        <v>255</v>
      </c>
      <c r="G63" s="539" t="str">
        <f>'BD Team'!D14</f>
        <v>SIDE HUNG WINDOW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 t="str">
        <f>'BD Team'!G14</f>
        <v>NA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>500 X 1100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1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 t="str">
        <f>'BD Team'!C14</f>
        <v>M940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 t="str">
        <f>'BD Team'!E14</f>
        <v>13.52MM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 t="str">
        <f>'BD Team'!F14</f>
        <v>RETRACTABLE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254</v>
      </c>
      <c r="D74" s="538"/>
      <c r="E74" s="286" t="str">
        <f>'BD Team'!B15</f>
        <v>W6</v>
      </c>
      <c r="F74" s="288" t="s">
        <v>255</v>
      </c>
      <c r="G74" s="539" t="str">
        <f>'BD Team'!D15</f>
        <v>3 TRACK 2 SHUTTER SLIDING WINDOW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 t="str">
        <f>'BD Team'!G15</f>
        <v>NA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>1200 X 600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2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 t="str">
        <f>'BD Team'!C15</f>
        <v>M900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 t="str">
        <f>'BD Team'!E15</f>
        <v>13.52MM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 t="str">
        <f>'BD Team'!F15</f>
        <v>SS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254</v>
      </c>
      <c r="D85" s="538"/>
      <c r="E85" s="286" t="str">
        <f>'BD Team'!B16</f>
        <v>W8</v>
      </c>
      <c r="F85" s="288" t="s">
        <v>255</v>
      </c>
      <c r="G85" s="539" t="str">
        <f>'BD Team'!D16</f>
        <v>SIDE HUNG WINDOW WITH TOP FIXED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 t="str">
        <f>'BD Team'!G16</f>
        <v>NA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>1000 X 2000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1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 t="str">
        <f>'BD Team'!C16</f>
        <v>M940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 t="str">
        <f>'BD Team'!E16</f>
        <v>13.52MM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 t="str">
        <f>'BD Team'!F16</f>
        <v>RETRACTABLE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254</v>
      </c>
      <c r="D96" s="538"/>
      <c r="E96" s="286" t="str">
        <f>'BD Team'!B17</f>
        <v>W9</v>
      </c>
      <c r="F96" s="288" t="s">
        <v>255</v>
      </c>
      <c r="G96" s="539" t="str">
        <f>'BD Team'!D17</f>
        <v>FIXED GLASS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 t="str">
        <f>'BD Team'!G17</f>
        <v>NA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>300 X 2000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1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 t="str">
        <f>'BD Team'!C17</f>
        <v>M940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 t="str">
        <f>'BD Team'!E17</f>
        <v>12MM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 t="str">
        <f>'BD Team'!F17</f>
        <v>NO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254</v>
      </c>
      <c r="D107" s="538"/>
      <c r="E107" s="286" t="str">
        <f>'BD Team'!B18</f>
        <v>W10</v>
      </c>
      <c r="F107" s="288" t="s">
        <v>255</v>
      </c>
      <c r="G107" s="539" t="str">
        <f>'BD Team'!D18</f>
        <v>SIDE HUNG WINDOW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 t="str">
        <f>'BD Team'!G18</f>
        <v>NA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>450 X 1100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1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 t="str">
        <f>'BD Team'!C18</f>
        <v>M940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 t="str">
        <f>'BD Team'!E18</f>
        <v>13.52MM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 t="str">
        <f>'BD Team'!F18</f>
        <v>RETRACTABLE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254</v>
      </c>
      <c r="D118" s="538"/>
      <c r="E118" s="286" t="str">
        <f>'BD Team'!B19</f>
        <v>W11</v>
      </c>
      <c r="F118" s="288" t="s">
        <v>255</v>
      </c>
      <c r="G118" s="539" t="str">
        <f>'BD Team'!D19</f>
        <v>FRENCH CASEMENT WINDOW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 t="str">
        <f>'BD Team'!G19</f>
        <v>NA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>1800 X 1300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4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 t="str">
        <f>'BD Team'!C19</f>
        <v>M940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 t="str">
        <f>'BD Team'!E19</f>
        <v>13.52MM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 t="str">
        <f>'BD Team'!F19</f>
        <v>RETRACTABLE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254</v>
      </c>
      <c r="D129" s="538"/>
      <c r="E129" s="286" t="str">
        <f>'BD Team'!B20</f>
        <v>W12</v>
      </c>
      <c r="F129" s="288" t="s">
        <v>255</v>
      </c>
      <c r="G129" s="539" t="str">
        <f>'BD Team'!D20</f>
        <v>FRENCH CASEMENT WINDOW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 t="str">
        <f>'BD Team'!G20</f>
        <v>NA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>1200 X 1300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2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 t="str">
        <f>'BD Team'!C20</f>
        <v>M940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 t="str">
        <f>'BD Team'!E20</f>
        <v>13.52MM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 t="str">
        <f>'BD Team'!F20</f>
        <v>RETRACTABLE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254</v>
      </c>
      <c r="D140" s="538"/>
      <c r="E140" s="286" t="str">
        <f>'BD Team'!B21</f>
        <v>W4</v>
      </c>
      <c r="F140" s="288" t="s">
        <v>255</v>
      </c>
      <c r="G140" s="539" t="str">
        <f>'BD Team'!D21</f>
        <v>3 TRACK 2 SHUTTER SLIDING WINDOW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 t="str">
        <f>'BD Team'!G21</f>
        <v>NA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>1200 X 800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1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 t="str">
        <f>'BD Team'!C21</f>
        <v>M900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 t="str">
        <f>'BD Team'!E21</f>
        <v>13.52MM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 t="str">
        <f>'BD Team'!F21</f>
        <v>SS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254</v>
      </c>
      <c r="D151" s="538"/>
      <c r="E151" s="286" t="str">
        <f>'BD Team'!B22</f>
        <v>W13</v>
      </c>
      <c r="F151" s="288" t="s">
        <v>255</v>
      </c>
      <c r="G151" s="539" t="str">
        <f>'BD Team'!D22</f>
        <v>FIXED GLASS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 t="str">
        <f>'BD Team'!G22</f>
        <v>NA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>1200 X 2100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1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 t="str">
        <f>'BD Team'!C22</f>
        <v>M940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 t="str">
        <f>'BD Team'!E22</f>
        <v>13.52MM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 t="str">
        <f>'BD Team'!F22</f>
        <v>NO</v>
      </c>
      <c r="O160" s="539"/>
    </row>
    <row r="161" spans="3:15">
      <c r="C161" s="543"/>
      <c r="D161" s="543"/>
      <c r="E161" s="543"/>
      <c r="F161" s="543"/>
      <c r="G161" s="543"/>
      <c r="H161" s="543"/>
      <c r="I161" s="543"/>
      <c r="J161" s="543"/>
      <c r="K161" s="543"/>
      <c r="L161" s="543"/>
      <c r="M161" s="543"/>
      <c r="N161" s="543"/>
      <c r="O161" s="543"/>
    </row>
    <row r="162" spans="3:15" ht="25.15" customHeight="1">
      <c r="C162" s="537" t="s">
        <v>254</v>
      </c>
      <c r="D162" s="538"/>
      <c r="E162" s="286" t="str">
        <f>'BD Team'!B23</f>
        <v>W14</v>
      </c>
      <c r="F162" s="288" t="s">
        <v>255</v>
      </c>
      <c r="G162" s="539" t="str">
        <f>'BD Team'!D23</f>
        <v>FRENCH CASEMENT WINDOW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 t="str">
        <f>'BD Team'!G23</f>
        <v>NA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>1000 X 1200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1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 t="str">
        <f>'BD Team'!C23</f>
        <v>M940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 t="str">
        <f>'BD Team'!E23</f>
        <v>13.52MM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 t="str">
        <f>'BD Team'!F23</f>
        <v>RETRACTABLE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>
        <f>'BD Team'!G24</f>
        <v>0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0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>
        <f>'BD Team'!F24</f>
        <v>0</v>
      </c>
      <c r="O182" s="539"/>
    </row>
    <row r="183" spans="3:15">
      <c r="C183" s="543"/>
      <c r="D183" s="543"/>
      <c r="E183" s="543"/>
      <c r="F183" s="543"/>
      <c r="G183" s="543"/>
      <c r="H183" s="543"/>
      <c r="I183" s="543"/>
      <c r="J183" s="543"/>
      <c r="K183" s="543"/>
      <c r="L183" s="543"/>
      <c r="M183" s="543"/>
      <c r="N183" s="543"/>
      <c r="O183" s="543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>
        <f>'BD Team'!G25</f>
        <v>0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0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>
        <f>'BD Team'!F25</f>
        <v>0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>
        <f>'BD Team'!G26</f>
        <v>0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0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>
        <f>'BD Team'!F26</f>
        <v>0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>
        <f>'BD Team'!G27</f>
        <v>0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0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>
        <f>'BD Team'!F27</f>
        <v>0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>
        <f>'BD Team'!G28</f>
        <v>0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0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>
        <f>'BD Team'!F28</f>
        <v>0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>
        <f>'BD Team'!G29</f>
        <v>0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0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>
        <f>'BD Team'!F29</f>
        <v>0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>
        <f>'BD Team'!G30</f>
        <v>0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0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>
        <f>'BD Team'!F30</f>
        <v>0</v>
      </c>
      <c r="O248" s="539"/>
    </row>
    <row r="249" spans="3:15"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  <c r="O249" s="543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>
        <f>'BD Team'!G31</f>
        <v>0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0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>
        <f>'BD Team'!F31</f>
        <v>0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>
        <f>'BD Team'!G32</f>
        <v>0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0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>
        <f>'BD Team'!F32</f>
        <v>0</v>
      </c>
      <c r="O270" s="539"/>
    </row>
    <row r="271" spans="3:15"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>
        <f>'BD Team'!G33</f>
        <v>0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0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>
        <f>'BD Team'!F33</f>
        <v>0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>
        <f>'BD Team'!G34</f>
        <v>0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0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>
        <f>'BD Team'!F34</f>
        <v>0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>
        <f>'BD Team'!G35</f>
        <v>0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0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>
        <f>'BD Team'!F35</f>
        <v>0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>
        <f>'BD Team'!G36</f>
        <v>0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0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>
        <f>'BD Team'!F36</f>
        <v>0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>
        <f>'BD Team'!G37</f>
        <v>0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0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>
        <f>'BD Team'!F37</f>
        <v>0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>
        <f>'BD Team'!G38</f>
        <v>0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0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>
        <f>'BD Team'!F38</f>
        <v>0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>
        <f>'BD Team'!G39</f>
        <v>0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0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>
        <f>'BD Team'!F39</f>
        <v>0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>
        <f>'BD Team'!G40</f>
        <v>0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0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>
        <f>'BD Team'!F40</f>
        <v>0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>
        <f>'BD Team'!G41</f>
        <v>0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0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>
        <f>'BD Team'!F41</f>
        <v>0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>
        <f>'BD Team'!G42</f>
        <v>0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0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>
        <f>'BD Team'!F42</f>
        <v>0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>
        <f>'BD Team'!G43</f>
        <v>0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0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>
        <f>'BD Team'!F43</f>
        <v>0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>
        <f>'BD Team'!G44</f>
        <v>0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0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>
        <f>'BD Team'!F44</f>
        <v>0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>
        <f>'BD Team'!G45</f>
        <v>0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247</v>
      </c>
      <c r="M406" s="538"/>
      <c r="N406" s="539" t="str">
        <f>$F$6</f>
        <v>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178</v>
      </c>
      <c r="M407" s="538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0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>
        <f>'BD Team'!F45</f>
        <v>0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>
        <f>'BD Team'!G46</f>
        <v>0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247</v>
      </c>
      <c r="M417" s="538"/>
      <c r="N417" s="539" t="str">
        <f>$F$6</f>
        <v>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178</v>
      </c>
      <c r="M418" s="538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0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>
        <f>'BD Team'!F46</f>
        <v>0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>
        <f>'BD Team'!G47</f>
        <v>0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247</v>
      </c>
      <c r="M428" s="538"/>
      <c r="N428" s="539" t="str">
        <f>$F$6</f>
        <v>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178</v>
      </c>
      <c r="M429" s="538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0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>
        <f>'BD Team'!F47</f>
        <v>0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>
        <f>'BD Team'!G48</f>
        <v>0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247</v>
      </c>
      <c r="M439" s="538"/>
      <c r="N439" s="539" t="str">
        <f>$F$6</f>
        <v>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178</v>
      </c>
      <c r="M440" s="538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0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>
        <f>'BD Team'!F48</f>
        <v>0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7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7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7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7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7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7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7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7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7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7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7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7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7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7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7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7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7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7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7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7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7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7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7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7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7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7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7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7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7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7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7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7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7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7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7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7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7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7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7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7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7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7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7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7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7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7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7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7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7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7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418</v>
      </c>
    </row>
    <row r="5" spans="3:5">
      <c r="C5" s="236" t="s">
        <v>396</v>
      </c>
      <c r="D5" s="236" t="s">
        <v>394</v>
      </c>
      <c r="E5" s="309">
        <f>ROUND(Pricing!U104,0.1)/40</f>
        <v>12.55</v>
      </c>
    </row>
    <row r="6" spans="3:5">
      <c r="C6" s="236" t="s">
        <v>83</v>
      </c>
      <c r="D6" s="236" t="s">
        <v>393</v>
      </c>
      <c r="E6" s="309">
        <f>ROUND(Pricing!V104,0.1)</f>
        <v>26</v>
      </c>
    </row>
    <row r="7" spans="3:5">
      <c r="C7" s="236" t="s">
        <v>400</v>
      </c>
      <c r="D7" s="236" t="s">
        <v>392</v>
      </c>
      <c r="E7" s="309">
        <f>ROUND(Pricing!W104,0.1)</f>
        <v>418</v>
      </c>
    </row>
    <row r="8" spans="3:5">
      <c r="C8" s="236" t="s">
        <v>397</v>
      </c>
      <c r="D8" s="236" t="s">
        <v>392</v>
      </c>
      <c r="E8" s="309">
        <f>ROUND(Pricing!X104,0.1)</f>
        <v>836</v>
      </c>
    </row>
    <row r="9" spans="3:5">
      <c r="C9" t="s">
        <v>223</v>
      </c>
      <c r="D9" s="236" t="s">
        <v>395</v>
      </c>
      <c r="E9" s="309">
        <f>ROUND(Pricing!Y104,0.1)</f>
        <v>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6"/>
  <sheetViews>
    <sheetView workbookViewId="0">
      <selection activeCell="C22" sqref="C22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278</v>
      </c>
      <c r="U1" s="315" t="s">
        <v>417</v>
      </c>
    </row>
    <row r="2" spans="1:21">
      <c r="A2" s="318" t="str">
        <f>'BD Team'!B9</f>
        <v>V1</v>
      </c>
      <c r="B2" s="318" t="str">
        <f>'BD Team'!C9</f>
        <v>M940</v>
      </c>
      <c r="C2" s="318" t="str">
        <f>'BD Team'!D9</f>
        <v>TOP HUNG WINDOW</v>
      </c>
      <c r="D2" s="318" t="str">
        <f>'BD Team'!E9</f>
        <v>13.52MM (F)</v>
      </c>
      <c r="E2" s="318" t="str">
        <f>'BD Team'!G9</f>
        <v>NA</v>
      </c>
      <c r="F2" s="318" t="str">
        <f>'BD Team'!F9</f>
        <v>ROLL UP</v>
      </c>
      <c r="I2" s="318">
        <f>'BD Team'!H9</f>
        <v>900</v>
      </c>
      <c r="J2" s="318">
        <f>'BD Team'!I9</f>
        <v>600</v>
      </c>
      <c r="K2" s="318">
        <f>'BD Team'!J9</f>
        <v>4</v>
      </c>
      <c r="L2" s="319">
        <f>'BD Team'!K9</f>
        <v>80.760000000000005</v>
      </c>
      <c r="M2" s="318">
        <f>Pricing!O4</f>
        <v>5409</v>
      </c>
      <c r="N2" s="318">
        <f>Pricing!Q4</f>
        <v>0</v>
      </c>
      <c r="O2" s="318">
        <f>Pricing!R4</f>
        <v>10764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M940</v>
      </c>
      <c r="C3" s="318" t="str">
        <f>'BD Team'!D10</f>
        <v>FRENCH CASEMENT WINDOW WITH TOP FIXED</v>
      </c>
      <c r="D3" s="318" t="str">
        <f>'BD Team'!E10</f>
        <v>13.52MM</v>
      </c>
      <c r="E3" s="318" t="str">
        <f>'BD Team'!G10</f>
        <v>NA</v>
      </c>
      <c r="F3" s="318" t="str">
        <f>'BD Team'!F10</f>
        <v>RETRACTABLE</v>
      </c>
      <c r="I3" s="318">
        <f>'BD Team'!H10</f>
        <v>1800</v>
      </c>
      <c r="J3" s="318">
        <f>'BD Team'!I10</f>
        <v>2000</v>
      </c>
      <c r="K3" s="318">
        <f>'BD Team'!J10</f>
        <v>2</v>
      </c>
      <c r="L3" s="319">
        <f>'BD Team'!K10</f>
        <v>316.3</v>
      </c>
      <c r="M3" s="318">
        <f>Pricing!O5</f>
        <v>4407</v>
      </c>
      <c r="N3" s="318">
        <f>Pricing!Q5</f>
        <v>0</v>
      </c>
      <c r="O3" s="318">
        <f>Pricing!R5</f>
        <v>4305.5999999999995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M940</v>
      </c>
      <c r="C4" s="318" t="str">
        <f>'BD Team'!D11</f>
        <v>FRENCH CASEMENT WINDOW</v>
      </c>
      <c r="D4" s="318" t="str">
        <f>'BD Team'!E11</f>
        <v>13.52MM</v>
      </c>
      <c r="E4" s="318" t="str">
        <f>'BD Team'!G11</f>
        <v>NA</v>
      </c>
      <c r="F4" s="318" t="str">
        <f>'BD Team'!F11</f>
        <v>RETRACTABLE</v>
      </c>
      <c r="I4" s="318">
        <f>'BD Team'!H11</f>
        <v>1800</v>
      </c>
      <c r="J4" s="318">
        <f>'BD Team'!I11</f>
        <v>1300</v>
      </c>
      <c r="K4" s="318">
        <f>'BD Team'!J11</f>
        <v>2</v>
      </c>
      <c r="L4" s="319">
        <f>'BD Team'!K11</f>
        <v>189.79</v>
      </c>
      <c r="M4" s="318">
        <f>Pricing!O6</f>
        <v>4407</v>
      </c>
      <c r="N4" s="318">
        <f>Pricing!Q6</f>
        <v>0</v>
      </c>
      <c r="O4" s="318">
        <f>Pricing!R6</f>
        <v>5382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W7</v>
      </c>
      <c r="B5" s="318" t="str">
        <f>'BD Team'!C12</f>
        <v>M940</v>
      </c>
      <c r="C5" s="318" t="str">
        <f>'BD Team'!D12</f>
        <v>SIDE HUNG WINDOW</v>
      </c>
      <c r="D5" s="318" t="str">
        <f>'BD Team'!E12</f>
        <v>13.52MM</v>
      </c>
      <c r="E5" s="318" t="str">
        <f>'BD Team'!G12</f>
        <v>NA</v>
      </c>
      <c r="F5" s="318" t="str">
        <f>'BD Team'!F12</f>
        <v>RETRACTABLE</v>
      </c>
      <c r="I5" s="318">
        <f>'BD Team'!H12</f>
        <v>500</v>
      </c>
      <c r="J5" s="318">
        <f>'BD Team'!I12</f>
        <v>1050</v>
      </c>
      <c r="K5" s="318">
        <f>'BD Team'!J12</f>
        <v>2</v>
      </c>
      <c r="L5" s="319">
        <f>'BD Team'!K12</f>
        <v>87.04</v>
      </c>
      <c r="M5" s="318">
        <f>Pricing!O7</f>
        <v>4407</v>
      </c>
      <c r="N5" s="318">
        <f>Pricing!Q7</f>
        <v>0</v>
      </c>
      <c r="O5" s="318">
        <f>Pricing!R7</f>
        <v>10764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W3</v>
      </c>
      <c r="B6" s="318" t="str">
        <f>'BD Team'!C13</f>
        <v>M940</v>
      </c>
      <c r="C6" s="318" t="str">
        <f>'BD Team'!D13</f>
        <v>FRENCH CASEMENT WINDOW</v>
      </c>
      <c r="D6" s="318" t="str">
        <f>'BD Team'!E13</f>
        <v>13.52MM</v>
      </c>
      <c r="E6" s="318" t="str">
        <f>'BD Team'!G13</f>
        <v>NA</v>
      </c>
      <c r="F6" s="318" t="str">
        <f>'BD Team'!F13</f>
        <v>RETRACTABLE</v>
      </c>
      <c r="I6" s="318">
        <f>'BD Team'!H13</f>
        <v>1800</v>
      </c>
      <c r="J6" s="318">
        <f>'BD Team'!I13</f>
        <v>1050</v>
      </c>
      <c r="K6" s="318">
        <f>'BD Team'!J13</f>
        <v>1</v>
      </c>
      <c r="L6" s="319">
        <f>'BD Team'!K13</f>
        <v>168.99</v>
      </c>
      <c r="M6" s="318">
        <f>Pricing!O8</f>
        <v>4407</v>
      </c>
      <c r="N6" s="318">
        <f>Pricing!Q8</f>
        <v>0</v>
      </c>
      <c r="O6" s="318">
        <f>Pricing!R8</f>
        <v>5382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W5</v>
      </c>
      <c r="B7" s="318" t="str">
        <f>'BD Team'!C14</f>
        <v>M940</v>
      </c>
      <c r="C7" s="318" t="str">
        <f>'BD Team'!D14</f>
        <v>SIDE HUNG WINDOW</v>
      </c>
      <c r="D7" s="318" t="str">
        <f>'BD Team'!E14</f>
        <v>13.52MM</v>
      </c>
      <c r="E7" s="318" t="str">
        <f>'BD Team'!G14</f>
        <v>NA</v>
      </c>
      <c r="F7" s="318" t="str">
        <f>'BD Team'!F14</f>
        <v>RETRACTABLE</v>
      </c>
      <c r="I7" s="318">
        <f>'BD Team'!H14</f>
        <v>500</v>
      </c>
      <c r="J7" s="318">
        <f>'BD Team'!I14</f>
        <v>1100</v>
      </c>
      <c r="K7" s="318">
        <f>'BD Team'!J14</f>
        <v>1</v>
      </c>
      <c r="L7" s="319">
        <f>'BD Team'!K14</f>
        <v>88.31</v>
      </c>
      <c r="M7" s="318">
        <f>Pricing!O9</f>
        <v>4407</v>
      </c>
      <c r="N7" s="318">
        <f>Pricing!Q9</f>
        <v>0</v>
      </c>
      <c r="O7" s="318">
        <f>Pricing!R9</f>
        <v>10764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13.52MM</v>
      </c>
      <c r="E8" s="318" t="str">
        <f>'BD Team'!G15</f>
        <v>NA</v>
      </c>
      <c r="F8" s="318" t="str">
        <f>'BD Team'!F15</f>
        <v>SS</v>
      </c>
      <c r="I8" s="318">
        <f>'BD Team'!H15</f>
        <v>1200</v>
      </c>
      <c r="J8" s="318">
        <f>'BD Team'!I15</f>
        <v>600</v>
      </c>
      <c r="K8" s="318">
        <f>'BD Team'!J15</f>
        <v>2</v>
      </c>
      <c r="L8" s="319">
        <f>'BD Team'!K15</f>
        <v>128.53</v>
      </c>
      <c r="M8" s="318">
        <f>Pricing!O10</f>
        <v>4407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M940</v>
      </c>
      <c r="C9" s="318" t="str">
        <f>'BD Team'!D16</f>
        <v>SIDE HUNG WINDOW WITH TOP FIXED</v>
      </c>
      <c r="D9" s="318" t="str">
        <f>'BD Team'!E16</f>
        <v>13.52MM</v>
      </c>
      <c r="E9" s="318" t="str">
        <f>'BD Team'!G16</f>
        <v>NA</v>
      </c>
      <c r="F9" s="318" t="str">
        <f>'BD Team'!F16</f>
        <v>RETRACTABLE</v>
      </c>
      <c r="I9" s="318">
        <f>'BD Team'!H16</f>
        <v>1000</v>
      </c>
      <c r="J9" s="318">
        <f>'BD Team'!I16</f>
        <v>2000</v>
      </c>
      <c r="K9" s="318">
        <f>'BD Team'!J16</f>
        <v>1</v>
      </c>
      <c r="L9" s="319">
        <f>'BD Team'!K16</f>
        <v>164.08</v>
      </c>
      <c r="M9" s="318">
        <f>Pricing!O11</f>
        <v>4407</v>
      </c>
      <c r="N9" s="318">
        <f>Pricing!Q11</f>
        <v>0</v>
      </c>
      <c r="O9" s="318">
        <f>Pricing!R11</f>
        <v>5382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M940</v>
      </c>
      <c r="C10" s="318" t="str">
        <f>'BD Team'!D17</f>
        <v>FIXED GLASS</v>
      </c>
      <c r="D10" s="318" t="str">
        <f>'BD Team'!E17</f>
        <v>12MM</v>
      </c>
      <c r="E10" s="318" t="str">
        <f>'BD Team'!G17</f>
        <v>NA</v>
      </c>
      <c r="F10" s="318" t="str">
        <f>'BD Team'!F17</f>
        <v>NO</v>
      </c>
      <c r="I10" s="318">
        <f>'BD Team'!H17</f>
        <v>300</v>
      </c>
      <c r="J10" s="318">
        <f>'BD Team'!I17</f>
        <v>2000</v>
      </c>
      <c r="K10" s="318">
        <f>'BD Team'!J17</f>
        <v>1</v>
      </c>
      <c r="L10" s="319">
        <f>'BD Team'!K17</f>
        <v>30.38</v>
      </c>
      <c r="M10" s="318">
        <f>Pricing!O12</f>
        <v>1890</v>
      </c>
      <c r="N10" s="318">
        <f>Pricing!Q12</f>
        <v>0</v>
      </c>
      <c r="O10" s="318">
        <f>Pricing!R12</f>
        <v>10764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M940</v>
      </c>
      <c r="C11" s="318" t="str">
        <f>'BD Team'!D18</f>
        <v>SIDE HUNG WINDOW</v>
      </c>
      <c r="D11" s="318" t="str">
        <f>'BD Team'!E18</f>
        <v>13.52MM</v>
      </c>
      <c r="E11" s="318" t="str">
        <f>'BD Team'!G18</f>
        <v>NA</v>
      </c>
      <c r="F11" s="318" t="str">
        <f>'BD Team'!F18</f>
        <v>RETRACTABLE</v>
      </c>
      <c r="I11" s="318">
        <f>'BD Team'!H18</f>
        <v>450</v>
      </c>
      <c r="J11" s="318">
        <f>'BD Team'!I18</f>
        <v>1100</v>
      </c>
      <c r="K11" s="318">
        <f>'BD Team'!J18</f>
        <v>1</v>
      </c>
      <c r="L11" s="319">
        <f>'BD Team'!K18</f>
        <v>87.04</v>
      </c>
      <c r="M11" s="318">
        <f>Pricing!O13</f>
        <v>4407</v>
      </c>
      <c r="N11" s="318">
        <f>Pricing!Q13</f>
        <v>0</v>
      </c>
      <c r="O11" s="318">
        <f>Pricing!R13</f>
        <v>10764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M940</v>
      </c>
      <c r="C12" s="318" t="str">
        <f>'BD Team'!D19</f>
        <v>FRENCH CASEMENT WINDOW</v>
      </c>
      <c r="D12" s="318" t="str">
        <f>'BD Team'!E19</f>
        <v>13.52MM</v>
      </c>
      <c r="E12" s="318" t="str">
        <f>'BD Team'!G19</f>
        <v>NA</v>
      </c>
      <c r="F12" s="318" t="str">
        <f>'BD Team'!F19</f>
        <v>RETRACTABLE</v>
      </c>
      <c r="I12" s="318">
        <f>'BD Team'!H19</f>
        <v>1800</v>
      </c>
      <c r="J12" s="318">
        <f>'BD Team'!I19</f>
        <v>1300</v>
      </c>
      <c r="K12" s="318">
        <f>'BD Team'!J19</f>
        <v>4</v>
      </c>
      <c r="L12" s="319">
        <f>'BD Team'!K19</f>
        <v>189.79</v>
      </c>
      <c r="M12" s="318">
        <f>Pricing!O14</f>
        <v>4407</v>
      </c>
      <c r="N12" s="318">
        <f>Pricing!Q14</f>
        <v>0</v>
      </c>
      <c r="O12" s="318">
        <f>Pricing!R14</f>
        <v>5382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M940</v>
      </c>
      <c r="C13" s="318" t="str">
        <f>'BD Team'!D20</f>
        <v>FRENCH CASEMENT WINDOW</v>
      </c>
      <c r="D13" s="318" t="str">
        <f>'BD Team'!E20</f>
        <v>13.52MM</v>
      </c>
      <c r="E13" s="318" t="str">
        <f>'BD Team'!G20</f>
        <v>NA</v>
      </c>
      <c r="F13" s="318" t="str">
        <f>'BD Team'!F20</f>
        <v>RETRACTABLE</v>
      </c>
      <c r="I13" s="318">
        <f>'BD Team'!H20</f>
        <v>1200</v>
      </c>
      <c r="J13" s="318">
        <f>'BD Team'!I20</f>
        <v>1300</v>
      </c>
      <c r="K13" s="318">
        <f>'BD Team'!J20</f>
        <v>2</v>
      </c>
      <c r="L13" s="319">
        <f>'BD Team'!K20</f>
        <v>172</v>
      </c>
      <c r="M13" s="318">
        <f>Pricing!O15</f>
        <v>4407</v>
      </c>
      <c r="N13" s="318">
        <f>Pricing!Q15</f>
        <v>0</v>
      </c>
      <c r="O13" s="318">
        <f>Pricing!R15</f>
        <v>7534.7999999999993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W4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13.52MM</v>
      </c>
      <c r="E14" s="318" t="str">
        <f>'BD Team'!G21</f>
        <v>NA</v>
      </c>
      <c r="F14" s="318" t="str">
        <f>'BD Team'!F21</f>
        <v>SS</v>
      </c>
      <c r="I14" s="318">
        <f>'BD Team'!H21</f>
        <v>1200</v>
      </c>
      <c r="J14" s="318">
        <f>'BD Team'!I21</f>
        <v>800</v>
      </c>
      <c r="K14" s="318">
        <f>'BD Team'!J21</f>
        <v>1</v>
      </c>
      <c r="L14" s="319">
        <f>'BD Team'!K21</f>
        <v>143.61000000000001</v>
      </c>
      <c r="M14" s="318">
        <f>Pricing!O16</f>
        <v>4407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W13</v>
      </c>
      <c r="B15" s="318" t="str">
        <f>'BD Team'!C22</f>
        <v>M940</v>
      </c>
      <c r="C15" s="318" t="str">
        <f>'BD Team'!D22</f>
        <v>FIXED GLASS</v>
      </c>
      <c r="D15" s="318" t="str">
        <f>'BD Team'!E22</f>
        <v>13.52MM</v>
      </c>
      <c r="E15" s="318" t="str">
        <f>'BD Team'!G22</f>
        <v>NA</v>
      </c>
      <c r="F15" s="318" t="str">
        <f>'BD Team'!F22</f>
        <v>NO</v>
      </c>
      <c r="I15" s="318">
        <f>'BD Team'!H22</f>
        <v>1200</v>
      </c>
      <c r="J15" s="318">
        <f>'BD Team'!I22</f>
        <v>2100</v>
      </c>
      <c r="K15" s="318">
        <f>'BD Team'!J22</f>
        <v>1</v>
      </c>
      <c r="L15" s="319">
        <f>'BD Team'!K22</f>
        <v>43.09</v>
      </c>
      <c r="M15" s="318">
        <f>Pricing!O17</f>
        <v>4407</v>
      </c>
      <c r="N15" s="318">
        <f>Pricing!Q17</f>
        <v>0</v>
      </c>
      <c r="O15" s="318">
        <f>Pricing!R17</f>
        <v>6458.4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W14</v>
      </c>
      <c r="B16" s="318" t="str">
        <f>'BD Team'!C23</f>
        <v>M940</v>
      </c>
      <c r="C16" s="318" t="str">
        <f>'BD Team'!D23</f>
        <v>FRENCH CASEMENT WINDOW</v>
      </c>
      <c r="D16" s="318" t="str">
        <f>'BD Team'!E23</f>
        <v>13.52MM</v>
      </c>
      <c r="E16" s="318" t="str">
        <f>'BD Team'!G23</f>
        <v>NA</v>
      </c>
      <c r="F16" s="318" t="str">
        <f>'BD Team'!F23</f>
        <v>RETRACTABLE</v>
      </c>
      <c r="I16" s="318">
        <f>'BD Team'!H23</f>
        <v>1000</v>
      </c>
      <c r="J16" s="318">
        <f>'BD Team'!I23</f>
        <v>1200</v>
      </c>
      <c r="K16" s="318">
        <f>'BD Team'!J23</f>
        <v>1</v>
      </c>
      <c r="L16" s="319">
        <f>'BD Team'!K23</f>
        <v>153.19</v>
      </c>
      <c r="M16" s="318">
        <f>Pricing!O18</f>
        <v>4407</v>
      </c>
      <c r="N16" s="318">
        <f>Pricing!Q18</f>
        <v>0</v>
      </c>
      <c r="O16" s="318">
        <f>Pricing!R18</f>
        <v>10764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10" sqref="F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421</v>
      </c>
      <c r="F2" s="137"/>
      <c r="G2" s="163"/>
      <c r="H2" s="322" t="s">
        <v>185</v>
      </c>
      <c r="I2" s="323"/>
      <c r="J2" s="165" t="s">
        <v>419</v>
      </c>
      <c r="K2" s="167"/>
      <c r="L2" s="104" t="s">
        <v>208</v>
      </c>
      <c r="M2" s="104" t="s">
        <v>381</v>
      </c>
    </row>
    <row r="3" spans="1:13" s="104" customFormat="1">
      <c r="A3" s="321" t="s">
        <v>127</v>
      </c>
      <c r="B3" s="321"/>
      <c r="C3" s="321"/>
      <c r="D3" s="321"/>
      <c r="E3" s="162" t="s">
        <v>451</v>
      </c>
      <c r="F3" s="136" t="s">
        <v>183</v>
      </c>
      <c r="G3" s="162" t="s">
        <v>418</v>
      </c>
      <c r="H3" s="322" t="s">
        <v>186</v>
      </c>
      <c r="I3" s="323"/>
      <c r="J3" s="166">
        <v>43672</v>
      </c>
      <c r="K3" s="167"/>
      <c r="L3" s="104" t="s">
        <v>258</v>
      </c>
      <c r="M3" s="104" t="s">
        <v>382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383</v>
      </c>
      <c r="K4" s="167"/>
      <c r="L4" s="104" t="s">
        <v>259</v>
      </c>
      <c r="M4" s="104" t="s">
        <v>383</v>
      </c>
    </row>
    <row r="5" spans="1:13" s="104" customFormat="1">
      <c r="A5" s="321" t="s">
        <v>177</v>
      </c>
      <c r="B5" s="321"/>
      <c r="C5" s="321"/>
      <c r="D5" s="321"/>
      <c r="E5" s="162" t="s">
        <v>420</v>
      </c>
      <c r="F5" s="136" t="s">
        <v>184</v>
      </c>
      <c r="G5" s="162" t="s">
        <v>208</v>
      </c>
      <c r="H5" s="322" t="s">
        <v>375</v>
      </c>
      <c r="I5" s="323"/>
      <c r="J5" s="165"/>
      <c r="K5" s="167"/>
      <c r="L5" s="104" t="s">
        <v>260</v>
      </c>
      <c r="M5" s="104" t="s">
        <v>384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385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403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425</v>
      </c>
      <c r="F9" s="113" t="s">
        <v>457</v>
      </c>
      <c r="G9" s="113" t="s">
        <v>427</v>
      </c>
      <c r="H9" s="113">
        <v>900</v>
      </c>
      <c r="I9" s="113">
        <v>600</v>
      </c>
      <c r="J9" s="113">
        <v>4</v>
      </c>
      <c r="K9" s="123">
        <v>80.760000000000005</v>
      </c>
    </row>
    <row r="10" spans="1:13" ht="20.100000000000001" customHeight="1">
      <c r="A10" s="113">
        <v>2</v>
      </c>
      <c r="B10" s="113" t="s">
        <v>428</v>
      </c>
      <c r="C10" s="113" t="s">
        <v>423</v>
      </c>
      <c r="D10" s="113" t="s">
        <v>429</v>
      </c>
      <c r="E10" s="113" t="s">
        <v>430</v>
      </c>
      <c r="F10" s="113" t="s">
        <v>456</v>
      </c>
      <c r="G10" s="113" t="s">
        <v>427</v>
      </c>
      <c r="H10" s="113">
        <v>1800</v>
      </c>
      <c r="I10" s="113">
        <v>2000</v>
      </c>
      <c r="J10" s="113">
        <v>2</v>
      </c>
      <c r="K10" s="123">
        <v>316.3</v>
      </c>
      <c r="L10" s="47" t="s">
        <v>283</v>
      </c>
    </row>
    <row r="11" spans="1:13" ht="20.100000000000001" customHeight="1">
      <c r="A11" s="113">
        <v>3</v>
      </c>
      <c r="B11" s="113" t="s">
        <v>431</v>
      </c>
      <c r="C11" s="113" t="s">
        <v>423</v>
      </c>
      <c r="D11" s="113" t="s">
        <v>432</v>
      </c>
      <c r="E11" s="113" t="s">
        <v>430</v>
      </c>
      <c r="F11" s="113" t="s">
        <v>456</v>
      </c>
      <c r="G11" s="113" t="s">
        <v>427</v>
      </c>
      <c r="H11" s="113">
        <v>1800</v>
      </c>
      <c r="I11" s="113">
        <v>1300</v>
      </c>
      <c r="J11" s="113">
        <v>2</v>
      </c>
      <c r="K11" s="123">
        <v>189.79</v>
      </c>
      <c r="L11" s="47" t="s">
        <v>282</v>
      </c>
    </row>
    <row r="12" spans="1:13" ht="20.100000000000001" customHeight="1">
      <c r="A12" s="113">
        <v>4</v>
      </c>
      <c r="B12" s="113" t="s">
        <v>433</v>
      </c>
      <c r="C12" s="113" t="s">
        <v>423</v>
      </c>
      <c r="D12" s="113" t="s">
        <v>434</v>
      </c>
      <c r="E12" s="113" t="s">
        <v>430</v>
      </c>
      <c r="F12" s="113" t="s">
        <v>456</v>
      </c>
      <c r="G12" s="113" t="s">
        <v>427</v>
      </c>
      <c r="H12" s="113">
        <v>500</v>
      </c>
      <c r="I12" s="113">
        <v>1050</v>
      </c>
      <c r="J12" s="113">
        <v>2</v>
      </c>
      <c r="K12" s="123">
        <v>87.04</v>
      </c>
      <c r="L12" s="47" t="s">
        <v>366</v>
      </c>
    </row>
    <row r="13" spans="1:13" ht="20.100000000000001" customHeight="1">
      <c r="A13" s="113">
        <v>5</v>
      </c>
      <c r="B13" s="113" t="s">
        <v>435</v>
      </c>
      <c r="C13" s="113" t="s">
        <v>423</v>
      </c>
      <c r="D13" s="113" t="s">
        <v>432</v>
      </c>
      <c r="E13" s="113" t="s">
        <v>430</v>
      </c>
      <c r="F13" s="113" t="s">
        <v>456</v>
      </c>
      <c r="G13" s="113" t="s">
        <v>427</v>
      </c>
      <c r="H13" s="113">
        <v>1800</v>
      </c>
      <c r="I13" s="113">
        <v>1050</v>
      </c>
      <c r="J13" s="113">
        <v>1</v>
      </c>
      <c r="K13" s="123">
        <v>168.99</v>
      </c>
      <c r="L13" s="47" t="s">
        <v>367</v>
      </c>
    </row>
    <row r="14" spans="1:13">
      <c r="A14" s="113">
        <v>6</v>
      </c>
      <c r="B14" s="113" t="s">
        <v>436</v>
      </c>
      <c r="C14" s="113" t="s">
        <v>423</v>
      </c>
      <c r="D14" s="113" t="s">
        <v>434</v>
      </c>
      <c r="E14" s="113" t="s">
        <v>430</v>
      </c>
      <c r="F14" s="113" t="s">
        <v>456</v>
      </c>
      <c r="G14" s="113" t="s">
        <v>427</v>
      </c>
      <c r="H14" s="113">
        <v>500</v>
      </c>
      <c r="I14" s="113">
        <v>1100</v>
      </c>
      <c r="J14" s="113">
        <v>1</v>
      </c>
      <c r="K14" s="123">
        <v>88.31</v>
      </c>
      <c r="L14" s="47" t="s">
        <v>368</v>
      </c>
    </row>
    <row r="15" spans="1:13" ht="20.100000000000001" customHeight="1">
      <c r="A15" s="113">
        <v>7</v>
      </c>
      <c r="B15" s="113" t="s">
        <v>437</v>
      </c>
      <c r="C15" s="113" t="s">
        <v>438</v>
      </c>
      <c r="D15" s="113" t="s">
        <v>439</v>
      </c>
      <c r="E15" s="113" t="s">
        <v>430</v>
      </c>
      <c r="F15" s="113" t="s">
        <v>440</v>
      </c>
      <c r="G15" s="113" t="s">
        <v>427</v>
      </c>
      <c r="H15" s="113">
        <v>1200</v>
      </c>
      <c r="I15" s="113">
        <v>600</v>
      </c>
      <c r="J15" s="113">
        <v>2</v>
      </c>
      <c r="K15" s="123">
        <v>128.53</v>
      </c>
      <c r="L15" s="47" t="s">
        <v>369</v>
      </c>
    </row>
    <row r="16" spans="1:13" ht="20.100000000000001" customHeight="1">
      <c r="A16" s="113">
        <v>8</v>
      </c>
      <c r="B16" s="113" t="s">
        <v>441</v>
      </c>
      <c r="C16" s="113" t="s">
        <v>423</v>
      </c>
      <c r="D16" s="113" t="s">
        <v>442</v>
      </c>
      <c r="E16" s="113" t="s">
        <v>430</v>
      </c>
      <c r="F16" s="113" t="s">
        <v>456</v>
      </c>
      <c r="G16" s="113" t="s">
        <v>427</v>
      </c>
      <c r="H16" s="113">
        <v>1000</v>
      </c>
      <c r="I16" s="113">
        <v>2000</v>
      </c>
      <c r="J16" s="113">
        <v>1</v>
      </c>
      <c r="K16" s="123">
        <v>164.08</v>
      </c>
      <c r="L16" s="47" t="s">
        <v>370</v>
      </c>
    </row>
    <row r="17" spans="1:12" ht="20.100000000000001" customHeight="1">
      <c r="A17" s="113">
        <v>9</v>
      </c>
      <c r="B17" s="113" t="s">
        <v>443</v>
      </c>
      <c r="C17" s="113" t="s">
        <v>423</v>
      </c>
      <c r="D17" s="113" t="s">
        <v>444</v>
      </c>
      <c r="E17" s="113" t="s">
        <v>270</v>
      </c>
      <c r="F17" s="113" t="s">
        <v>426</v>
      </c>
      <c r="G17" s="113" t="s">
        <v>427</v>
      </c>
      <c r="H17" s="113">
        <v>300</v>
      </c>
      <c r="I17" s="113">
        <v>2000</v>
      </c>
      <c r="J17" s="113">
        <v>1</v>
      </c>
      <c r="K17" s="123">
        <v>30.38</v>
      </c>
      <c r="L17" s="47" t="s">
        <v>371</v>
      </c>
    </row>
    <row r="18" spans="1:12" ht="20.100000000000001" customHeight="1">
      <c r="A18" s="113">
        <v>10</v>
      </c>
      <c r="B18" s="113" t="s">
        <v>445</v>
      </c>
      <c r="C18" s="113" t="s">
        <v>423</v>
      </c>
      <c r="D18" s="113" t="s">
        <v>434</v>
      </c>
      <c r="E18" s="113" t="s">
        <v>430</v>
      </c>
      <c r="F18" s="113" t="s">
        <v>456</v>
      </c>
      <c r="G18" s="113" t="s">
        <v>427</v>
      </c>
      <c r="H18" s="113">
        <v>450</v>
      </c>
      <c r="I18" s="113">
        <v>1100</v>
      </c>
      <c r="J18" s="113">
        <v>1</v>
      </c>
      <c r="K18" s="123">
        <v>87.04</v>
      </c>
      <c r="L18" s="47" t="s">
        <v>372</v>
      </c>
    </row>
    <row r="19" spans="1:12" ht="20.100000000000001" customHeight="1">
      <c r="A19" s="113">
        <v>11</v>
      </c>
      <c r="B19" s="113" t="s">
        <v>446</v>
      </c>
      <c r="C19" s="113" t="s">
        <v>423</v>
      </c>
      <c r="D19" s="113" t="s">
        <v>432</v>
      </c>
      <c r="E19" s="113" t="s">
        <v>430</v>
      </c>
      <c r="F19" s="113" t="s">
        <v>456</v>
      </c>
      <c r="G19" s="113" t="s">
        <v>427</v>
      </c>
      <c r="H19" s="113">
        <v>1800</v>
      </c>
      <c r="I19" s="113">
        <v>1300</v>
      </c>
      <c r="J19" s="113">
        <v>4</v>
      </c>
      <c r="K19" s="123">
        <v>189.79</v>
      </c>
      <c r="L19" s="47" t="s">
        <v>373</v>
      </c>
    </row>
    <row r="20" spans="1:12">
      <c r="A20" s="113">
        <v>12</v>
      </c>
      <c r="B20" s="113" t="s">
        <v>447</v>
      </c>
      <c r="C20" s="113" t="s">
        <v>423</v>
      </c>
      <c r="D20" s="113" t="s">
        <v>432</v>
      </c>
      <c r="E20" s="113" t="s">
        <v>430</v>
      </c>
      <c r="F20" s="113" t="s">
        <v>456</v>
      </c>
      <c r="G20" s="113" t="s">
        <v>427</v>
      </c>
      <c r="H20" s="113">
        <v>1200</v>
      </c>
      <c r="I20" s="113">
        <v>1300</v>
      </c>
      <c r="J20" s="113">
        <v>2</v>
      </c>
      <c r="K20" s="123">
        <v>172</v>
      </c>
      <c r="L20" s="47" t="s">
        <v>386</v>
      </c>
    </row>
    <row r="21" spans="1:12" ht="20.100000000000001" customHeight="1">
      <c r="A21" s="113">
        <v>13</v>
      </c>
      <c r="B21" s="113" t="s">
        <v>448</v>
      </c>
      <c r="C21" s="113" t="s">
        <v>438</v>
      </c>
      <c r="D21" s="113" t="s">
        <v>439</v>
      </c>
      <c r="E21" s="113" t="s">
        <v>430</v>
      </c>
      <c r="F21" s="113" t="s">
        <v>440</v>
      </c>
      <c r="G21" s="113" t="s">
        <v>427</v>
      </c>
      <c r="H21" s="113">
        <v>1200</v>
      </c>
      <c r="I21" s="113">
        <v>800</v>
      </c>
      <c r="J21" s="113">
        <v>1</v>
      </c>
      <c r="K21" s="123">
        <v>143.61000000000001</v>
      </c>
      <c r="L21" s="47" t="s">
        <v>387</v>
      </c>
    </row>
    <row r="22" spans="1:12" ht="20.100000000000001" customHeight="1">
      <c r="A22" s="113">
        <v>14</v>
      </c>
      <c r="B22" s="113" t="s">
        <v>449</v>
      </c>
      <c r="C22" s="113" t="s">
        <v>423</v>
      </c>
      <c r="D22" s="113" t="s">
        <v>444</v>
      </c>
      <c r="E22" s="113" t="s">
        <v>430</v>
      </c>
      <c r="F22" s="113" t="s">
        <v>426</v>
      </c>
      <c r="G22" s="113" t="s">
        <v>427</v>
      </c>
      <c r="H22" s="113">
        <v>1200</v>
      </c>
      <c r="I22" s="113">
        <v>2100</v>
      </c>
      <c r="J22" s="113">
        <v>1</v>
      </c>
      <c r="K22" s="123">
        <v>43.09</v>
      </c>
      <c r="L22" s="47" t="s">
        <v>388</v>
      </c>
    </row>
    <row r="23" spans="1:12" ht="20.100000000000001" customHeight="1">
      <c r="A23" s="113">
        <v>15</v>
      </c>
      <c r="B23" s="113" t="s">
        <v>450</v>
      </c>
      <c r="C23" s="113" t="s">
        <v>423</v>
      </c>
      <c r="D23" s="113" t="s">
        <v>432</v>
      </c>
      <c r="E23" s="113" t="s">
        <v>430</v>
      </c>
      <c r="F23" s="113" t="s">
        <v>456</v>
      </c>
      <c r="G23" s="113" t="s">
        <v>427</v>
      </c>
      <c r="H23" s="113">
        <v>1000</v>
      </c>
      <c r="I23" s="113">
        <v>1200</v>
      </c>
      <c r="J23" s="113">
        <v>1</v>
      </c>
      <c r="K23" s="123">
        <v>153.19</v>
      </c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25" sqref="Q2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V1</v>
      </c>
      <c r="C4" s="118" t="str">
        <f>'BD Team'!C9</f>
        <v>M940</v>
      </c>
      <c r="D4" s="118" t="str">
        <f>'BD Team'!D9</f>
        <v>TOP HUNG WINDOW</v>
      </c>
      <c r="E4" s="118" t="str">
        <f>'BD Team'!F9</f>
        <v>ROLL UP</v>
      </c>
      <c r="F4" s="121" t="str">
        <f>'BD Team'!G9</f>
        <v>NA</v>
      </c>
      <c r="G4" s="118">
        <f>'BD Team'!H9</f>
        <v>900</v>
      </c>
      <c r="H4" s="118">
        <f>'BD Team'!I9</f>
        <v>600</v>
      </c>
      <c r="I4" s="118">
        <f>'BD Team'!J9</f>
        <v>4</v>
      </c>
      <c r="J4" s="103">
        <f t="shared" ref="J4:J53" si="0">G4*H4*I4*10.764/1000000</f>
        <v>23.250240000000002</v>
      </c>
      <c r="K4" s="172">
        <f>'BD Team'!K9</f>
        <v>80.760000000000005</v>
      </c>
      <c r="L4" s="171">
        <f>K4*I4</f>
        <v>323.04000000000002</v>
      </c>
      <c r="M4" s="170">
        <f>L4*'Changable Values'!$D$4</f>
        <v>26812.320000000003</v>
      </c>
      <c r="N4" s="170" t="str">
        <f>'BD Team'!E9</f>
        <v>13.52MM (F)</v>
      </c>
      <c r="O4" s="172">
        <v>5409</v>
      </c>
      <c r="P4" s="241"/>
      <c r="Q4" s="173"/>
      <c r="R4" s="185">
        <f>1000*10.764</f>
        <v>10764</v>
      </c>
      <c r="S4" s="312"/>
      <c r="T4" s="313">
        <f>(G4+H4)*I4*2/300</f>
        <v>40</v>
      </c>
      <c r="U4" s="313">
        <f>SUM(G4:H4)*I4*2*4/1000</f>
        <v>48</v>
      </c>
      <c r="V4" s="313">
        <f>SUM(G4:H4)*I4*5*5*4/(1000*240)</f>
        <v>2.5</v>
      </c>
      <c r="W4" s="313">
        <f>T4</f>
        <v>40</v>
      </c>
      <c r="X4" s="313">
        <f>W4*2</f>
        <v>80</v>
      </c>
      <c r="Y4" s="313">
        <f>SUM(G4:H4)*I4*4/1000</f>
        <v>24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M940</v>
      </c>
      <c r="D5" s="118" t="str">
        <f>'BD Team'!D10</f>
        <v>FRENCH CASEMENT WINDOW WITH TOP FIXED</v>
      </c>
      <c r="E5" s="118" t="str">
        <f>'BD Team'!F10</f>
        <v>RETRACTABLE</v>
      </c>
      <c r="F5" s="121" t="str">
        <f>'BD Team'!G10</f>
        <v>NA</v>
      </c>
      <c r="G5" s="118">
        <f>'BD Team'!H10</f>
        <v>1800</v>
      </c>
      <c r="H5" s="118">
        <f>'BD Team'!I10</f>
        <v>2000</v>
      </c>
      <c r="I5" s="118">
        <f>'BD Team'!J10</f>
        <v>2</v>
      </c>
      <c r="J5" s="103">
        <f t="shared" si="0"/>
        <v>77.500799999999998</v>
      </c>
      <c r="K5" s="172">
        <f>'BD Team'!K10</f>
        <v>316.3</v>
      </c>
      <c r="L5" s="171">
        <f t="shared" ref="L5:L53" si="1">K5*I5</f>
        <v>632.6</v>
      </c>
      <c r="M5" s="170">
        <f>L5*'Changable Values'!$D$4</f>
        <v>52505.8</v>
      </c>
      <c r="N5" s="170" t="str">
        <f>'BD Team'!E10</f>
        <v>13.52MM</v>
      </c>
      <c r="O5" s="172">
        <v>4407</v>
      </c>
      <c r="P5" s="241"/>
      <c r="Q5" s="173"/>
      <c r="R5" s="185">
        <f>400*10.764</f>
        <v>4305.5999999999995</v>
      </c>
      <c r="S5" s="312"/>
      <c r="T5" s="313">
        <f t="shared" ref="T5:T68" si="2">(G5+H5)*I5*2/300</f>
        <v>50.666666666666664</v>
      </c>
      <c r="U5" s="313">
        <f t="shared" ref="U5:U68" si="3">SUM(G5:H5)*I5*2*4/1000</f>
        <v>60.8</v>
      </c>
      <c r="V5" s="313">
        <f t="shared" ref="V5:V68" si="4">SUM(G5:H5)*I5*5*5*4/(1000*240)</f>
        <v>3.1666666666666665</v>
      </c>
      <c r="W5" s="313">
        <f t="shared" ref="W5:W68" si="5">T5</f>
        <v>50.666666666666664</v>
      </c>
      <c r="X5" s="313">
        <f t="shared" ref="X5:X68" si="6">W5*2</f>
        <v>101.33333333333333</v>
      </c>
      <c r="Y5" s="313">
        <f t="shared" ref="Y5:Y68" si="7">SUM(G5:H5)*I5*4/1000</f>
        <v>30.4</v>
      </c>
    </row>
    <row r="6" spans="1:25">
      <c r="A6" s="118">
        <f>'BD Team'!A11</f>
        <v>3</v>
      </c>
      <c r="B6" s="118" t="str">
        <f>'BD Team'!B11</f>
        <v>W2</v>
      </c>
      <c r="C6" s="118" t="str">
        <f>'BD Team'!C11</f>
        <v>M940</v>
      </c>
      <c r="D6" s="118" t="str">
        <f>'BD Team'!D11</f>
        <v>FRENCH CASEMENT WINDOW</v>
      </c>
      <c r="E6" s="118" t="str">
        <f>'BD Team'!F11</f>
        <v>RETRACTABLE</v>
      </c>
      <c r="F6" s="121" t="str">
        <f>'BD Team'!G11</f>
        <v>NA</v>
      </c>
      <c r="G6" s="118">
        <f>'BD Team'!H11</f>
        <v>1800</v>
      </c>
      <c r="H6" s="118">
        <f>'BD Team'!I11</f>
        <v>1300</v>
      </c>
      <c r="I6" s="118">
        <f>'BD Team'!J11</f>
        <v>2</v>
      </c>
      <c r="J6" s="103">
        <f t="shared" si="0"/>
        <v>50.375520000000002</v>
      </c>
      <c r="K6" s="172">
        <f>'BD Team'!K11</f>
        <v>189.79</v>
      </c>
      <c r="L6" s="171">
        <f t="shared" si="1"/>
        <v>379.58</v>
      </c>
      <c r="M6" s="170">
        <f>L6*'Changable Values'!$D$4</f>
        <v>31505.14</v>
      </c>
      <c r="N6" s="170" t="str">
        <f>'BD Team'!E11</f>
        <v>13.52MM</v>
      </c>
      <c r="O6" s="172">
        <v>4407</v>
      </c>
      <c r="P6" s="241"/>
      <c r="Q6" s="173"/>
      <c r="R6" s="185">
        <f>500*10.764</f>
        <v>5382</v>
      </c>
      <c r="S6" s="312"/>
      <c r="T6" s="313">
        <f t="shared" si="2"/>
        <v>41.333333333333336</v>
      </c>
      <c r="U6" s="313">
        <f t="shared" si="3"/>
        <v>49.6</v>
      </c>
      <c r="V6" s="313">
        <f t="shared" si="4"/>
        <v>2.5833333333333335</v>
      </c>
      <c r="W6" s="313">
        <f t="shared" si="5"/>
        <v>41.333333333333336</v>
      </c>
      <c r="X6" s="313">
        <f t="shared" si="6"/>
        <v>82.666666666666671</v>
      </c>
      <c r="Y6" s="313">
        <f t="shared" si="7"/>
        <v>24.8</v>
      </c>
    </row>
    <row r="7" spans="1:25">
      <c r="A7" s="118">
        <f>'BD Team'!A12</f>
        <v>4</v>
      </c>
      <c r="B7" s="118" t="str">
        <f>'BD Team'!B12</f>
        <v>W7</v>
      </c>
      <c r="C7" s="118" t="str">
        <f>'BD Team'!C12</f>
        <v>M940</v>
      </c>
      <c r="D7" s="118" t="str">
        <f>'BD Team'!D12</f>
        <v>SIDE HUNG WINDOW</v>
      </c>
      <c r="E7" s="118" t="str">
        <f>'BD Team'!F12</f>
        <v>RETRACTABLE</v>
      </c>
      <c r="F7" s="121" t="str">
        <f>'BD Team'!G12</f>
        <v>NA</v>
      </c>
      <c r="G7" s="118">
        <f>'BD Team'!H12</f>
        <v>500</v>
      </c>
      <c r="H7" s="118">
        <f>'BD Team'!I12</f>
        <v>1050</v>
      </c>
      <c r="I7" s="118">
        <f>'BD Team'!J12</f>
        <v>2</v>
      </c>
      <c r="J7" s="103">
        <f t="shared" si="0"/>
        <v>11.302199999999999</v>
      </c>
      <c r="K7" s="172">
        <f>'BD Team'!K12</f>
        <v>87.04</v>
      </c>
      <c r="L7" s="171">
        <f t="shared" si="1"/>
        <v>174.08</v>
      </c>
      <c r="M7" s="170">
        <f>L7*'Changable Values'!$D$4</f>
        <v>14448.640000000001</v>
      </c>
      <c r="N7" s="170" t="str">
        <f>'BD Team'!E12</f>
        <v>13.52MM</v>
      </c>
      <c r="O7" s="172">
        <v>4407</v>
      </c>
      <c r="P7" s="241"/>
      <c r="Q7" s="173"/>
      <c r="R7" s="185">
        <f t="shared" ref="R7:R18" si="8">1000*10.764</f>
        <v>10764</v>
      </c>
      <c r="S7" s="312"/>
      <c r="T7" s="313">
        <f t="shared" si="2"/>
        <v>20.666666666666668</v>
      </c>
      <c r="U7" s="313">
        <f t="shared" si="3"/>
        <v>24.8</v>
      </c>
      <c r="V7" s="313">
        <f t="shared" si="4"/>
        <v>1.2916666666666667</v>
      </c>
      <c r="W7" s="313">
        <f t="shared" si="5"/>
        <v>20.666666666666668</v>
      </c>
      <c r="X7" s="313">
        <f t="shared" si="6"/>
        <v>41.333333333333336</v>
      </c>
      <c r="Y7" s="313">
        <f t="shared" si="7"/>
        <v>12.4</v>
      </c>
    </row>
    <row r="8" spans="1:25">
      <c r="A8" s="118">
        <f>'BD Team'!A13</f>
        <v>5</v>
      </c>
      <c r="B8" s="118" t="str">
        <f>'BD Team'!B13</f>
        <v>W3</v>
      </c>
      <c r="C8" s="118" t="str">
        <f>'BD Team'!C13</f>
        <v>M940</v>
      </c>
      <c r="D8" s="118" t="str">
        <f>'BD Team'!D13</f>
        <v>FRENCH CASEMENT WINDOW</v>
      </c>
      <c r="E8" s="118" t="str">
        <f>'BD Team'!F13</f>
        <v>RETRACTABLE</v>
      </c>
      <c r="F8" s="121" t="str">
        <f>'BD Team'!G13</f>
        <v>NA</v>
      </c>
      <c r="G8" s="118">
        <f>'BD Team'!H13</f>
        <v>1800</v>
      </c>
      <c r="H8" s="118">
        <f>'BD Team'!I13</f>
        <v>1050</v>
      </c>
      <c r="I8" s="118">
        <f>'BD Team'!J13</f>
        <v>1</v>
      </c>
      <c r="J8" s="103">
        <f t="shared" si="0"/>
        <v>20.343959999999999</v>
      </c>
      <c r="K8" s="172">
        <f>'BD Team'!K13</f>
        <v>168.99</v>
      </c>
      <c r="L8" s="171">
        <f t="shared" si="1"/>
        <v>168.99</v>
      </c>
      <c r="M8" s="170">
        <f>L8*'Changable Values'!$D$4</f>
        <v>14026.17</v>
      </c>
      <c r="N8" s="170" t="str">
        <f>'BD Team'!E13</f>
        <v>13.52MM</v>
      </c>
      <c r="O8" s="172">
        <v>4407</v>
      </c>
      <c r="P8" s="241"/>
      <c r="Q8" s="173"/>
      <c r="R8" s="185">
        <f>500*10.764</f>
        <v>5382</v>
      </c>
      <c r="S8" s="312"/>
      <c r="T8" s="313">
        <f t="shared" si="2"/>
        <v>19</v>
      </c>
      <c r="U8" s="313">
        <f t="shared" si="3"/>
        <v>22.8</v>
      </c>
      <c r="V8" s="313">
        <f t="shared" si="4"/>
        <v>1.1875</v>
      </c>
      <c r="W8" s="313">
        <f t="shared" si="5"/>
        <v>19</v>
      </c>
      <c r="X8" s="313">
        <f t="shared" si="6"/>
        <v>38</v>
      </c>
      <c r="Y8" s="313">
        <f t="shared" si="7"/>
        <v>11.4</v>
      </c>
    </row>
    <row r="9" spans="1:25">
      <c r="A9" s="118">
        <f>'BD Team'!A14</f>
        <v>6</v>
      </c>
      <c r="B9" s="118" t="str">
        <f>'BD Team'!B14</f>
        <v>W5</v>
      </c>
      <c r="C9" s="118" t="str">
        <f>'BD Team'!C14</f>
        <v>M940</v>
      </c>
      <c r="D9" s="118" t="str">
        <f>'BD Team'!D14</f>
        <v>SIDE HUNG WINDOW</v>
      </c>
      <c r="E9" s="118" t="str">
        <f>'BD Team'!F14</f>
        <v>RETRACTABLE</v>
      </c>
      <c r="F9" s="121" t="str">
        <f>'BD Team'!G14</f>
        <v>NA</v>
      </c>
      <c r="G9" s="118">
        <f>'BD Team'!H14</f>
        <v>500</v>
      </c>
      <c r="H9" s="118">
        <f>'BD Team'!I14</f>
        <v>1100</v>
      </c>
      <c r="I9" s="118">
        <f>'BD Team'!J14</f>
        <v>1</v>
      </c>
      <c r="J9" s="103">
        <f t="shared" si="0"/>
        <v>5.9202000000000004</v>
      </c>
      <c r="K9" s="172">
        <f>'BD Team'!K14</f>
        <v>88.31</v>
      </c>
      <c r="L9" s="171">
        <f t="shared" si="1"/>
        <v>88.31</v>
      </c>
      <c r="M9" s="170">
        <f>L9*'Changable Values'!$D$4</f>
        <v>7329.7300000000005</v>
      </c>
      <c r="N9" s="170" t="str">
        <f>'BD Team'!E14</f>
        <v>13.52MM</v>
      </c>
      <c r="O9" s="172">
        <v>4407</v>
      </c>
      <c r="P9" s="241"/>
      <c r="Q9" s="173"/>
      <c r="R9" s="185">
        <f t="shared" si="8"/>
        <v>10764</v>
      </c>
      <c r="S9" s="312"/>
      <c r="T9" s="313">
        <f t="shared" si="2"/>
        <v>10.666666666666666</v>
      </c>
      <c r="U9" s="313">
        <f t="shared" si="3"/>
        <v>12.8</v>
      </c>
      <c r="V9" s="313">
        <f t="shared" si="4"/>
        <v>0.66666666666666663</v>
      </c>
      <c r="W9" s="313">
        <f t="shared" si="5"/>
        <v>10.666666666666666</v>
      </c>
      <c r="X9" s="313">
        <f t="shared" si="6"/>
        <v>21.333333333333332</v>
      </c>
      <c r="Y9" s="313">
        <f t="shared" si="7"/>
        <v>6.4</v>
      </c>
    </row>
    <row r="10" spans="1:25">
      <c r="A10" s="118">
        <f>'BD Team'!A15</f>
        <v>7</v>
      </c>
      <c r="B10" s="118" t="str">
        <f>'BD Team'!B15</f>
        <v>W6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NA</v>
      </c>
      <c r="G10" s="118">
        <f>'BD Team'!H15</f>
        <v>1200</v>
      </c>
      <c r="H10" s="118">
        <f>'BD Team'!I15</f>
        <v>600</v>
      </c>
      <c r="I10" s="118">
        <f>'BD Team'!J15</f>
        <v>2</v>
      </c>
      <c r="J10" s="103">
        <f t="shared" si="0"/>
        <v>15.500159999999997</v>
      </c>
      <c r="K10" s="172">
        <f>'BD Team'!K15</f>
        <v>128.53</v>
      </c>
      <c r="L10" s="171">
        <f t="shared" si="1"/>
        <v>257.06</v>
      </c>
      <c r="M10" s="170">
        <f>L10*'Changable Values'!$D$4</f>
        <v>21335.98</v>
      </c>
      <c r="N10" s="170" t="str">
        <f>'BD Team'!E15</f>
        <v>13.52MM</v>
      </c>
      <c r="O10" s="172">
        <v>4407</v>
      </c>
      <c r="P10" s="241"/>
      <c r="Q10" s="173">
        <f>50*10.764</f>
        <v>538.19999999999993</v>
      </c>
      <c r="R10" s="185"/>
      <c r="S10" s="312"/>
      <c r="T10" s="313">
        <f t="shared" si="2"/>
        <v>24</v>
      </c>
      <c r="U10" s="313">
        <f t="shared" si="3"/>
        <v>28.8</v>
      </c>
      <c r="V10" s="313">
        <f t="shared" si="4"/>
        <v>1.5</v>
      </c>
      <c r="W10" s="313">
        <f t="shared" si="5"/>
        <v>24</v>
      </c>
      <c r="X10" s="313">
        <f t="shared" si="6"/>
        <v>48</v>
      </c>
      <c r="Y10" s="313">
        <f t="shared" si="7"/>
        <v>14.4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M940</v>
      </c>
      <c r="D11" s="118" t="str">
        <f>'BD Team'!D16</f>
        <v>SIDE HUNG WINDOW WITH TOP FIXED</v>
      </c>
      <c r="E11" s="118" t="str">
        <f>'BD Team'!F16</f>
        <v>RETRACTABLE</v>
      </c>
      <c r="F11" s="121" t="str">
        <f>'BD Team'!G16</f>
        <v>NA</v>
      </c>
      <c r="G11" s="118">
        <f>'BD Team'!H16</f>
        <v>1000</v>
      </c>
      <c r="H11" s="118">
        <f>'BD Team'!I16</f>
        <v>2000</v>
      </c>
      <c r="I11" s="118">
        <f>'BD Team'!J16</f>
        <v>1</v>
      </c>
      <c r="J11" s="103">
        <f t="shared" si="0"/>
        <v>21.527999999999999</v>
      </c>
      <c r="K11" s="172">
        <f>'BD Team'!K16</f>
        <v>164.08</v>
      </c>
      <c r="L11" s="171">
        <f t="shared" si="1"/>
        <v>164.08</v>
      </c>
      <c r="M11" s="170">
        <f>L11*'Changable Values'!$D$4</f>
        <v>13618.640000000001</v>
      </c>
      <c r="N11" s="170" t="str">
        <f>'BD Team'!E16</f>
        <v>13.52MM</v>
      </c>
      <c r="O11" s="172">
        <v>4407</v>
      </c>
      <c r="P11" s="241"/>
      <c r="Q11" s="173"/>
      <c r="R11" s="185">
        <f>500*10.764</f>
        <v>5382</v>
      </c>
      <c r="S11" s="312"/>
      <c r="T11" s="313">
        <f t="shared" si="2"/>
        <v>20</v>
      </c>
      <c r="U11" s="313">
        <f t="shared" si="3"/>
        <v>24</v>
      </c>
      <c r="V11" s="313">
        <f t="shared" si="4"/>
        <v>1.25</v>
      </c>
      <c r="W11" s="313">
        <f t="shared" si="5"/>
        <v>20</v>
      </c>
      <c r="X11" s="313">
        <f t="shared" si="6"/>
        <v>40</v>
      </c>
      <c r="Y11" s="313">
        <f t="shared" si="7"/>
        <v>12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M940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NA</v>
      </c>
      <c r="G12" s="118">
        <f>'BD Team'!H17</f>
        <v>300</v>
      </c>
      <c r="H12" s="118">
        <f>'BD Team'!I17</f>
        <v>2000</v>
      </c>
      <c r="I12" s="118">
        <f>'BD Team'!J17</f>
        <v>1</v>
      </c>
      <c r="J12" s="103">
        <f t="shared" si="0"/>
        <v>6.4584000000000001</v>
      </c>
      <c r="K12" s="172">
        <f>'BD Team'!K17</f>
        <v>30.38</v>
      </c>
      <c r="L12" s="171">
        <f t="shared" si="1"/>
        <v>30.38</v>
      </c>
      <c r="M12" s="170">
        <f>L12*'Changable Values'!$D$4</f>
        <v>2521.54</v>
      </c>
      <c r="N12" s="170" t="str">
        <f>'BD Team'!E17</f>
        <v>12MM</v>
      </c>
      <c r="O12" s="172">
        <v>1890</v>
      </c>
      <c r="P12" s="241"/>
      <c r="Q12" s="173"/>
      <c r="R12" s="185">
        <f t="shared" si="8"/>
        <v>10764</v>
      </c>
      <c r="S12" s="312"/>
      <c r="T12" s="313">
        <f t="shared" si="2"/>
        <v>15.333333333333334</v>
      </c>
      <c r="U12" s="313">
        <f t="shared" si="3"/>
        <v>18.399999999999999</v>
      </c>
      <c r="V12" s="313">
        <f t="shared" si="4"/>
        <v>0.95833333333333337</v>
      </c>
      <c r="W12" s="313">
        <f t="shared" si="5"/>
        <v>15.333333333333334</v>
      </c>
      <c r="X12" s="313">
        <f t="shared" si="6"/>
        <v>30.666666666666668</v>
      </c>
      <c r="Y12" s="313">
        <f t="shared" si="7"/>
        <v>9.1999999999999993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M940</v>
      </c>
      <c r="D13" s="118" t="str">
        <f>'BD Team'!D18</f>
        <v>SIDE HUNG WINDOW</v>
      </c>
      <c r="E13" s="118" t="str">
        <f>'BD Team'!F18</f>
        <v>RETRACTABLE</v>
      </c>
      <c r="F13" s="121" t="str">
        <f>'BD Team'!G18</f>
        <v>NA</v>
      </c>
      <c r="G13" s="118">
        <f>'BD Team'!H18</f>
        <v>450</v>
      </c>
      <c r="H13" s="118">
        <f>'BD Team'!I18</f>
        <v>1100</v>
      </c>
      <c r="I13" s="118">
        <f>'BD Team'!J18</f>
        <v>1</v>
      </c>
      <c r="J13" s="103">
        <f t="shared" si="0"/>
        <v>5.3281799999999997</v>
      </c>
      <c r="K13" s="172">
        <f>'BD Team'!K18</f>
        <v>87.04</v>
      </c>
      <c r="L13" s="171">
        <f t="shared" si="1"/>
        <v>87.04</v>
      </c>
      <c r="M13" s="170">
        <f>L13*'Changable Values'!$D$4</f>
        <v>7224.3200000000006</v>
      </c>
      <c r="N13" s="170" t="str">
        <f>'BD Team'!E18</f>
        <v>13.52MM</v>
      </c>
      <c r="O13" s="172">
        <v>4407</v>
      </c>
      <c r="P13" s="241"/>
      <c r="Q13" s="173"/>
      <c r="R13" s="185">
        <f t="shared" si="8"/>
        <v>10764</v>
      </c>
      <c r="S13" s="312"/>
      <c r="T13" s="313">
        <f t="shared" si="2"/>
        <v>10.333333333333334</v>
      </c>
      <c r="U13" s="313">
        <f t="shared" si="3"/>
        <v>12.4</v>
      </c>
      <c r="V13" s="313">
        <f t="shared" si="4"/>
        <v>0.64583333333333337</v>
      </c>
      <c r="W13" s="313">
        <f t="shared" si="5"/>
        <v>10.333333333333334</v>
      </c>
      <c r="X13" s="313">
        <f t="shared" si="6"/>
        <v>20.666666666666668</v>
      </c>
      <c r="Y13" s="313">
        <f t="shared" si="7"/>
        <v>6.2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M940</v>
      </c>
      <c r="D14" s="118" t="str">
        <f>'BD Team'!D19</f>
        <v>FRENCH CASEMENT WINDOW</v>
      </c>
      <c r="E14" s="118" t="str">
        <f>'BD Team'!F19</f>
        <v>RETRACTABLE</v>
      </c>
      <c r="F14" s="121" t="str">
        <f>'BD Team'!G19</f>
        <v>NA</v>
      </c>
      <c r="G14" s="118">
        <f>'BD Team'!H19</f>
        <v>1800</v>
      </c>
      <c r="H14" s="118">
        <f>'BD Team'!I19</f>
        <v>1300</v>
      </c>
      <c r="I14" s="118">
        <f>'BD Team'!J19</f>
        <v>4</v>
      </c>
      <c r="J14" s="103">
        <f t="shared" si="0"/>
        <v>100.75104</v>
      </c>
      <c r="K14" s="172">
        <f>'BD Team'!K19</f>
        <v>189.79</v>
      </c>
      <c r="L14" s="171">
        <f t="shared" si="1"/>
        <v>759.16</v>
      </c>
      <c r="M14" s="170">
        <f>L14*'Changable Values'!$D$4</f>
        <v>63010.28</v>
      </c>
      <c r="N14" s="170" t="str">
        <f>'BD Team'!E19</f>
        <v>13.52MM</v>
      </c>
      <c r="O14" s="172">
        <v>4407</v>
      </c>
      <c r="P14" s="241"/>
      <c r="Q14" s="173"/>
      <c r="R14" s="185">
        <f>500*10.764</f>
        <v>5382</v>
      </c>
      <c r="S14" s="312"/>
      <c r="T14" s="313">
        <f t="shared" si="2"/>
        <v>82.666666666666671</v>
      </c>
      <c r="U14" s="313">
        <f t="shared" si="3"/>
        <v>99.2</v>
      </c>
      <c r="V14" s="313">
        <f t="shared" si="4"/>
        <v>5.166666666666667</v>
      </c>
      <c r="W14" s="313">
        <f t="shared" si="5"/>
        <v>82.666666666666671</v>
      </c>
      <c r="X14" s="313">
        <f t="shared" si="6"/>
        <v>165.33333333333334</v>
      </c>
      <c r="Y14" s="313">
        <f t="shared" si="7"/>
        <v>49.6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M940</v>
      </c>
      <c r="D15" s="118" t="str">
        <f>'BD Team'!D20</f>
        <v>FRENCH CASEMENT WINDOW</v>
      </c>
      <c r="E15" s="118" t="str">
        <f>'BD Team'!F20</f>
        <v>RETRACTABLE</v>
      </c>
      <c r="F15" s="121" t="str">
        <f>'BD Team'!G20</f>
        <v>NA</v>
      </c>
      <c r="G15" s="118">
        <f>'BD Team'!H20</f>
        <v>1200</v>
      </c>
      <c r="H15" s="118">
        <f>'BD Team'!I20</f>
        <v>1300</v>
      </c>
      <c r="I15" s="118">
        <f>'BD Team'!J20</f>
        <v>2</v>
      </c>
      <c r="J15" s="103">
        <f t="shared" si="0"/>
        <v>33.583680000000001</v>
      </c>
      <c r="K15" s="172">
        <f>'BD Team'!K20</f>
        <v>172</v>
      </c>
      <c r="L15" s="171">
        <f t="shared" si="1"/>
        <v>344</v>
      </c>
      <c r="M15" s="170">
        <f>L15*'Changable Values'!$D$4</f>
        <v>28552</v>
      </c>
      <c r="N15" s="170" t="str">
        <f>'BD Team'!E20</f>
        <v>13.52MM</v>
      </c>
      <c r="O15" s="172">
        <v>4407</v>
      </c>
      <c r="P15" s="241"/>
      <c r="Q15" s="173"/>
      <c r="R15" s="185">
        <f>700*10.764</f>
        <v>7534.7999999999993</v>
      </c>
      <c r="S15" s="312"/>
      <c r="T15" s="313">
        <f t="shared" si="2"/>
        <v>33.333333333333336</v>
      </c>
      <c r="U15" s="313">
        <f t="shared" si="3"/>
        <v>40</v>
      </c>
      <c r="V15" s="313">
        <f t="shared" si="4"/>
        <v>2.0833333333333335</v>
      </c>
      <c r="W15" s="313">
        <f t="shared" si="5"/>
        <v>33.333333333333336</v>
      </c>
      <c r="X15" s="313">
        <f t="shared" si="6"/>
        <v>66.666666666666671</v>
      </c>
      <c r="Y15" s="313">
        <f t="shared" si="7"/>
        <v>20</v>
      </c>
    </row>
    <row r="16" spans="1:25">
      <c r="A16" s="118">
        <f>'BD Team'!A21</f>
        <v>13</v>
      </c>
      <c r="B16" s="118" t="str">
        <f>'BD Team'!B21</f>
        <v>W4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NA</v>
      </c>
      <c r="G16" s="118">
        <f>'BD Team'!H21</f>
        <v>1200</v>
      </c>
      <c r="H16" s="118">
        <f>'BD Team'!I21</f>
        <v>800</v>
      </c>
      <c r="I16" s="118">
        <f>'BD Team'!J21</f>
        <v>1</v>
      </c>
      <c r="J16" s="103">
        <f t="shared" si="0"/>
        <v>10.33344</v>
      </c>
      <c r="K16" s="172">
        <f>'BD Team'!K21</f>
        <v>143.61000000000001</v>
      </c>
      <c r="L16" s="171">
        <f t="shared" si="1"/>
        <v>143.61000000000001</v>
      </c>
      <c r="M16" s="170">
        <f>L16*'Changable Values'!$D$4</f>
        <v>11919.630000000001</v>
      </c>
      <c r="N16" s="170" t="str">
        <f>'BD Team'!E21</f>
        <v>13.52MM</v>
      </c>
      <c r="O16" s="172">
        <v>4407</v>
      </c>
      <c r="P16" s="241"/>
      <c r="Q16" s="173">
        <f>50*10.764</f>
        <v>538.19999999999993</v>
      </c>
      <c r="R16" s="185"/>
      <c r="S16" s="312"/>
      <c r="T16" s="313">
        <f t="shared" si="2"/>
        <v>13.333333333333334</v>
      </c>
      <c r="U16" s="313">
        <f t="shared" si="3"/>
        <v>16</v>
      </c>
      <c r="V16" s="313">
        <f t="shared" si="4"/>
        <v>0.83333333333333337</v>
      </c>
      <c r="W16" s="313">
        <f t="shared" si="5"/>
        <v>13.333333333333334</v>
      </c>
      <c r="X16" s="313">
        <f t="shared" si="6"/>
        <v>26.666666666666668</v>
      </c>
      <c r="Y16" s="313">
        <f t="shared" si="7"/>
        <v>8</v>
      </c>
    </row>
    <row r="17" spans="1:25">
      <c r="A17" s="118">
        <f>'BD Team'!A22</f>
        <v>14</v>
      </c>
      <c r="B17" s="118" t="str">
        <f>'BD Team'!B22</f>
        <v>W13</v>
      </c>
      <c r="C17" s="118" t="str">
        <f>'BD Team'!C22</f>
        <v>M940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NA</v>
      </c>
      <c r="G17" s="118">
        <f>'BD Team'!H22</f>
        <v>1200</v>
      </c>
      <c r="H17" s="118">
        <f>'BD Team'!I22</f>
        <v>2100</v>
      </c>
      <c r="I17" s="118">
        <f>'BD Team'!J22</f>
        <v>1</v>
      </c>
      <c r="J17" s="103">
        <f t="shared" si="0"/>
        <v>27.12528</v>
      </c>
      <c r="K17" s="172">
        <f>'BD Team'!K22</f>
        <v>43.09</v>
      </c>
      <c r="L17" s="171">
        <f t="shared" si="1"/>
        <v>43.09</v>
      </c>
      <c r="M17" s="170">
        <f>L17*'Changable Values'!$D$4</f>
        <v>3576.4700000000003</v>
      </c>
      <c r="N17" s="170" t="str">
        <f>'BD Team'!E22</f>
        <v>13.52MM</v>
      </c>
      <c r="O17" s="172">
        <v>4407</v>
      </c>
      <c r="P17" s="241"/>
      <c r="Q17" s="173"/>
      <c r="R17" s="185">
        <f>600*10.764</f>
        <v>6458.4</v>
      </c>
      <c r="S17" s="312"/>
      <c r="T17" s="313">
        <f t="shared" si="2"/>
        <v>22</v>
      </c>
      <c r="U17" s="313">
        <f t="shared" si="3"/>
        <v>26.4</v>
      </c>
      <c r="V17" s="313">
        <f t="shared" si="4"/>
        <v>1.375</v>
      </c>
      <c r="W17" s="313">
        <f t="shared" si="5"/>
        <v>22</v>
      </c>
      <c r="X17" s="313">
        <f t="shared" si="6"/>
        <v>44</v>
      </c>
      <c r="Y17" s="313">
        <f t="shared" si="7"/>
        <v>13.2</v>
      </c>
    </row>
    <row r="18" spans="1:25">
      <c r="A18" s="118">
        <f>'BD Team'!A23</f>
        <v>15</v>
      </c>
      <c r="B18" s="118" t="str">
        <f>'BD Team'!B23</f>
        <v>W14</v>
      </c>
      <c r="C18" s="118" t="str">
        <f>'BD Team'!C23</f>
        <v>M940</v>
      </c>
      <c r="D18" s="118" t="str">
        <f>'BD Team'!D23</f>
        <v>FRENCH CASEMENT WINDOW</v>
      </c>
      <c r="E18" s="118" t="str">
        <f>'BD Team'!F23</f>
        <v>RETRACTABLE</v>
      </c>
      <c r="F18" s="121" t="str">
        <f>'BD Team'!G23</f>
        <v>NA</v>
      </c>
      <c r="G18" s="118">
        <f>'BD Team'!H23</f>
        <v>1000</v>
      </c>
      <c r="H18" s="118">
        <f>'BD Team'!I23</f>
        <v>1200</v>
      </c>
      <c r="I18" s="118">
        <f>'BD Team'!J23</f>
        <v>1</v>
      </c>
      <c r="J18" s="103">
        <f t="shared" si="0"/>
        <v>12.9168</v>
      </c>
      <c r="K18" s="172">
        <f>'BD Team'!K23</f>
        <v>153.19</v>
      </c>
      <c r="L18" s="171">
        <f t="shared" si="1"/>
        <v>153.19</v>
      </c>
      <c r="M18" s="170">
        <f>L18*'Changable Values'!$D$4</f>
        <v>12714.77</v>
      </c>
      <c r="N18" s="170" t="str">
        <f>'BD Team'!E23</f>
        <v>13.52MM</v>
      </c>
      <c r="O18" s="172">
        <v>4407</v>
      </c>
      <c r="P18" s="241"/>
      <c r="Q18" s="173"/>
      <c r="R18" s="185">
        <f t="shared" si="8"/>
        <v>10764</v>
      </c>
      <c r="S18" s="312"/>
      <c r="T18" s="313">
        <f t="shared" si="2"/>
        <v>14.666666666666666</v>
      </c>
      <c r="U18" s="313">
        <f t="shared" si="3"/>
        <v>17.600000000000001</v>
      </c>
      <c r="V18" s="313">
        <f t="shared" si="4"/>
        <v>0.91666666666666663</v>
      </c>
      <c r="W18" s="313">
        <f t="shared" si="5"/>
        <v>14.666666666666666</v>
      </c>
      <c r="X18" s="313">
        <f t="shared" si="6"/>
        <v>29.333333333333332</v>
      </c>
      <c r="Y18" s="313">
        <f t="shared" si="7"/>
        <v>8.8000000000000007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2042.8999999999999</v>
      </c>
      <c r="L104" s="168">
        <f>SUM(L4:L103)</f>
        <v>3748.21</v>
      </c>
      <c r="M104" s="168">
        <f>SUM(M4:M103)</f>
        <v>311101.43000000005</v>
      </c>
      <c r="T104" s="314">
        <f t="shared" ref="T104:Y104" si="17">SUM(T4:T103)</f>
        <v>418</v>
      </c>
      <c r="U104" s="314">
        <f t="shared" si="17"/>
        <v>501.59999999999997</v>
      </c>
      <c r="V104" s="314">
        <f t="shared" si="17"/>
        <v>26.125</v>
      </c>
      <c r="W104" s="314">
        <f t="shared" si="17"/>
        <v>418</v>
      </c>
      <c r="X104" s="314">
        <f t="shared" si="17"/>
        <v>836</v>
      </c>
      <c r="Y104" s="314">
        <f t="shared" si="17"/>
        <v>250.79999999999998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G7" sqref="G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1889.874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O1" zoomScale="75" zoomScaleNormal="75" workbookViewId="0">
      <pane ySplit="6" topLeftCell="A7" activePane="bottomLeft" state="frozen"/>
      <selection pane="bottomLeft" activeCell="AK8" sqref="AK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2.25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TOP HUNG WINDOW</v>
      </c>
      <c r="D8" s="131" t="str">
        <f>Pricing!B4</f>
        <v>V1</v>
      </c>
      <c r="E8" s="132" t="str">
        <f>Pricing!N4</f>
        <v>13.52MM (F)</v>
      </c>
      <c r="F8" s="68">
        <f>Pricing!G4</f>
        <v>900</v>
      </c>
      <c r="G8" s="68">
        <f>Pricing!H4</f>
        <v>600</v>
      </c>
      <c r="H8" s="100">
        <f t="shared" ref="H8:H57" si="0">(F8*G8)/1000000</f>
        <v>0.54</v>
      </c>
      <c r="I8" s="70">
        <f>Pricing!I4</f>
        <v>4</v>
      </c>
      <c r="J8" s="69">
        <f t="shared" ref="J8" si="1">H8*I8</f>
        <v>2.16</v>
      </c>
      <c r="K8" s="71">
        <f t="shared" ref="K8" si="2">J8*10.764</f>
        <v>23.250240000000002</v>
      </c>
      <c r="L8" s="69"/>
      <c r="M8" s="72"/>
      <c r="N8" s="72"/>
      <c r="O8" s="72">
        <f t="shared" ref="O8:O35" si="3">N8*M8*L8/1000000</f>
        <v>0</v>
      </c>
      <c r="P8" s="73">
        <f>Pricing!M4</f>
        <v>26812.320000000003</v>
      </c>
      <c r="Q8" s="74">
        <f t="shared" ref="Q8:Q56" si="4">P8*$Q$6</f>
        <v>2681.2320000000004</v>
      </c>
      <c r="R8" s="74">
        <f t="shared" ref="R8:R56" si="5">(P8+Q8)*$R$6</f>
        <v>3244.2907200000004</v>
      </c>
      <c r="S8" s="74">
        <f t="shared" ref="S8:S56" si="6">(P8+Q8+R8)*$S$6</f>
        <v>163.68921360000002</v>
      </c>
      <c r="T8" s="74">
        <f t="shared" ref="T8:T56" si="7">(P8+Q8+R8+S8)*$T$6</f>
        <v>329.01531933600006</v>
      </c>
      <c r="U8" s="72">
        <f t="shared" ref="U8:U56" si="8">SUM(P8:T8)</f>
        <v>33230.547252936005</v>
      </c>
      <c r="V8" s="74">
        <f t="shared" ref="V8:V56" si="9">U8*$V$6</f>
        <v>498.45820879404005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11683.44</v>
      </c>
      <c r="AE8" s="76">
        <f>((((F8+G8)*2)/305)*I8*$AE$7)</f>
        <v>983.60655737704917</v>
      </c>
      <c r="AF8" s="345">
        <f>(((((F8*4)+(G8*4))/1000)*$AF$6*$AG$6)/300)*I8*$AF$7</f>
        <v>432</v>
      </c>
      <c r="AG8" s="346"/>
      <c r="AH8" s="76">
        <f>(((F8+G8))*I8/1000)*8*$AH$7</f>
        <v>36</v>
      </c>
      <c r="AI8" s="76">
        <f t="shared" ref="AI8:AI57" si="15">(((F8+G8)*2*I8)/1000)*2*$AI$7</f>
        <v>120</v>
      </c>
      <c r="AJ8" s="76">
        <f>J8*Pricing!Q4</f>
        <v>0</v>
      </c>
      <c r="AK8" s="76">
        <f>J8*Pricing!R4</f>
        <v>23250.240000000002</v>
      </c>
      <c r="AL8" s="76">
        <f t="shared" ref="AL8:AL39" si="16">J8*$AL$6</f>
        <v>2325.0239999999999</v>
      </c>
      <c r="AM8" s="77">
        <f t="shared" ref="AM8:AM39" si="17">$AM$6*J8</f>
        <v>0</v>
      </c>
      <c r="AN8" s="76">
        <f t="shared" ref="AN8:AN39" si="18">$AN$6*J8</f>
        <v>1860.0192</v>
      </c>
      <c r="AO8" s="72">
        <f t="shared" ref="AO8:AO39" si="19">SUM(U8:V8)+SUM(AC8:AI8)-AD8</f>
        <v>35300.612019107095</v>
      </c>
      <c r="AP8" s="74">
        <f t="shared" ref="AP8:AP39" si="20">AO8*$AP$6</f>
        <v>79426.377042990964</v>
      </c>
      <c r="AQ8" s="74">
        <f t="shared" ref="AQ8:AQ56" si="21">(AO8+AP8)*$AQ$6</f>
        <v>0</v>
      </c>
      <c r="AR8" s="74">
        <f t="shared" ref="AR8:AR39" si="22">SUM(AO8:AQ8)/J8</f>
        <v>53114.346788008355</v>
      </c>
      <c r="AS8" s="72">
        <f t="shared" ref="AS8:AS39" si="23">SUM(AJ8:AQ8)+AD8+AB8</f>
        <v>153845.71226209807</v>
      </c>
      <c r="AT8" s="72">
        <f t="shared" ref="AT8:AT39" si="24">AS8/J8</f>
        <v>71224.866788008352</v>
      </c>
      <c r="AU8" s="78">
        <f t="shared" ref="AU8:AU56" si="25">AT8/10.764</f>
        <v>6616.9515782244853</v>
      </c>
      <c r="AV8" s="79">
        <f t="shared" ref="AV8:AV39" si="26">K8/$K$109</f>
        <v>5.5066921606118549E-2</v>
      </c>
      <c r="AW8" s="80">
        <f t="shared" ref="AW8:AW39" si="27">(U8+V8)/(J8*10.764)</f>
        <v>1450.6949374169922</v>
      </c>
      <c r="AX8" s="81">
        <f t="shared" ref="AX8:AX39" si="28">SUM(W8:AN8,AP8)/(J8*10.764)</f>
        <v>5166.2566408074936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FRENCH CASEMENT WINDOW WITH TOP FIXED</v>
      </c>
      <c r="D9" s="131" t="str">
        <f>Pricing!B5</f>
        <v>W1</v>
      </c>
      <c r="E9" s="132" t="str">
        <f>Pricing!N5</f>
        <v>13.52MM</v>
      </c>
      <c r="F9" s="68">
        <f>Pricing!G5</f>
        <v>1800</v>
      </c>
      <c r="G9" s="68">
        <f>Pricing!H5</f>
        <v>2000</v>
      </c>
      <c r="H9" s="100">
        <f t="shared" si="0"/>
        <v>3.6</v>
      </c>
      <c r="I9" s="70">
        <f>Pricing!I5</f>
        <v>2</v>
      </c>
      <c r="J9" s="69">
        <f t="shared" ref="J9:J58" si="30">H9*I9</f>
        <v>7.2</v>
      </c>
      <c r="K9" s="71">
        <f t="shared" ref="K9:K58" si="31">J9*10.764</f>
        <v>77.500799999999998</v>
      </c>
      <c r="L9" s="69"/>
      <c r="M9" s="72"/>
      <c r="N9" s="72"/>
      <c r="O9" s="72">
        <f t="shared" si="3"/>
        <v>0</v>
      </c>
      <c r="P9" s="73">
        <f>Pricing!M5</f>
        <v>52505.8</v>
      </c>
      <c r="Q9" s="74">
        <f t="shared" ref="Q9:Q14" si="32">P9*$Q$6</f>
        <v>5250.5800000000008</v>
      </c>
      <c r="R9" s="74">
        <f t="shared" ref="R9:R14" si="33">(P9+Q9)*$R$6</f>
        <v>6353.2018000000007</v>
      </c>
      <c r="S9" s="74">
        <f t="shared" ref="S9:S14" si="34">(P9+Q9+R9)*$S$6</f>
        <v>320.54790900000006</v>
      </c>
      <c r="T9" s="74">
        <f t="shared" ref="T9:T14" si="35">(P9+Q9+R9+S9)*$T$6</f>
        <v>644.30129709000005</v>
      </c>
      <c r="U9" s="72">
        <f t="shared" ref="U9:U14" si="36">SUM(P9:T9)</f>
        <v>65074.43100609001</v>
      </c>
      <c r="V9" s="74">
        <f t="shared" ref="V9:V14" si="37">U9*$V$6</f>
        <v>976.11646509135016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31730.400000000001</v>
      </c>
      <c r="AE9" s="76">
        <f t="shared" ref="AE9:AE57" si="43">((((F9+G9)*2)/305)*I9*$AE$7)</f>
        <v>1245.9016393442623</v>
      </c>
      <c r="AF9" s="345">
        <f t="shared" ref="AF9:AF57" si="44">(((((F9*4)+(G9*4))/1000)*$AF$6*$AG$6)/300)*I9*$AF$7</f>
        <v>547.19999999999993</v>
      </c>
      <c r="AG9" s="346"/>
      <c r="AH9" s="76">
        <f t="shared" ref="AH9:AH72" si="45">(((F9+G9))*I9/1000)*8*$AH$7</f>
        <v>45.599999999999994</v>
      </c>
      <c r="AI9" s="76">
        <f t="shared" si="15"/>
        <v>152</v>
      </c>
      <c r="AJ9" s="76">
        <f>J9*Pricing!Q5</f>
        <v>0</v>
      </c>
      <c r="AK9" s="76">
        <f>J9*Pricing!R5</f>
        <v>31000.319999999996</v>
      </c>
      <c r="AL9" s="76">
        <f t="shared" si="16"/>
        <v>7750.079999999999</v>
      </c>
      <c r="AM9" s="77">
        <f t="shared" si="17"/>
        <v>0</v>
      </c>
      <c r="AN9" s="76">
        <f t="shared" si="18"/>
        <v>6200.0639999999994</v>
      </c>
      <c r="AO9" s="72">
        <f t="shared" si="19"/>
        <v>68041.249110525619</v>
      </c>
      <c r="AP9" s="74">
        <f t="shared" si="20"/>
        <v>153092.81049868264</v>
      </c>
      <c r="AQ9" s="74">
        <f t="shared" ref="AQ9:AQ14" si="46">(AO9+AP9)*$AQ$6</f>
        <v>0</v>
      </c>
      <c r="AR9" s="74">
        <f t="shared" si="22"/>
        <v>30713.063834612258</v>
      </c>
      <c r="AS9" s="72">
        <f t="shared" si="23"/>
        <v>297814.92360920826</v>
      </c>
      <c r="AT9" s="72">
        <f t="shared" si="24"/>
        <v>41363.18383461226</v>
      </c>
      <c r="AU9" s="78">
        <f t="shared" ref="AU9:AU14" si="47">AT9/10.764</f>
        <v>3842.733540933878</v>
      </c>
      <c r="AV9" s="79">
        <f t="shared" si="26"/>
        <v>0.1835564053537285</v>
      </c>
      <c r="AW9" s="80">
        <f t="shared" si="27"/>
        <v>852.25633117569578</v>
      </c>
      <c r="AX9" s="81">
        <f t="shared" si="28"/>
        <v>2990.4772097581817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FRENCH CASEMENT WINDOW</v>
      </c>
      <c r="D10" s="131" t="str">
        <f>Pricing!B6</f>
        <v>W2</v>
      </c>
      <c r="E10" s="132" t="str">
        <f>Pricing!N6</f>
        <v>13.52MM</v>
      </c>
      <c r="F10" s="68">
        <f>Pricing!G6</f>
        <v>1800</v>
      </c>
      <c r="G10" s="68">
        <f>Pricing!H6</f>
        <v>1300</v>
      </c>
      <c r="H10" s="100">
        <f t="shared" si="0"/>
        <v>2.34</v>
      </c>
      <c r="I10" s="70">
        <f>Pricing!I6</f>
        <v>2</v>
      </c>
      <c r="J10" s="69">
        <f t="shared" si="30"/>
        <v>4.68</v>
      </c>
      <c r="K10" s="71">
        <f t="shared" si="31"/>
        <v>50.375519999999995</v>
      </c>
      <c r="L10" s="69"/>
      <c r="M10" s="72"/>
      <c r="N10" s="72"/>
      <c r="O10" s="72">
        <f t="shared" si="3"/>
        <v>0</v>
      </c>
      <c r="P10" s="73">
        <f>Pricing!M6</f>
        <v>31505.14</v>
      </c>
      <c r="Q10" s="74">
        <f t="shared" si="32"/>
        <v>3150.5140000000001</v>
      </c>
      <c r="R10" s="74">
        <f t="shared" si="33"/>
        <v>3812.1219400000004</v>
      </c>
      <c r="S10" s="74">
        <f t="shared" si="34"/>
        <v>192.33887970000001</v>
      </c>
      <c r="T10" s="74">
        <f t="shared" si="35"/>
        <v>386.60114819699999</v>
      </c>
      <c r="U10" s="72">
        <f t="shared" si="36"/>
        <v>39046.715967896998</v>
      </c>
      <c r="V10" s="74">
        <f t="shared" si="37"/>
        <v>585.70073951845495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20624.759999999998</v>
      </c>
      <c r="AE10" s="76">
        <f t="shared" si="43"/>
        <v>1016.3934426229508</v>
      </c>
      <c r="AF10" s="345">
        <f t="shared" si="44"/>
        <v>446.40000000000009</v>
      </c>
      <c r="AG10" s="346"/>
      <c r="AH10" s="76">
        <f t="shared" si="45"/>
        <v>37.200000000000003</v>
      </c>
      <c r="AI10" s="76">
        <f t="shared" si="15"/>
        <v>124</v>
      </c>
      <c r="AJ10" s="76">
        <f>J10*Pricing!Q6</f>
        <v>0</v>
      </c>
      <c r="AK10" s="76">
        <f>J10*Pricing!R6</f>
        <v>25187.759999999998</v>
      </c>
      <c r="AL10" s="76">
        <f t="shared" si="16"/>
        <v>5037.5519999999988</v>
      </c>
      <c r="AM10" s="77">
        <f t="shared" si="17"/>
        <v>0</v>
      </c>
      <c r="AN10" s="76">
        <f t="shared" si="18"/>
        <v>4030.0415999999991</v>
      </c>
      <c r="AO10" s="72">
        <f t="shared" si="19"/>
        <v>41256.410150038413</v>
      </c>
      <c r="AP10" s="74">
        <f t="shared" si="20"/>
        <v>92826.922837586433</v>
      </c>
      <c r="AQ10" s="74">
        <f t="shared" si="46"/>
        <v>0</v>
      </c>
      <c r="AR10" s="74">
        <f t="shared" si="22"/>
        <v>28650.284826415569</v>
      </c>
      <c r="AS10" s="72">
        <f t="shared" si="23"/>
        <v>188963.44658762484</v>
      </c>
      <c r="AT10" s="72">
        <f t="shared" si="24"/>
        <v>40376.804826415566</v>
      </c>
      <c r="AU10" s="78">
        <f t="shared" si="47"/>
        <v>3751.0966951333676</v>
      </c>
      <c r="AV10" s="79">
        <f t="shared" si="26"/>
        <v>0.11931166347992352</v>
      </c>
      <c r="AW10" s="80">
        <f t="shared" si="27"/>
        <v>786.73960501877616</v>
      </c>
      <c r="AX10" s="81">
        <f t="shared" si="28"/>
        <v>2964.3570901145908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W7</v>
      </c>
      <c r="E11" s="132" t="str">
        <f>Pricing!N7</f>
        <v>13.52MM</v>
      </c>
      <c r="F11" s="68">
        <f>Pricing!G7</f>
        <v>500</v>
      </c>
      <c r="G11" s="68">
        <f>Pricing!H7</f>
        <v>1050</v>
      </c>
      <c r="H11" s="100">
        <f t="shared" si="0"/>
        <v>0.52500000000000002</v>
      </c>
      <c r="I11" s="70">
        <f>Pricing!I7</f>
        <v>2</v>
      </c>
      <c r="J11" s="69">
        <f t="shared" si="30"/>
        <v>1.05</v>
      </c>
      <c r="K11" s="71">
        <f t="shared" si="31"/>
        <v>11.302199999999999</v>
      </c>
      <c r="L11" s="69"/>
      <c r="M11" s="72"/>
      <c r="N11" s="72"/>
      <c r="O11" s="72">
        <f t="shared" si="3"/>
        <v>0</v>
      </c>
      <c r="P11" s="73">
        <f>Pricing!M7</f>
        <v>14448.640000000001</v>
      </c>
      <c r="Q11" s="74">
        <f t="shared" si="32"/>
        <v>1444.8640000000003</v>
      </c>
      <c r="R11" s="74">
        <f t="shared" si="33"/>
        <v>1748.2854400000001</v>
      </c>
      <c r="S11" s="74">
        <f t="shared" si="34"/>
        <v>88.208947199999997</v>
      </c>
      <c r="T11" s="74">
        <f t="shared" si="35"/>
        <v>177.29998387200001</v>
      </c>
      <c r="U11" s="72">
        <f t="shared" si="36"/>
        <v>17907.298371072</v>
      </c>
      <c r="V11" s="74">
        <f t="shared" si="37"/>
        <v>268.60947556607999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4627.3500000000004</v>
      </c>
      <c r="AE11" s="76">
        <f t="shared" si="43"/>
        <v>508.19672131147541</v>
      </c>
      <c r="AF11" s="345">
        <f t="shared" si="44"/>
        <v>223.20000000000005</v>
      </c>
      <c r="AG11" s="346"/>
      <c r="AH11" s="76">
        <f t="shared" si="45"/>
        <v>18.600000000000001</v>
      </c>
      <c r="AI11" s="76">
        <f t="shared" si="15"/>
        <v>62</v>
      </c>
      <c r="AJ11" s="76">
        <f>J11*Pricing!Q7</f>
        <v>0</v>
      </c>
      <c r="AK11" s="76">
        <f>J11*Pricing!R7</f>
        <v>11302.2</v>
      </c>
      <c r="AL11" s="76">
        <f t="shared" si="16"/>
        <v>1130.2199999999998</v>
      </c>
      <c r="AM11" s="77">
        <f t="shared" si="17"/>
        <v>0</v>
      </c>
      <c r="AN11" s="76">
        <f t="shared" si="18"/>
        <v>904.17599999999993</v>
      </c>
      <c r="AO11" s="72">
        <f t="shared" si="19"/>
        <v>18987.904567949561</v>
      </c>
      <c r="AP11" s="74">
        <f t="shared" si="20"/>
        <v>42722.785277886513</v>
      </c>
      <c r="AQ11" s="74">
        <f t="shared" si="46"/>
        <v>0</v>
      </c>
      <c r="AR11" s="74">
        <f t="shared" si="22"/>
        <v>58772.085567462927</v>
      </c>
      <c r="AS11" s="72">
        <f t="shared" si="23"/>
        <v>79674.635845836077</v>
      </c>
      <c r="AT11" s="72">
        <f t="shared" si="24"/>
        <v>75880.605567462932</v>
      </c>
      <c r="AU11" s="78">
        <f t="shared" si="47"/>
        <v>7049.4802645357613</v>
      </c>
      <c r="AV11" s="79">
        <f t="shared" si="26"/>
        <v>2.6768642447418736E-2</v>
      </c>
      <c r="AW11" s="80">
        <f t="shared" si="27"/>
        <v>1608.1743241703459</v>
      </c>
      <c r="AX11" s="81">
        <f t="shared" si="28"/>
        <v>5441.3059403654152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WINDOW</v>
      </c>
      <c r="D12" s="131" t="str">
        <f>Pricing!B8</f>
        <v>W3</v>
      </c>
      <c r="E12" s="132" t="str">
        <f>Pricing!N8</f>
        <v>13.52MM</v>
      </c>
      <c r="F12" s="68">
        <f>Pricing!G8</f>
        <v>1800</v>
      </c>
      <c r="G12" s="68">
        <f>Pricing!H8</f>
        <v>1050</v>
      </c>
      <c r="H12" s="100">
        <f t="shared" si="0"/>
        <v>1.89</v>
      </c>
      <c r="I12" s="70">
        <f>Pricing!I8</f>
        <v>1</v>
      </c>
      <c r="J12" s="69">
        <f t="shared" si="30"/>
        <v>1.89</v>
      </c>
      <c r="K12" s="71">
        <f t="shared" si="31"/>
        <v>20.343959999999999</v>
      </c>
      <c r="L12" s="69"/>
      <c r="M12" s="72"/>
      <c r="N12" s="72"/>
      <c r="O12" s="72">
        <f t="shared" si="3"/>
        <v>0</v>
      </c>
      <c r="P12" s="73">
        <f>Pricing!M8</f>
        <v>14026.17</v>
      </c>
      <c r="Q12" s="74">
        <f t="shared" si="32"/>
        <v>1402.6170000000002</v>
      </c>
      <c r="R12" s="74">
        <f t="shared" si="33"/>
        <v>1697.1665700000001</v>
      </c>
      <c r="S12" s="74">
        <f t="shared" si="34"/>
        <v>85.629767850000007</v>
      </c>
      <c r="T12" s="74">
        <f t="shared" si="35"/>
        <v>172.11583337850004</v>
      </c>
      <c r="U12" s="72">
        <f t="shared" si="36"/>
        <v>17383.699171228502</v>
      </c>
      <c r="V12" s="74">
        <f t="shared" si="37"/>
        <v>260.7554875684275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8329.23</v>
      </c>
      <c r="AE12" s="76">
        <f t="shared" si="43"/>
        <v>467.21311475409834</v>
      </c>
      <c r="AF12" s="345">
        <f t="shared" si="44"/>
        <v>205.20000000000002</v>
      </c>
      <c r="AG12" s="346"/>
      <c r="AH12" s="76">
        <f t="shared" si="45"/>
        <v>17.100000000000001</v>
      </c>
      <c r="AI12" s="76">
        <f t="shared" si="15"/>
        <v>57</v>
      </c>
      <c r="AJ12" s="76">
        <f>J12*Pricing!Q8</f>
        <v>0</v>
      </c>
      <c r="AK12" s="76">
        <f>J12*Pricing!R8</f>
        <v>10171.98</v>
      </c>
      <c r="AL12" s="76">
        <f t="shared" si="16"/>
        <v>2034.3959999999997</v>
      </c>
      <c r="AM12" s="77">
        <f t="shared" si="17"/>
        <v>0</v>
      </c>
      <c r="AN12" s="76">
        <f t="shared" si="18"/>
        <v>1627.5167999999996</v>
      </c>
      <c r="AO12" s="72">
        <f t="shared" si="19"/>
        <v>18390.96777355103</v>
      </c>
      <c r="AP12" s="74">
        <f t="shared" si="20"/>
        <v>41379.677490489819</v>
      </c>
      <c r="AQ12" s="74">
        <f t="shared" si="46"/>
        <v>0</v>
      </c>
      <c r="AR12" s="74">
        <f t="shared" si="22"/>
        <v>31624.680033884051</v>
      </c>
      <c r="AS12" s="72">
        <f t="shared" si="23"/>
        <v>81933.768064040851</v>
      </c>
      <c r="AT12" s="72">
        <f t="shared" si="24"/>
        <v>43351.200033884052</v>
      </c>
      <c r="AU12" s="78">
        <f t="shared" si="47"/>
        <v>4027.4247523117851</v>
      </c>
      <c r="AV12" s="79">
        <f t="shared" si="26"/>
        <v>4.8183556405353725E-2</v>
      </c>
      <c r="AW12" s="80">
        <f t="shared" si="27"/>
        <v>867.30679075248531</v>
      </c>
      <c r="AX12" s="81">
        <f t="shared" si="28"/>
        <v>3160.1179615592991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W5</v>
      </c>
      <c r="E13" s="132" t="str">
        <f>Pricing!N9</f>
        <v>13.52MM</v>
      </c>
      <c r="F13" s="68">
        <f>Pricing!G9</f>
        <v>500</v>
      </c>
      <c r="G13" s="68">
        <f>Pricing!H9</f>
        <v>1100</v>
      </c>
      <c r="H13" s="100">
        <f t="shared" si="0"/>
        <v>0.55000000000000004</v>
      </c>
      <c r="I13" s="70">
        <f>Pricing!I9</f>
        <v>1</v>
      </c>
      <c r="J13" s="69">
        <f t="shared" si="30"/>
        <v>0.55000000000000004</v>
      </c>
      <c r="K13" s="71">
        <f t="shared" si="31"/>
        <v>5.9202000000000004</v>
      </c>
      <c r="L13" s="69"/>
      <c r="M13" s="72"/>
      <c r="N13" s="72"/>
      <c r="O13" s="72">
        <f t="shared" si="3"/>
        <v>0</v>
      </c>
      <c r="P13" s="73">
        <f>Pricing!M9</f>
        <v>7329.7300000000005</v>
      </c>
      <c r="Q13" s="74">
        <f t="shared" si="32"/>
        <v>732.97300000000007</v>
      </c>
      <c r="R13" s="74">
        <f t="shared" si="33"/>
        <v>886.89733000000001</v>
      </c>
      <c r="S13" s="74">
        <f t="shared" si="34"/>
        <v>44.748001650000006</v>
      </c>
      <c r="T13" s="74">
        <f t="shared" si="35"/>
        <v>89.943483316500007</v>
      </c>
      <c r="U13" s="72">
        <f t="shared" si="36"/>
        <v>9084.2918149665002</v>
      </c>
      <c r="V13" s="74">
        <f t="shared" si="37"/>
        <v>136.26437722449751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2423.8500000000004</v>
      </c>
      <c r="AE13" s="76">
        <f t="shared" si="43"/>
        <v>262.29508196721309</v>
      </c>
      <c r="AF13" s="345">
        <f t="shared" si="44"/>
        <v>115.20000000000002</v>
      </c>
      <c r="AG13" s="346"/>
      <c r="AH13" s="76">
        <f t="shared" si="45"/>
        <v>9.6000000000000014</v>
      </c>
      <c r="AI13" s="76">
        <f t="shared" si="15"/>
        <v>32</v>
      </c>
      <c r="AJ13" s="76">
        <f>J13*Pricing!Q9</f>
        <v>0</v>
      </c>
      <c r="AK13" s="76">
        <f>J13*Pricing!R9</f>
        <v>5920.2000000000007</v>
      </c>
      <c r="AL13" s="76">
        <f t="shared" si="16"/>
        <v>592.02</v>
      </c>
      <c r="AM13" s="77">
        <f t="shared" si="17"/>
        <v>0</v>
      </c>
      <c r="AN13" s="76">
        <f t="shared" si="18"/>
        <v>473.61599999999999</v>
      </c>
      <c r="AO13" s="72">
        <f t="shared" si="19"/>
        <v>9639.6512741582101</v>
      </c>
      <c r="AP13" s="74">
        <f t="shared" si="20"/>
        <v>21689.215366855973</v>
      </c>
      <c r="AQ13" s="74">
        <f t="shared" si="46"/>
        <v>0</v>
      </c>
      <c r="AR13" s="74">
        <f t="shared" si="22"/>
        <v>56961.575710934871</v>
      </c>
      <c r="AS13" s="72">
        <f t="shared" si="23"/>
        <v>40738.552641014183</v>
      </c>
      <c r="AT13" s="72">
        <f t="shared" si="24"/>
        <v>74070.095710934867</v>
      </c>
      <c r="AU13" s="78">
        <f t="shared" si="47"/>
        <v>6881.2797947728423</v>
      </c>
      <c r="AV13" s="79">
        <f t="shared" si="26"/>
        <v>1.4021669853409817E-2</v>
      </c>
      <c r="AW13" s="80">
        <f t="shared" si="27"/>
        <v>1557.4737664590718</v>
      </c>
      <c r="AX13" s="81">
        <f t="shared" si="28"/>
        <v>5323.8060283137702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W6</v>
      </c>
      <c r="E14" s="132" t="str">
        <f>Pricing!N10</f>
        <v>13.52MM</v>
      </c>
      <c r="F14" s="68">
        <f>Pricing!G10</f>
        <v>1200</v>
      </c>
      <c r="G14" s="68">
        <f>Pricing!H10</f>
        <v>600</v>
      </c>
      <c r="H14" s="100">
        <f t="shared" si="0"/>
        <v>0.72</v>
      </c>
      <c r="I14" s="70">
        <f>Pricing!I10</f>
        <v>2</v>
      </c>
      <c r="J14" s="69">
        <f t="shared" si="30"/>
        <v>1.44</v>
      </c>
      <c r="K14" s="71">
        <f t="shared" si="31"/>
        <v>15.500159999999999</v>
      </c>
      <c r="L14" s="69"/>
      <c r="M14" s="72"/>
      <c r="N14" s="72"/>
      <c r="O14" s="72">
        <f t="shared" si="3"/>
        <v>0</v>
      </c>
      <c r="P14" s="73">
        <f>Pricing!M10</f>
        <v>21335.98</v>
      </c>
      <c r="Q14" s="74">
        <f t="shared" si="32"/>
        <v>2133.598</v>
      </c>
      <c r="R14" s="74">
        <f t="shared" si="33"/>
        <v>2581.6535800000001</v>
      </c>
      <c r="S14" s="74">
        <f t="shared" si="34"/>
        <v>130.25615790000001</v>
      </c>
      <c r="T14" s="74">
        <f t="shared" si="35"/>
        <v>261.814877379</v>
      </c>
      <c r="U14" s="72">
        <f t="shared" si="36"/>
        <v>26443.302615279001</v>
      </c>
      <c r="V14" s="74">
        <f t="shared" si="37"/>
        <v>396.649539229185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6346.08</v>
      </c>
      <c r="AE14" s="76">
        <f t="shared" si="43"/>
        <v>590.1639344262295</v>
      </c>
      <c r="AF14" s="345">
        <f t="shared" si="44"/>
        <v>259.20000000000005</v>
      </c>
      <c r="AG14" s="346"/>
      <c r="AH14" s="76">
        <f t="shared" si="45"/>
        <v>21.6</v>
      </c>
      <c r="AI14" s="76">
        <f t="shared" si="15"/>
        <v>72</v>
      </c>
      <c r="AJ14" s="76">
        <f>J14*Pricing!Q10</f>
        <v>775.00799999999992</v>
      </c>
      <c r="AK14" s="76">
        <f>J14*Pricing!R10</f>
        <v>0</v>
      </c>
      <c r="AL14" s="76">
        <f t="shared" si="16"/>
        <v>1550.0159999999998</v>
      </c>
      <c r="AM14" s="77">
        <f t="shared" si="17"/>
        <v>0</v>
      </c>
      <c r="AN14" s="76">
        <f t="shared" si="18"/>
        <v>1240.0127999999997</v>
      </c>
      <c r="AO14" s="72">
        <f t="shared" si="19"/>
        <v>27782.916088934413</v>
      </c>
      <c r="AP14" s="74">
        <f t="shared" si="20"/>
        <v>62511.561200102427</v>
      </c>
      <c r="AQ14" s="74">
        <f t="shared" si="46"/>
        <v>0</v>
      </c>
      <c r="AR14" s="74">
        <f t="shared" si="22"/>
        <v>62704.498117386705</v>
      </c>
      <c r="AS14" s="72">
        <f t="shared" si="23"/>
        <v>100205.59408903685</v>
      </c>
      <c r="AT14" s="72">
        <f t="shared" si="24"/>
        <v>69587.218117386699</v>
      </c>
      <c r="AU14" s="78">
        <f t="shared" si="47"/>
        <v>6464.810304476654</v>
      </c>
      <c r="AV14" s="79">
        <f t="shared" si="26"/>
        <v>3.6711281070745699E-2</v>
      </c>
      <c r="AW14" s="80">
        <f t="shared" si="27"/>
        <v>1731.5919419224178</v>
      </c>
      <c r="AX14" s="81">
        <f t="shared" si="28"/>
        <v>4733.2183625542357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 WITH TOP FIXED</v>
      </c>
      <c r="D15" s="131" t="str">
        <f>Pricing!B11</f>
        <v>W8</v>
      </c>
      <c r="E15" s="132" t="str">
        <f>Pricing!N11</f>
        <v>13.52MM</v>
      </c>
      <c r="F15" s="68">
        <f>Pricing!G11</f>
        <v>1000</v>
      </c>
      <c r="G15" s="68">
        <f>Pricing!H11</f>
        <v>2000</v>
      </c>
      <c r="H15" s="100">
        <f t="shared" si="0"/>
        <v>2</v>
      </c>
      <c r="I15" s="70">
        <f>Pricing!I11</f>
        <v>1</v>
      </c>
      <c r="J15" s="69">
        <f t="shared" si="30"/>
        <v>2</v>
      </c>
      <c r="K15" s="71">
        <f t="shared" si="31"/>
        <v>21.527999999999999</v>
      </c>
      <c r="L15" s="69"/>
      <c r="M15" s="72"/>
      <c r="N15" s="72"/>
      <c r="O15" s="72">
        <f t="shared" si="3"/>
        <v>0</v>
      </c>
      <c r="P15" s="73">
        <f>Pricing!M11</f>
        <v>13618.640000000001</v>
      </c>
      <c r="Q15" s="74">
        <f t="shared" si="4"/>
        <v>1361.8640000000003</v>
      </c>
      <c r="R15" s="74">
        <f t="shared" si="5"/>
        <v>1647.85544</v>
      </c>
      <c r="S15" s="74">
        <f t="shared" si="6"/>
        <v>83.141797199999999</v>
      </c>
      <c r="T15" s="74">
        <f t="shared" si="7"/>
        <v>167.11501237200002</v>
      </c>
      <c r="U15" s="72">
        <f t="shared" si="8"/>
        <v>16878.616249572002</v>
      </c>
      <c r="V15" s="74">
        <f t="shared" si="9"/>
        <v>253.17924374358003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8814</v>
      </c>
      <c r="AE15" s="76">
        <f t="shared" si="43"/>
        <v>491.80327868852459</v>
      </c>
      <c r="AF15" s="345">
        <f t="shared" si="44"/>
        <v>216</v>
      </c>
      <c r="AG15" s="346"/>
      <c r="AH15" s="76">
        <f t="shared" si="45"/>
        <v>18</v>
      </c>
      <c r="AI15" s="76">
        <f t="shared" ref="AI15:AI20" si="49">(((F15+G15)*2*I15)/1000)*2*$AI$7</f>
        <v>60</v>
      </c>
      <c r="AJ15" s="76">
        <f>J15*Pricing!Q11</f>
        <v>0</v>
      </c>
      <c r="AK15" s="76">
        <f>J15*Pricing!R11</f>
        <v>10764</v>
      </c>
      <c r="AL15" s="76">
        <f t="shared" si="16"/>
        <v>2152.7999999999997</v>
      </c>
      <c r="AM15" s="77">
        <f t="shared" si="17"/>
        <v>0</v>
      </c>
      <c r="AN15" s="76">
        <f t="shared" si="18"/>
        <v>1722.2399999999998</v>
      </c>
      <c r="AO15" s="72">
        <f t="shared" si="19"/>
        <v>17917.598772004108</v>
      </c>
      <c r="AP15" s="74">
        <f t="shared" si="20"/>
        <v>40314.597237009242</v>
      </c>
      <c r="AQ15" s="74">
        <f t="shared" si="21"/>
        <v>0</v>
      </c>
      <c r="AR15" s="74">
        <f t="shared" si="22"/>
        <v>29116.098004506675</v>
      </c>
      <c r="AS15" s="72">
        <f t="shared" si="23"/>
        <v>81685.236009013344</v>
      </c>
      <c r="AT15" s="72">
        <f t="shared" si="24"/>
        <v>40842.618004506672</v>
      </c>
      <c r="AU15" s="78">
        <f t="shared" si="25"/>
        <v>3794.3717952904753</v>
      </c>
      <c r="AV15" s="79">
        <f t="shared" si="26"/>
        <v>5.098789037603569E-2</v>
      </c>
      <c r="AW15" s="80">
        <f t="shared" si="27"/>
        <v>795.79131797266734</v>
      </c>
      <c r="AX15" s="81">
        <f t="shared" si="28"/>
        <v>2998.5804773178079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W9</v>
      </c>
      <c r="E16" s="132" t="str">
        <f>Pricing!N12</f>
        <v>12MM</v>
      </c>
      <c r="F16" s="68">
        <f>Pricing!G12</f>
        <v>300</v>
      </c>
      <c r="G16" s="68">
        <f>Pricing!H12</f>
        <v>2000</v>
      </c>
      <c r="H16" s="100">
        <f t="shared" si="0"/>
        <v>0.6</v>
      </c>
      <c r="I16" s="70">
        <f>Pricing!I12</f>
        <v>1</v>
      </c>
      <c r="J16" s="69">
        <f t="shared" si="30"/>
        <v>0.6</v>
      </c>
      <c r="K16" s="71">
        <f t="shared" si="31"/>
        <v>6.4583999999999993</v>
      </c>
      <c r="L16" s="69"/>
      <c r="M16" s="72"/>
      <c r="N16" s="72"/>
      <c r="O16" s="72">
        <f t="shared" si="3"/>
        <v>0</v>
      </c>
      <c r="P16" s="73">
        <f>Pricing!M12</f>
        <v>2521.54</v>
      </c>
      <c r="Q16" s="74">
        <f t="shared" si="4"/>
        <v>252.154</v>
      </c>
      <c r="R16" s="74">
        <f t="shared" si="5"/>
        <v>305.10633999999999</v>
      </c>
      <c r="S16" s="74">
        <f t="shared" si="6"/>
        <v>15.394001699999999</v>
      </c>
      <c r="T16" s="74">
        <f t="shared" si="7"/>
        <v>30.941943416999997</v>
      </c>
      <c r="U16" s="72">
        <f t="shared" si="8"/>
        <v>3125.1362851169997</v>
      </c>
      <c r="V16" s="74">
        <f t="shared" si="9"/>
        <v>46.877044276754994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1134</v>
      </c>
      <c r="AE16" s="76">
        <f t="shared" si="43"/>
        <v>377.0491803278689</v>
      </c>
      <c r="AF16" s="345">
        <f t="shared" si="44"/>
        <v>165.6</v>
      </c>
      <c r="AG16" s="346"/>
      <c r="AH16" s="76">
        <f t="shared" si="45"/>
        <v>13.799999999999999</v>
      </c>
      <c r="AI16" s="76">
        <f t="shared" si="49"/>
        <v>46</v>
      </c>
      <c r="AJ16" s="76">
        <f>J16*Pricing!Q12</f>
        <v>0</v>
      </c>
      <c r="AK16" s="76">
        <f>J16*Pricing!R12</f>
        <v>6458.4</v>
      </c>
      <c r="AL16" s="76">
        <f t="shared" si="16"/>
        <v>645.83999999999992</v>
      </c>
      <c r="AM16" s="77">
        <f t="shared" si="17"/>
        <v>0</v>
      </c>
      <c r="AN16" s="76">
        <f t="shared" si="18"/>
        <v>516.67199999999991</v>
      </c>
      <c r="AO16" s="72">
        <f t="shared" si="19"/>
        <v>3774.4625097216231</v>
      </c>
      <c r="AP16" s="74">
        <f t="shared" si="20"/>
        <v>8492.540646873651</v>
      </c>
      <c r="AQ16" s="74">
        <f t="shared" si="21"/>
        <v>0</v>
      </c>
      <c r="AR16" s="74">
        <f t="shared" si="22"/>
        <v>20445.005260992126</v>
      </c>
      <c r="AS16" s="72">
        <f t="shared" si="23"/>
        <v>21021.915156595274</v>
      </c>
      <c r="AT16" s="72">
        <f t="shared" si="24"/>
        <v>35036.525260992123</v>
      </c>
      <c r="AU16" s="78">
        <f t="shared" si="25"/>
        <v>3254.9726180780494</v>
      </c>
      <c r="AV16" s="79">
        <f t="shared" si="26"/>
        <v>1.5296367112810707E-2</v>
      </c>
      <c r="AW16" s="80">
        <f t="shared" si="27"/>
        <v>491.14538111509893</v>
      </c>
      <c r="AX16" s="81">
        <f t="shared" si="28"/>
        <v>2763.8272369629508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WINDOW</v>
      </c>
      <c r="D17" s="131" t="str">
        <f>Pricing!B13</f>
        <v>W10</v>
      </c>
      <c r="E17" s="132" t="str">
        <f>Pricing!N13</f>
        <v>13.52MM</v>
      </c>
      <c r="F17" s="68">
        <f>Pricing!G13</f>
        <v>450</v>
      </c>
      <c r="G17" s="68">
        <f>Pricing!H13</f>
        <v>1100</v>
      </c>
      <c r="H17" s="100">
        <f t="shared" si="0"/>
        <v>0.495</v>
      </c>
      <c r="I17" s="70">
        <f>Pricing!I13</f>
        <v>1</v>
      </c>
      <c r="J17" s="69">
        <f t="shared" si="30"/>
        <v>0.495</v>
      </c>
      <c r="K17" s="71">
        <f t="shared" si="31"/>
        <v>5.3281799999999997</v>
      </c>
      <c r="L17" s="69"/>
      <c r="M17" s="72"/>
      <c r="N17" s="72"/>
      <c r="O17" s="72">
        <f t="shared" si="3"/>
        <v>0</v>
      </c>
      <c r="P17" s="73">
        <f>Pricing!M13</f>
        <v>7224.3200000000006</v>
      </c>
      <c r="Q17" s="74">
        <f t="shared" si="4"/>
        <v>722.43200000000013</v>
      </c>
      <c r="R17" s="74">
        <f t="shared" si="5"/>
        <v>874.14272000000005</v>
      </c>
      <c r="S17" s="74">
        <f t="shared" si="6"/>
        <v>44.104473599999999</v>
      </c>
      <c r="T17" s="74">
        <f t="shared" si="7"/>
        <v>88.649991936000006</v>
      </c>
      <c r="U17" s="72">
        <f t="shared" si="8"/>
        <v>8953.649185536</v>
      </c>
      <c r="V17" s="74">
        <f t="shared" si="9"/>
        <v>134.30473778304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2181.4650000000001</v>
      </c>
      <c r="AE17" s="76">
        <f t="shared" si="43"/>
        <v>254.09836065573771</v>
      </c>
      <c r="AF17" s="345">
        <f t="shared" si="44"/>
        <v>111.60000000000002</v>
      </c>
      <c r="AG17" s="346"/>
      <c r="AH17" s="76">
        <f t="shared" si="45"/>
        <v>9.3000000000000007</v>
      </c>
      <c r="AI17" s="76">
        <f t="shared" si="49"/>
        <v>31</v>
      </c>
      <c r="AJ17" s="76">
        <f>J17*Pricing!Q13</f>
        <v>0</v>
      </c>
      <c r="AK17" s="76">
        <f>J17*Pricing!R13</f>
        <v>5328.18</v>
      </c>
      <c r="AL17" s="76">
        <f t="shared" si="16"/>
        <v>532.81799999999998</v>
      </c>
      <c r="AM17" s="77">
        <f t="shared" si="17"/>
        <v>0</v>
      </c>
      <c r="AN17" s="76">
        <f t="shared" si="18"/>
        <v>426.25439999999992</v>
      </c>
      <c r="AO17" s="72">
        <f t="shared" si="19"/>
        <v>9493.9522839747788</v>
      </c>
      <c r="AP17" s="74">
        <f t="shared" si="20"/>
        <v>21361.392638943253</v>
      </c>
      <c r="AQ17" s="74">
        <f t="shared" si="21"/>
        <v>0</v>
      </c>
      <c r="AR17" s="74">
        <f t="shared" si="22"/>
        <v>62334.03014730916</v>
      </c>
      <c r="AS17" s="72">
        <f t="shared" si="23"/>
        <v>39324.062322918035</v>
      </c>
      <c r="AT17" s="72">
        <f t="shared" si="24"/>
        <v>79442.550147309157</v>
      </c>
      <c r="AU17" s="78">
        <f t="shared" si="25"/>
        <v>7380.3929902739837</v>
      </c>
      <c r="AV17" s="79">
        <f t="shared" si="26"/>
        <v>1.2619502868068833E-2</v>
      </c>
      <c r="AW17" s="80">
        <f t="shared" si="27"/>
        <v>1705.6394347261244</v>
      </c>
      <c r="AX17" s="81">
        <f t="shared" si="28"/>
        <v>5674.7535555478589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FRENCH CASEMENT WINDOW</v>
      </c>
      <c r="D18" s="131" t="str">
        <f>Pricing!B14</f>
        <v>W11</v>
      </c>
      <c r="E18" s="132" t="str">
        <f>Pricing!N14</f>
        <v>13.52MM</v>
      </c>
      <c r="F18" s="68">
        <f>Pricing!G14</f>
        <v>1800</v>
      </c>
      <c r="G18" s="68">
        <f>Pricing!H14</f>
        <v>1300</v>
      </c>
      <c r="H18" s="100">
        <f t="shared" si="0"/>
        <v>2.34</v>
      </c>
      <c r="I18" s="70">
        <f>Pricing!I14</f>
        <v>4</v>
      </c>
      <c r="J18" s="69">
        <f t="shared" si="30"/>
        <v>9.36</v>
      </c>
      <c r="K18" s="71">
        <f t="shared" si="31"/>
        <v>100.75103999999999</v>
      </c>
      <c r="L18" s="69"/>
      <c r="M18" s="72"/>
      <c r="N18" s="72"/>
      <c r="O18" s="72">
        <f t="shared" si="3"/>
        <v>0</v>
      </c>
      <c r="P18" s="73">
        <f>Pricing!M14</f>
        <v>63010.28</v>
      </c>
      <c r="Q18" s="74">
        <f t="shared" si="4"/>
        <v>6301.0280000000002</v>
      </c>
      <c r="R18" s="74">
        <f t="shared" si="5"/>
        <v>7624.2438800000009</v>
      </c>
      <c r="S18" s="74">
        <f t="shared" si="6"/>
        <v>384.67775940000001</v>
      </c>
      <c r="T18" s="74">
        <f t="shared" si="7"/>
        <v>773.20229639399997</v>
      </c>
      <c r="U18" s="72">
        <f t="shared" si="8"/>
        <v>78093.431935793997</v>
      </c>
      <c r="V18" s="74">
        <f t="shared" si="9"/>
        <v>1171.4014790369099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41249.519999999997</v>
      </c>
      <c r="AE18" s="76">
        <f t="shared" si="43"/>
        <v>2032.7868852459017</v>
      </c>
      <c r="AF18" s="345">
        <f t="shared" si="44"/>
        <v>892.80000000000018</v>
      </c>
      <c r="AG18" s="346"/>
      <c r="AH18" s="76">
        <f t="shared" si="45"/>
        <v>74.400000000000006</v>
      </c>
      <c r="AI18" s="76">
        <f t="shared" si="49"/>
        <v>248</v>
      </c>
      <c r="AJ18" s="76">
        <f>J18*Pricing!Q14</f>
        <v>0</v>
      </c>
      <c r="AK18" s="76">
        <f>J18*Pricing!R14</f>
        <v>50375.519999999997</v>
      </c>
      <c r="AL18" s="76">
        <f t="shared" si="16"/>
        <v>10075.103999999998</v>
      </c>
      <c r="AM18" s="77">
        <f t="shared" si="17"/>
        <v>0</v>
      </c>
      <c r="AN18" s="76">
        <f t="shared" si="18"/>
        <v>8060.0831999999982</v>
      </c>
      <c r="AO18" s="72">
        <f t="shared" si="19"/>
        <v>82512.820300076826</v>
      </c>
      <c r="AP18" s="74">
        <f t="shared" si="20"/>
        <v>185653.84567517287</v>
      </c>
      <c r="AQ18" s="74">
        <f t="shared" si="21"/>
        <v>0</v>
      </c>
      <c r="AR18" s="74">
        <f t="shared" si="22"/>
        <v>28650.284826415569</v>
      </c>
      <c r="AS18" s="72">
        <f t="shared" si="23"/>
        <v>377926.89317524969</v>
      </c>
      <c r="AT18" s="72">
        <f t="shared" si="24"/>
        <v>40376.804826415566</v>
      </c>
      <c r="AU18" s="78">
        <f t="shared" si="25"/>
        <v>3751.0966951333676</v>
      </c>
      <c r="AV18" s="79">
        <f t="shared" si="26"/>
        <v>0.23862332695984703</v>
      </c>
      <c r="AW18" s="80">
        <f t="shared" si="27"/>
        <v>786.73960501877616</v>
      </c>
      <c r="AX18" s="81">
        <f t="shared" si="28"/>
        <v>2964.3570901145908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FRENCH CASEMENT WINDOW</v>
      </c>
      <c r="D19" s="131" t="str">
        <f>Pricing!B15</f>
        <v>W12</v>
      </c>
      <c r="E19" s="132" t="str">
        <f>Pricing!N15</f>
        <v>13.52MM</v>
      </c>
      <c r="F19" s="68">
        <f>Pricing!G15</f>
        <v>1200</v>
      </c>
      <c r="G19" s="68">
        <f>Pricing!H15</f>
        <v>1300</v>
      </c>
      <c r="H19" s="100">
        <f t="shared" si="0"/>
        <v>1.56</v>
      </c>
      <c r="I19" s="70">
        <f>Pricing!I15</f>
        <v>2</v>
      </c>
      <c r="J19" s="69">
        <f t="shared" si="30"/>
        <v>3.12</v>
      </c>
      <c r="K19" s="71">
        <f t="shared" si="31"/>
        <v>33.583680000000001</v>
      </c>
      <c r="L19" s="69"/>
      <c r="M19" s="72"/>
      <c r="N19" s="72"/>
      <c r="O19" s="72">
        <f t="shared" si="3"/>
        <v>0</v>
      </c>
      <c r="P19" s="73">
        <f>Pricing!M15</f>
        <v>28552</v>
      </c>
      <c r="Q19" s="74">
        <f t="shared" si="4"/>
        <v>2855.2000000000003</v>
      </c>
      <c r="R19" s="74">
        <f t="shared" si="5"/>
        <v>3454.7919999999999</v>
      </c>
      <c r="S19" s="74">
        <f t="shared" si="6"/>
        <v>174.30995999999999</v>
      </c>
      <c r="T19" s="74">
        <f t="shared" si="7"/>
        <v>350.36301959999997</v>
      </c>
      <c r="U19" s="72">
        <f t="shared" si="8"/>
        <v>35386.664979599998</v>
      </c>
      <c r="V19" s="74">
        <f t="shared" si="9"/>
        <v>530.79997469399996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13749.84</v>
      </c>
      <c r="AE19" s="76">
        <f t="shared" si="43"/>
        <v>819.67213114754088</v>
      </c>
      <c r="AF19" s="345">
        <f t="shared" si="44"/>
        <v>360</v>
      </c>
      <c r="AG19" s="346"/>
      <c r="AH19" s="76">
        <f t="shared" si="45"/>
        <v>30</v>
      </c>
      <c r="AI19" s="76">
        <f t="shared" si="49"/>
        <v>100</v>
      </c>
      <c r="AJ19" s="76">
        <f>J19*Pricing!Q15</f>
        <v>0</v>
      </c>
      <c r="AK19" s="76">
        <f>J19*Pricing!R15</f>
        <v>23508.575999999997</v>
      </c>
      <c r="AL19" s="76">
        <f t="shared" si="16"/>
        <v>3358.3679999999995</v>
      </c>
      <c r="AM19" s="77">
        <f t="shared" si="17"/>
        <v>0</v>
      </c>
      <c r="AN19" s="76">
        <f t="shared" si="18"/>
        <v>2686.6943999999999</v>
      </c>
      <c r="AO19" s="72">
        <f t="shared" si="19"/>
        <v>37227.137085441544</v>
      </c>
      <c r="AP19" s="74">
        <f t="shared" si="20"/>
        <v>83761.058442243477</v>
      </c>
      <c r="AQ19" s="74">
        <f t="shared" si="21"/>
        <v>0</v>
      </c>
      <c r="AR19" s="74">
        <f t="shared" si="22"/>
        <v>38778.267797334942</v>
      </c>
      <c r="AS19" s="72">
        <f t="shared" si="23"/>
        <v>164291.67392768501</v>
      </c>
      <c r="AT19" s="72">
        <f t="shared" si="24"/>
        <v>52657.587797334942</v>
      </c>
      <c r="AU19" s="78">
        <f t="shared" si="25"/>
        <v>4892.0092713986387</v>
      </c>
      <c r="AV19" s="79">
        <f t="shared" si="26"/>
        <v>7.9541108986615677E-2</v>
      </c>
      <c r="AW19" s="80">
        <f t="shared" si="27"/>
        <v>1069.4916386260825</v>
      </c>
      <c r="AX19" s="81">
        <f t="shared" si="28"/>
        <v>3822.5176327725553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W4</v>
      </c>
      <c r="E20" s="132" t="str">
        <f>Pricing!N16</f>
        <v>13.52MM</v>
      </c>
      <c r="F20" s="68">
        <f>Pricing!G16</f>
        <v>1200</v>
      </c>
      <c r="G20" s="68">
        <f>Pricing!H16</f>
        <v>800</v>
      </c>
      <c r="H20" s="100">
        <f t="shared" si="0"/>
        <v>0.96</v>
      </c>
      <c r="I20" s="70">
        <f>Pricing!I16</f>
        <v>1</v>
      </c>
      <c r="J20" s="69">
        <f t="shared" si="30"/>
        <v>0.96</v>
      </c>
      <c r="K20" s="71">
        <f t="shared" si="31"/>
        <v>10.33344</v>
      </c>
      <c r="L20" s="69"/>
      <c r="M20" s="72"/>
      <c r="N20" s="72"/>
      <c r="O20" s="72">
        <f t="shared" si="3"/>
        <v>0</v>
      </c>
      <c r="P20" s="73">
        <f>Pricing!M16</f>
        <v>11919.630000000001</v>
      </c>
      <c r="Q20" s="74">
        <f t="shared" si="4"/>
        <v>1191.9630000000002</v>
      </c>
      <c r="R20" s="74">
        <f t="shared" si="5"/>
        <v>1442.2752300000002</v>
      </c>
      <c r="S20" s="74">
        <f t="shared" si="6"/>
        <v>72.769341150000002</v>
      </c>
      <c r="T20" s="74">
        <f t="shared" si="7"/>
        <v>146.26637571150002</v>
      </c>
      <c r="U20" s="72">
        <f t="shared" si="8"/>
        <v>14772.903946861501</v>
      </c>
      <c r="V20" s="74">
        <f t="shared" si="9"/>
        <v>221.59355920292251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4230.72</v>
      </c>
      <c r="AE20" s="76">
        <f t="shared" si="43"/>
        <v>327.86885245901641</v>
      </c>
      <c r="AF20" s="345">
        <f t="shared" si="44"/>
        <v>144</v>
      </c>
      <c r="AG20" s="346"/>
      <c r="AH20" s="76">
        <f t="shared" si="45"/>
        <v>12</v>
      </c>
      <c r="AI20" s="76">
        <f t="shared" si="49"/>
        <v>40</v>
      </c>
      <c r="AJ20" s="76">
        <f>J20*Pricing!Q16</f>
        <v>516.67199999999991</v>
      </c>
      <c r="AK20" s="76">
        <f>J20*Pricing!R16</f>
        <v>0</v>
      </c>
      <c r="AL20" s="76">
        <f t="shared" si="16"/>
        <v>1033.3439999999998</v>
      </c>
      <c r="AM20" s="77">
        <f t="shared" si="17"/>
        <v>0</v>
      </c>
      <c r="AN20" s="76">
        <f t="shared" si="18"/>
        <v>826.6751999999999</v>
      </c>
      <c r="AO20" s="72">
        <f t="shared" si="19"/>
        <v>15518.366358523439</v>
      </c>
      <c r="AP20" s="74">
        <f t="shared" si="20"/>
        <v>34916.324306677736</v>
      </c>
      <c r="AQ20" s="74">
        <f t="shared" si="21"/>
        <v>0</v>
      </c>
      <c r="AR20" s="74">
        <f t="shared" si="22"/>
        <v>52536.136109584557</v>
      </c>
      <c r="AS20" s="72">
        <f t="shared" si="23"/>
        <v>57042.101865201177</v>
      </c>
      <c r="AT20" s="72">
        <f t="shared" si="24"/>
        <v>59418.856109584565</v>
      </c>
      <c r="AU20" s="78">
        <f t="shared" si="25"/>
        <v>5520.1464241531557</v>
      </c>
      <c r="AV20" s="79">
        <f t="shared" si="26"/>
        <v>2.4474187380497132E-2</v>
      </c>
      <c r="AW20" s="80">
        <f t="shared" si="27"/>
        <v>1451.0654250728144</v>
      </c>
      <c r="AX20" s="81">
        <f t="shared" si="28"/>
        <v>4069.08099908034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W13</v>
      </c>
      <c r="E21" s="132" t="str">
        <f>Pricing!N17</f>
        <v>13.52MM</v>
      </c>
      <c r="F21" s="68">
        <f>Pricing!G17</f>
        <v>1200</v>
      </c>
      <c r="G21" s="68">
        <f>Pricing!H17</f>
        <v>2100</v>
      </c>
      <c r="H21" s="100">
        <f t="shared" si="0"/>
        <v>2.52</v>
      </c>
      <c r="I21" s="70">
        <f>Pricing!I17</f>
        <v>1</v>
      </c>
      <c r="J21" s="69">
        <f t="shared" si="30"/>
        <v>2.52</v>
      </c>
      <c r="K21" s="71">
        <f t="shared" si="31"/>
        <v>27.12528</v>
      </c>
      <c r="L21" s="69"/>
      <c r="M21" s="72"/>
      <c r="N21" s="72"/>
      <c r="O21" s="72">
        <f t="shared" si="3"/>
        <v>0</v>
      </c>
      <c r="P21" s="73">
        <f>Pricing!M17</f>
        <v>3576.4700000000003</v>
      </c>
      <c r="Q21" s="74">
        <f t="shared" ref="Q21:Q26" si="50">P21*$Q$6</f>
        <v>357.64700000000005</v>
      </c>
      <c r="R21" s="74">
        <f t="shared" ref="R21:R26" si="51">(P21+Q21)*$R$6</f>
        <v>432.75287000000003</v>
      </c>
      <c r="S21" s="74">
        <f t="shared" ref="S21:S26" si="52">(P21+Q21+R21)*$S$6</f>
        <v>21.834349350000004</v>
      </c>
      <c r="T21" s="74">
        <f t="shared" ref="T21:T26" si="53">(P21+Q21+R21+S21)*$T$6</f>
        <v>43.887042193500001</v>
      </c>
      <c r="U21" s="72">
        <f t="shared" ref="U21:U26" si="54">SUM(P21:T21)</f>
        <v>4432.5912615435</v>
      </c>
      <c r="V21" s="74">
        <f t="shared" ref="V21:V26" si="55">U21*$V$6</f>
        <v>66.488868923152495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11105.64</v>
      </c>
      <c r="AE21" s="76">
        <f t="shared" si="43"/>
        <v>540.98360655737702</v>
      </c>
      <c r="AF21" s="345">
        <f t="shared" si="44"/>
        <v>237.59999999999997</v>
      </c>
      <c r="AG21" s="346"/>
      <c r="AH21" s="76">
        <f t="shared" si="45"/>
        <v>19.799999999999997</v>
      </c>
      <c r="AI21" s="76">
        <f t="shared" si="15"/>
        <v>66</v>
      </c>
      <c r="AJ21" s="76">
        <f>J21*Pricing!Q17</f>
        <v>0</v>
      </c>
      <c r="AK21" s="76">
        <f>J21*Pricing!R17</f>
        <v>16275.168</v>
      </c>
      <c r="AL21" s="76">
        <f t="shared" si="16"/>
        <v>2712.5279999999998</v>
      </c>
      <c r="AM21" s="77">
        <f t="shared" si="17"/>
        <v>0</v>
      </c>
      <c r="AN21" s="76">
        <f t="shared" si="18"/>
        <v>2170.0223999999998</v>
      </c>
      <c r="AO21" s="72">
        <f t="shared" si="19"/>
        <v>5363.4637370240307</v>
      </c>
      <c r="AP21" s="74">
        <f t="shared" si="20"/>
        <v>12067.793408304069</v>
      </c>
      <c r="AQ21" s="74">
        <f t="shared" ref="AQ21:AQ26" si="61">(AO21+AP21)*$AQ$6</f>
        <v>0</v>
      </c>
      <c r="AR21" s="74">
        <f t="shared" si="22"/>
        <v>6917.1655338603559</v>
      </c>
      <c r="AS21" s="72">
        <f t="shared" si="23"/>
        <v>49694.615545328095</v>
      </c>
      <c r="AT21" s="72">
        <f t="shared" si="24"/>
        <v>19720.085533860354</v>
      </c>
      <c r="AU21" s="78">
        <f t="shared" ref="AU21:AU26" si="62">AT21/10.764</f>
        <v>1832.0406478874354</v>
      </c>
      <c r="AV21" s="79">
        <f t="shared" si="26"/>
        <v>6.4244741873804967E-2</v>
      </c>
      <c r="AW21" s="80">
        <f t="shared" si="27"/>
        <v>165.86299313653731</v>
      </c>
      <c r="AX21" s="81">
        <f t="shared" si="28"/>
        <v>1666.1776547508982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FRENCH CASEMENT WINDOW</v>
      </c>
      <c r="D22" s="131" t="str">
        <f>Pricing!B18</f>
        <v>W14</v>
      </c>
      <c r="E22" s="132" t="str">
        <f>Pricing!N18</f>
        <v>13.52MM</v>
      </c>
      <c r="F22" s="68">
        <f>Pricing!G18</f>
        <v>1000</v>
      </c>
      <c r="G22" s="68">
        <f>Pricing!H18</f>
        <v>1200</v>
      </c>
      <c r="H22" s="100">
        <f t="shared" si="0"/>
        <v>1.2</v>
      </c>
      <c r="I22" s="70">
        <f>Pricing!I18</f>
        <v>1</v>
      </c>
      <c r="J22" s="69">
        <f t="shared" si="30"/>
        <v>1.2</v>
      </c>
      <c r="K22" s="71">
        <f t="shared" si="31"/>
        <v>12.916799999999999</v>
      </c>
      <c r="L22" s="69"/>
      <c r="M22" s="72"/>
      <c r="N22" s="72"/>
      <c r="O22" s="72">
        <f t="shared" si="3"/>
        <v>0</v>
      </c>
      <c r="P22" s="73">
        <f>Pricing!M18</f>
        <v>12714.77</v>
      </c>
      <c r="Q22" s="74">
        <f t="shared" si="50"/>
        <v>1271.4770000000001</v>
      </c>
      <c r="R22" s="74">
        <f t="shared" si="51"/>
        <v>1538.4871700000001</v>
      </c>
      <c r="S22" s="74">
        <f t="shared" si="52"/>
        <v>77.623670850000011</v>
      </c>
      <c r="T22" s="74">
        <f t="shared" si="53"/>
        <v>156.02357840850001</v>
      </c>
      <c r="U22" s="72">
        <f t="shared" si="54"/>
        <v>15758.381419258501</v>
      </c>
      <c r="V22" s="74">
        <f t="shared" si="55"/>
        <v>236.37572128887751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5288.4</v>
      </c>
      <c r="AE22" s="76">
        <f t="shared" si="43"/>
        <v>360.65573770491801</v>
      </c>
      <c r="AF22" s="345">
        <f t="shared" si="44"/>
        <v>158.4</v>
      </c>
      <c r="AG22" s="346"/>
      <c r="AH22" s="76">
        <f t="shared" si="45"/>
        <v>13.200000000000001</v>
      </c>
      <c r="AI22" s="76">
        <f t="shared" si="15"/>
        <v>44</v>
      </c>
      <c r="AJ22" s="76">
        <f>J22*Pricing!Q18</f>
        <v>0</v>
      </c>
      <c r="AK22" s="76">
        <f>J22*Pricing!R18</f>
        <v>12916.8</v>
      </c>
      <c r="AL22" s="76">
        <f t="shared" si="16"/>
        <v>1291.6799999999998</v>
      </c>
      <c r="AM22" s="77">
        <f t="shared" si="17"/>
        <v>0</v>
      </c>
      <c r="AN22" s="76">
        <f t="shared" si="18"/>
        <v>1033.3439999999998</v>
      </c>
      <c r="AO22" s="72">
        <f t="shared" si="19"/>
        <v>16571.012878252295</v>
      </c>
      <c r="AP22" s="74">
        <f t="shared" si="20"/>
        <v>37284.778976067668</v>
      </c>
      <c r="AQ22" s="74">
        <f t="shared" si="61"/>
        <v>0</v>
      </c>
      <c r="AR22" s="74">
        <f t="shared" si="22"/>
        <v>44879.826545266638</v>
      </c>
      <c r="AS22" s="72">
        <f t="shared" si="23"/>
        <v>74386.015854319965</v>
      </c>
      <c r="AT22" s="72">
        <f t="shared" si="24"/>
        <v>61988.346545266642</v>
      </c>
      <c r="AU22" s="78">
        <f t="shared" si="62"/>
        <v>5758.8579101882797</v>
      </c>
      <c r="AV22" s="79">
        <f t="shared" si="26"/>
        <v>3.0592734225621414E-2</v>
      </c>
      <c r="AW22" s="80">
        <f t="shared" si="27"/>
        <v>1238.2909962643519</v>
      </c>
      <c r="AX22" s="81">
        <f t="shared" si="28"/>
        <v>4520.566913923928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21.84</v>
      </c>
      <c r="I109" s="87">
        <f>SUM(I8:I108)</f>
        <v>26</v>
      </c>
      <c r="J109" s="88">
        <f>SUM(J8:J108)</f>
        <v>39.225000000000009</v>
      </c>
      <c r="K109" s="89">
        <f>SUM(K8:K108)</f>
        <v>422.21789999999999</v>
      </c>
      <c r="L109" s="88">
        <f>SUM(L8:L8)</f>
        <v>0</v>
      </c>
      <c r="M109" s="88"/>
      <c r="N109" s="88"/>
      <c r="O109" s="88"/>
      <c r="P109" s="87">
        <f>SUM(P8:P108)</f>
        <v>311101.43000000005</v>
      </c>
      <c r="Q109" s="88">
        <f t="shared" ref="Q109:AE109" si="156">SUM(Q8:Q108)</f>
        <v>31110.143</v>
      </c>
      <c r="R109" s="88">
        <f t="shared" si="156"/>
        <v>37643.273029999997</v>
      </c>
      <c r="S109" s="88">
        <f t="shared" si="156"/>
        <v>1899.2742301499998</v>
      </c>
      <c r="T109" s="88">
        <f t="shared" si="156"/>
        <v>3817.5412026014992</v>
      </c>
      <c r="U109" s="88">
        <f t="shared" si="156"/>
        <v>385571.66146275157</v>
      </c>
      <c r="V109" s="88">
        <f t="shared" si="156"/>
        <v>5783.5749219412737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173518.69499999998</v>
      </c>
      <c r="AE109" s="88">
        <f t="shared" si="156"/>
        <v>10278.688524590163</v>
      </c>
      <c r="AF109" s="406">
        <f>SUM(AF8:AG108)</f>
        <v>4514.3999999999996</v>
      </c>
      <c r="AG109" s="407"/>
      <c r="AH109" s="88">
        <f t="shared" ref="AH109:AQ109" si="157">SUM(AH8:AH108)</f>
        <v>376.20000000000005</v>
      </c>
      <c r="AI109" s="88">
        <f t="shared" si="157"/>
        <v>1254</v>
      </c>
      <c r="AJ109" s="88">
        <f t="shared" ref="AJ109" si="158">SUM(AJ8:AJ108)</f>
        <v>1291.6799999999998</v>
      </c>
      <c r="AK109" s="88">
        <f t="shared" si="157"/>
        <v>232459.34399999995</v>
      </c>
      <c r="AL109" s="88">
        <f t="shared" si="157"/>
        <v>42221.789999999994</v>
      </c>
      <c r="AM109" s="88">
        <f t="shared" si="157"/>
        <v>0</v>
      </c>
      <c r="AN109" s="88">
        <f t="shared" si="157"/>
        <v>33777.431999999993</v>
      </c>
      <c r="AO109" s="88">
        <f t="shared" si="157"/>
        <v>407778.52490928298</v>
      </c>
      <c r="AP109" s="88">
        <f t="shared" si="157"/>
        <v>917501.68104588671</v>
      </c>
      <c r="AQ109" s="88">
        <f t="shared" si="157"/>
        <v>0</v>
      </c>
      <c r="AR109" s="88"/>
      <c r="AS109" s="87">
        <f>SUM(AS8:AS108)</f>
        <v>1808549.1469551697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4514.3999999999996</v>
      </c>
      <c r="AW110" s="84"/>
    </row>
    <row r="111" spans="2:54">
      <c r="AF111" s="174"/>
      <c r="AG111" s="174"/>
      <c r="AH111" s="174">
        <f>SUM(AE109:AI109,AC109)</f>
        <v>16423.288524590163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R4" sqref="R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20.85546875" style="122" customWidth="1"/>
    <col min="6" max="6" width="61" style="122" customWidth="1"/>
    <col min="7" max="7" width="29.28515625" style="122" customWidth="1"/>
    <col min="8" max="8" width="43.7109375" style="122" hidden="1" customWidth="1"/>
    <col min="9" max="9" width="22" style="122" bestFit="1" customWidth="1"/>
    <col min="10" max="10" width="15" style="98" customWidth="1"/>
    <col min="11" max="11" width="16.42578125" style="98" customWidth="1"/>
    <col min="12" max="12" width="16.28515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3"/>
      <c r="C6" s="444"/>
      <c r="D6" s="444"/>
      <c r="E6" s="444"/>
      <c r="F6" s="444"/>
      <c r="G6" s="444"/>
      <c r="H6" s="444"/>
      <c r="I6" s="444"/>
      <c r="J6" s="445"/>
      <c r="K6" s="450" t="s">
        <v>103</v>
      </c>
      <c r="L6" s="451"/>
      <c r="M6" s="446" t="str">
        <f>'BD Team'!J2</f>
        <v>ABPL-DE-19.20-2127</v>
      </c>
      <c r="N6" s="447"/>
    </row>
    <row r="7" spans="2:15" ht="24.95" customHeight="1">
      <c r="B7" s="427" t="s">
        <v>126</v>
      </c>
      <c r="C7" s="428"/>
      <c r="D7" s="428"/>
      <c r="E7" s="428"/>
      <c r="F7" s="459" t="str">
        <f>'BD Team'!E2</f>
        <v>Mr. Arun</v>
      </c>
      <c r="G7" s="459"/>
      <c r="H7" s="459"/>
      <c r="I7" s="459"/>
      <c r="J7" s="460"/>
      <c r="K7" s="436" t="s">
        <v>104</v>
      </c>
      <c r="L7" s="428"/>
      <c r="M7" s="433">
        <f>'BD Team'!J3</f>
        <v>43672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Chennai</v>
      </c>
      <c r="G8" s="461" t="s">
        <v>180</v>
      </c>
      <c r="H8" s="462"/>
      <c r="I8" s="459" t="str">
        <f>'BD Team'!G3</f>
        <v>1.5Kpa</v>
      </c>
      <c r="J8" s="460"/>
      <c r="K8" s="436" t="s">
        <v>105</v>
      </c>
      <c r="L8" s="428"/>
      <c r="M8" s="178" t="s">
        <v>365</v>
      </c>
      <c r="N8" s="179">
        <v>43672</v>
      </c>
    </row>
    <row r="9" spans="2:15" ht="24.95" customHeight="1">
      <c r="B9" s="427" t="s">
        <v>169</v>
      </c>
      <c r="C9" s="428"/>
      <c r="D9" s="428"/>
      <c r="E9" s="428"/>
      <c r="F9" s="459" t="str">
        <f>'BD Team'!E4</f>
        <v>Mr. Anamol Anand : 7702300826</v>
      </c>
      <c r="G9" s="459"/>
      <c r="H9" s="459"/>
      <c r="I9" s="459"/>
      <c r="J9" s="460"/>
      <c r="K9" s="436" t="s">
        <v>179</v>
      </c>
      <c r="L9" s="428"/>
      <c r="M9" s="448" t="str">
        <f>'BD Team'!J4</f>
        <v>Pradeep</v>
      </c>
      <c r="N9" s="449"/>
    </row>
    <row r="10" spans="2:15" ht="27.75" customHeight="1" thickBot="1">
      <c r="B10" s="429" t="s">
        <v>177</v>
      </c>
      <c r="C10" s="430"/>
      <c r="D10" s="430"/>
      <c r="E10" s="430"/>
      <c r="F10" s="217" t="str">
        <f>'BD Team'!E5</f>
        <v>Powder Coating</v>
      </c>
      <c r="G10" s="441" t="s">
        <v>178</v>
      </c>
      <c r="H10" s="442"/>
      <c r="I10" s="439" t="str">
        <f>'BD Team'!G5</f>
        <v>Silver</v>
      </c>
      <c r="J10" s="440"/>
      <c r="K10" s="437" t="s">
        <v>374</v>
      </c>
      <c r="L10" s="438"/>
      <c r="M10" s="431">
        <f>'BD Team'!J5</f>
        <v>0</v>
      </c>
      <c r="N10" s="432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5" t="s">
        <v>171</v>
      </c>
      <c r="E13" s="435" t="s">
        <v>172</v>
      </c>
      <c r="F13" s="435" t="s">
        <v>37</v>
      </c>
      <c r="G13" s="417" t="s">
        <v>63</v>
      </c>
      <c r="H13" s="417" t="s">
        <v>210</v>
      </c>
      <c r="I13" s="417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5"/>
      <c r="E14" s="435"/>
      <c r="F14" s="435"/>
      <c r="G14" s="417"/>
      <c r="H14" s="417"/>
      <c r="I14" s="417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5"/>
      <c r="E15" s="435"/>
      <c r="F15" s="435"/>
      <c r="G15" s="417"/>
      <c r="H15" s="417"/>
      <c r="I15" s="417"/>
      <c r="J15" s="465"/>
      <c r="K15" s="465"/>
      <c r="L15" s="464"/>
      <c r="M15" s="465"/>
      <c r="N15" s="466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V1</v>
      </c>
      <c r="E16" s="187" t="str">
        <f>Pricing!C4</f>
        <v>M940</v>
      </c>
      <c r="F16" s="187" t="str">
        <f>Pricing!D4</f>
        <v>TOP HUNG WINDOW</v>
      </c>
      <c r="G16" s="187" t="str">
        <f>Pricing!N4</f>
        <v>13.52MM (F)</v>
      </c>
      <c r="H16" s="187" t="str">
        <f>Pricing!F4</f>
        <v>NA</v>
      </c>
      <c r="I16" s="216" t="str">
        <f>Pricing!E4</f>
        <v>ROLL UP</v>
      </c>
      <c r="J16" s="216">
        <f>Pricing!G4</f>
        <v>900</v>
      </c>
      <c r="K16" s="216">
        <f>Pricing!H4</f>
        <v>600</v>
      </c>
      <c r="L16" s="216">
        <f>Pricing!I4</f>
        <v>4</v>
      </c>
      <c r="M16" s="188">
        <f t="shared" ref="M16:M24" si="0">J16*K16*L16/1000000</f>
        <v>2.16</v>
      </c>
      <c r="N16" s="189">
        <f>'Cost Calculation'!AS8</f>
        <v>153845.71226209807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W1</v>
      </c>
      <c r="E17" s="187" t="str">
        <f>Pricing!C5</f>
        <v>M940</v>
      </c>
      <c r="F17" s="187" t="str">
        <f>Pricing!D5</f>
        <v>FRENCH CASEMENT WINDOW WITH TOP FIXED</v>
      </c>
      <c r="G17" s="187" t="str">
        <f>Pricing!N5</f>
        <v>13.52MM</v>
      </c>
      <c r="H17" s="187" t="str">
        <f>Pricing!F5</f>
        <v>NA</v>
      </c>
      <c r="I17" s="216" t="str">
        <f>Pricing!E5</f>
        <v>RETRACTABLE</v>
      </c>
      <c r="J17" s="216">
        <f>Pricing!G5</f>
        <v>1800</v>
      </c>
      <c r="K17" s="216">
        <f>Pricing!H5</f>
        <v>2000</v>
      </c>
      <c r="L17" s="216">
        <f>Pricing!I5</f>
        <v>2</v>
      </c>
      <c r="M17" s="188">
        <f t="shared" si="0"/>
        <v>7.2</v>
      </c>
      <c r="N17" s="189">
        <f>'Cost Calculation'!AS9</f>
        <v>297814.92360920826</v>
      </c>
      <c r="O17" s="95"/>
    </row>
    <row r="18" spans="2:15" s="94" customFormat="1" ht="49.9" customHeight="1" thickTop="1" thickBot="1">
      <c r="B18" s="415">
        <f>Pricing!A6</f>
        <v>3</v>
      </c>
      <c r="C18" s="416"/>
      <c r="D18" s="187" t="str">
        <f>Pricing!B6</f>
        <v>W2</v>
      </c>
      <c r="E18" s="187" t="str">
        <f>Pricing!C6</f>
        <v>M940</v>
      </c>
      <c r="F18" s="187" t="str">
        <f>Pricing!D6</f>
        <v>FRENCH CASEMENT WINDOW</v>
      </c>
      <c r="G18" s="187" t="str">
        <f>Pricing!N6</f>
        <v>13.52MM</v>
      </c>
      <c r="H18" s="187" t="str">
        <f>Pricing!F6</f>
        <v>NA</v>
      </c>
      <c r="I18" s="216" t="str">
        <f>Pricing!E6</f>
        <v>RETRACTABLE</v>
      </c>
      <c r="J18" s="216">
        <f>Pricing!G6</f>
        <v>1800</v>
      </c>
      <c r="K18" s="216">
        <f>Pricing!H6</f>
        <v>1300</v>
      </c>
      <c r="L18" s="216">
        <f>Pricing!I6</f>
        <v>2</v>
      </c>
      <c r="M18" s="188">
        <f t="shared" si="0"/>
        <v>4.68</v>
      </c>
      <c r="N18" s="189">
        <f>'Cost Calculation'!AS10</f>
        <v>188963.44658762484</v>
      </c>
      <c r="O18" s="95"/>
    </row>
    <row r="19" spans="2:15" s="94" customFormat="1" ht="49.9" customHeight="1" thickTop="1" thickBot="1">
      <c r="B19" s="415">
        <f>Pricing!A7</f>
        <v>4</v>
      </c>
      <c r="C19" s="416"/>
      <c r="D19" s="187" t="str">
        <f>Pricing!B7</f>
        <v>W7</v>
      </c>
      <c r="E19" s="187" t="str">
        <f>Pricing!C7</f>
        <v>M940</v>
      </c>
      <c r="F19" s="187" t="str">
        <f>Pricing!D7</f>
        <v>SIDE HUNG WINDOW</v>
      </c>
      <c r="G19" s="187" t="str">
        <f>Pricing!N7</f>
        <v>13.52MM</v>
      </c>
      <c r="H19" s="187" t="str">
        <f>Pricing!F7</f>
        <v>NA</v>
      </c>
      <c r="I19" s="216" t="str">
        <f>Pricing!E7</f>
        <v>RETRACTABLE</v>
      </c>
      <c r="J19" s="216">
        <f>Pricing!G7</f>
        <v>500</v>
      </c>
      <c r="K19" s="216">
        <f>Pricing!H7</f>
        <v>1050</v>
      </c>
      <c r="L19" s="216">
        <f>Pricing!I7</f>
        <v>2</v>
      </c>
      <c r="M19" s="188">
        <f t="shared" si="0"/>
        <v>1.05</v>
      </c>
      <c r="N19" s="189">
        <f>'Cost Calculation'!AS11</f>
        <v>79674.635845836077</v>
      </c>
      <c r="O19" s="95"/>
    </row>
    <row r="20" spans="2:15" s="94" customFormat="1" ht="49.9" customHeight="1" thickTop="1" thickBot="1">
      <c r="B20" s="415">
        <f>Pricing!A8</f>
        <v>5</v>
      </c>
      <c r="C20" s="416"/>
      <c r="D20" s="187" t="str">
        <f>Pricing!B8</f>
        <v>W3</v>
      </c>
      <c r="E20" s="187" t="str">
        <f>Pricing!C8</f>
        <v>M940</v>
      </c>
      <c r="F20" s="187" t="str">
        <f>Pricing!D8</f>
        <v>FRENCH CASEMENT WINDOW</v>
      </c>
      <c r="G20" s="187" t="str">
        <f>Pricing!N8</f>
        <v>13.52MM</v>
      </c>
      <c r="H20" s="187" t="str">
        <f>Pricing!F8</f>
        <v>NA</v>
      </c>
      <c r="I20" s="216" t="str">
        <f>Pricing!E8</f>
        <v>RETRACTABLE</v>
      </c>
      <c r="J20" s="216">
        <f>Pricing!G8</f>
        <v>1800</v>
      </c>
      <c r="K20" s="216">
        <f>Pricing!H8</f>
        <v>1050</v>
      </c>
      <c r="L20" s="216">
        <f>Pricing!I8</f>
        <v>1</v>
      </c>
      <c r="M20" s="188">
        <f t="shared" si="0"/>
        <v>1.89</v>
      </c>
      <c r="N20" s="189">
        <f>'Cost Calculation'!AS12</f>
        <v>81933.768064040851</v>
      </c>
      <c r="O20" s="95"/>
    </row>
    <row r="21" spans="2:15" s="94" customFormat="1" ht="49.9" customHeight="1" thickTop="1" thickBot="1">
      <c r="B21" s="415">
        <f>Pricing!A9</f>
        <v>6</v>
      </c>
      <c r="C21" s="416"/>
      <c r="D21" s="187" t="str">
        <f>Pricing!B9</f>
        <v>W5</v>
      </c>
      <c r="E21" s="187" t="str">
        <f>Pricing!C9</f>
        <v>M940</v>
      </c>
      <c r="F21" s="187" t="str">
        <f>Pricing!D9</f>
        <v>SIDE HUNG WINDOW</v>
      </c>
      <c r="G21" s="187" t="str">
        <f>Pricing!N9</f>
        <v>13.52MM</v>
      </c>
      <c r="H21" s="187" t="str">
        <f>Pricing!F9</f>
        <v>NA</v>
      </c>
      <c r="I21" s="216" t="str">
        <f>Pricing!E9</f>
        <v>RETRACTABLE</v>
      </c>
      <c r="J21" s="216">
        <f>Pricing!G9</f>
        <v>500</v>
      </c>
      <c r="K21" s="216">
        <f>Pricing!H9</f>
        <v>1100</v>
      </c>
      <c r="L21" s="216">
        <f>Pricing!I9</f>
        <v>1</v>
      </c>
      <c r="M21" s="188">
        <f t="shared" si="0"/>
        <v>0.55000000000000004</v>
      </c>
      <c r="N21" s="189">
        <f>'Cost Calculation'!AS13</f>
        <v>40738.552641014183</v>
      </c>
      <c r="O21" s="95"/>
    </row>
    <row r="22" spans="2:15" s="94" customFormat="1" ht="49.9" customHeight="1" thickTop="1" thickBot="1">
      <c r="B22" s="415">
        <f>Pricing!A10</f>
        <v>7</v>
      </c>
      <c r="C22" s="416"/>
      <c r="D22" s="187" t="str">
        <f>Pricing!B10</f>
        <v>W6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13.52MM</v>
      </c>
      <c r="H22" s="187" t="str">
        <f>Pricing!F10</f>
        <v>NA</v>
      </c>
      <c r="I22" s="216" t="str">
        <f>Pricing!E10</f>
        <v>SS</v>
      </c>
      <c r="J22" s="216">
        <f>Pricing!G10</f>
        <v>1200</v>
      </c>
      <c r="K22" s="216">
        <f>Pricing!H10</f>
        <v>600</v>
      </c>
      <c r="L22" s="216">
        <f>Pricing!I10</f>
        <v>2</v>
      </c>
      <c r="M22" s="188">
        <f t="shared" si="0"/>
        <v>1.44</v>
      </c>
      <c r="N22" s="189">
        <f>'Cost Calculation'!AS14</f>
        <v>100205.59408903685</v>
      </c>
      <c r="O22" s="95"/>
    </row>
    <row r="23" spans="2:15" s="94" customFormat="1" ht="49.9" customHeight="1" thickTop="1" thickBot="1">
      <c r="B23" s="415">
        <f>Pricing!A11</f>
        <v>8</v>
      </c>
      <c r="C23" s="416"/>
      <c r="D23" s="187" t="str">
        <f>Pricing!B11</f>
        <v>W8</v>
      </c>
      <c r="E23" s="187" t="str">
        <f>Pricing!C11</f>
        <v>M940</v>
      </c>
      <c r="F23" s="187" t="str">
        <f>Pricing!D11</f>
        <v>SIDE HUNG WINDOW WITH TOP FIXED</v>
      </c>
      <c r="G23" s="187" t="str">
        <f>Pricing!N11</f>
        <v>13.52MM</v>
      </c>
      <c r="H23" s="187" t="str">
        <f>Pricing!F11</f>
        <v>NA</v>
      </c>
      <c r="I23" s="216" t="str">
        <f>Pricing!E11</f>
        <v>RETRACTABLE</v>
      </c>
      <c r="J23" s="216">
        <f>Pricing!G11</f>
        <v>1000</v>
      </c>
      <c r="K23" s="216">
        <f>Pricing!H11</f>
        <v>2000</v>
      </c>
      <c r="L23" s="216">
        <f>Pricing!I11</f>
        <v>1</v>
      </c>
      <c r="M23" s="188">
        <f t="shared" si="0"/>
        <v>2</v>
      </c>
      <c r="N23" s="189">
        <f>'Cost Calculation'!AS15</f>
        <v>81685.236009013344</v>
      </c>
      <c r="O23" s="95"/>
    </row>
    <row r="24" spans="2:15" s="94" customFormat="1" ht="49.9" customHeight="1" thickTop="1" thickBot="1">
      <c r="B24" s="415">
        <f>Pricing!A12</f>
        <v>9</v>
      </c>
      <c r="C24" s="416"/>
      <c r="D24" s="187" t="str">
        <f>Pricing!B12</f>
        <v>W9</v>
      </c>
      <c r="E24" s="187" t="str">
        <f>Pricing!C12</f>
        <v>M940</v>
      </c>
      <c r="F24" s="187" t="str">
        <f>Pricing!D12</f>
        <v>FIXED GLASS</v>
      </c>
      <c r="G24" s="187" t="str">
        <f>Pricing!N12</f>
        <v>12MM</v>
      </c>
      <c r="H24" s="187" t="str">
        <f>Pricing!F12</f>
        <v>NA</v>
      </c>
      <c r="I24" s="216" t="str">
        <f>Pricing!E12</f>
        <v>NO</v>
      </c>
      <c r="J24" s="216">
        <f>Pricing!G12</f>
        <v>300</v>
      </c>
      <c r="K24" s="216">
        <f>Pricing!H12</f>
        <v>2000</v>
      </c>
      <c r="L24" s="216">
        <f>Pricing!I12</f>
        <v>1</v>
      </c>
      <c r="M24" s="188">
        <f t="shared" si="0"/>
        <v>0.6</v>
      </c>
      <c r="N24" s="189">
        <f>'Cost Calculation'!AS16</f>
        <v>21021.915156595274</v>
      </c>
      <c r="O24" s="95"/>
    </row>
    <row r="25" spans="2:15" s="94" customFormat="1" ht="49.9" customHeight="1" thickTop="1" thickBot="1">
      <c r="B25" s="415">
        <f>Pricing!A13</f>
        <v>10</v>
      </c>
      <c r="C25" s="416"/>
      <c r="D25" s="187" t="str">
        <f>Pricing!B13</f>
        <v>W10</v>
      </c>
      <c r="E25" s="187" t="str">
        <f>Pricing!C13</f>
        <v>M940</v>
      </c>
      <c r="F25" s="187" t="str">
        <f>Pricing!D13</f>
        <v>SIDE HUNG WINDOW</v>
      </c>
      <c r="G25" s="187" t="str">
        <f>Pricing!N13</f>
        <v>13.52MM</v>
      </c>
      <c r="H25" s="187" t="str">
        <f>Pricing!F13</f>
        <v>NA</v>
      </c>
      <c r="I25" s="216" t="str">
        <f>Pricing!E13</f>
        <v>RETRACTABLE</v>
      </c>
      <c r="J25" s="216">
        <f>Pricing!G13</f>
        <v>450</v>
      </c>
      <c r="K25" s="216">
        <f>Pricing!H13</f>
        <v>1100</v>
      </c>
      <c r="L25" s="216">
        <f>Pricing!I13</f>
        <v>1</v>
      </c>
      <c r="M25" s="188">
        <f t="shared" ref="M25:M42" si="1">J25*K25*L25/1000000</f>
        <v>0.495</v>
      </c>
      <c r="N25" s="189">
        <f>'Cost Calculation'!AS17</f>
        <v>39324.062322918035</v>
      </c>
      <c r="O25" s="95"/>
    </row>
    <row r="26" spans="2:15" s="94" customFormat="1" ht="49.9" customHeight="1" thickTop="1" thickBot="1">
      <c r="B26" s="415">
        <f>Pricing!A14</f>
        <v>11</v>
      </c>
      <c r="C26" s="416"/>
      <c r="D26" s="187" t="str">
        <f>Pricing!B14</f>
        <v>W11</v>
      </c>
      <c r="E26" s="187" t="str">
        <f>Pricing!C14</f>
        <v>M940</v>
      </c>
      <c r="F26" s="187" t="str">
        <f>Pricing!D14</f>
        <v>FRENCH CASEMENT WINDOW</v>
      </c>
      <c r="G26" s="187" t="str">
        <f>Pricing!N14</f>
        <v>13.52MM</v>
      </c>
      <c r="H26" s="187" t="str">
        <f>Pricing!F14</f>
        <v>NA</v>
      </c>
      <c r="I26" s="216" t="str">
        <f>Pricing!E14</f>
        <v>RETRACTABLE</v>
      </c>
      <c r="J26" s="216">
        <f>Pricing!G14</f>
        <v>1800</v>
      </c>
      <c r="K26" s="216">
        <f>Pricing!H14</f>
        <v>1300</v>
      </c>
      <c r="L26" s="216">
        <f>Pricing!I14</f>
        <v>4</v>
      </c>
      <c r="M26" s="188">
        <f t="shared" si="1"/>
        <v>9.36</v>
      </c>
      <c r="N26" s="189">
        <f>'Cost Calculation'!AS18</f>
        <v>377926.89317524969</v>
      </c>
      <c r="O26" s="95"/>
    </row>
    <row r="27" spans="2:15" s="94" customFormat="1" ht="49.9" customHeight="1" thickTop="1" thickBot="1">
      <c r="B27" s="415">
        <f>Pricing!A15</f>
        <v>12</v>
      </c>
      <c r="C27" s="416"/>
      <c r="D27" s="187" t="str">
        <f>Pricing!B15</f>
        <v>W12</v>
      </c>
      <c r="E27" s="187" t="str">
        <f>Pricing!C15</f>
        <v>M940</v>
      </c>
      <c r="F27" s="187" t="str">
        <f>Pricing!D15</f>
        <v>FRENCH CASEMENT WINDOW</v>
      </c>
      <c r="G27" s="187" t="str">
        <f>Pricing!N15</f>
        <v>13.52MM</v>
      </c>
      <c r="H27" s="187" t="str">
        <f>Pricing!F15</f>
        <v>NA</v>
      </c>
      <c r="I27" s="216" t="str">
        <f>Pricing!E15</f>
        <v>RETRACTABLE</v>
      </c>
      <c r="J27" s="216">
        <f>Pricing!G15</f>
        <v>1200</v>
      </c>
      <c r="K27" s="216">
        <f>Pricing!H15</f>
        <v>1300</v>
      </c>
      <c r="L27" s="216">
        <f>Pricing!I15</f>
        <v>2</v>
      </c>
      <c r="M27" s="188">
        <f t="shared" si="1"/>
        <v>3.12</v>
      </c>
      <c r="N27" s="189">
        <f>'Cost Calculation'!AS19</f>
        <v>164291.67392768501</v>
      </c>
      <c r="O27" s="95"/>
    </row>
    <row r="28" spans="2:15" s="94" customFormat="1" ht="49.9" customHeight="1" thickTop="1" thickBot="1">
      <c r="B28" s="415">
        <f>Pricing!A16</f>
        <v>13</v>
      </c>
      <c r="C28" s="416"/>
      <c r="D28" s="187" t="str">
        <f>Pricing!B16</f>
        <v>W4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13.52MM</v>
      </c>
      <c r="H28" s="187" t="str">
        <f>Pricing!F16</f>
        <v>NA</v>
      </c>
      <c r="I28" s="216" t="str">
        <f>Pricing!E16</f>
        <v>SS</v>
      </c>
      <c r="J28" s="216">
        <f>Pricing!G16</f>
        <v>1200</v>
      </c>
      <c r="K28" s="216">
        <f>Pricing!H16</f>
        <v>800</v>
      </c>
      <c r="L28" s="216">
        <f>Pricing!I16</f>
        <v>1</v>
      </c>
      <c r="M28" s="188">
        <f t="shared" si="1"/>
        <v>0.96</v>
      </c>
      <c r="N28" s="189">
        <f>'Cost Calculation'!AS20</f>
        <v>57042.101865201177</v>
      </c>
      <c r="O28" s="95"/>
    </row>
    <row r="29" spans="2:15" s="94" customFormat="1" ht="49.9" customHeight="1" thickTop="1" thickBot="1">
      <c r="B29" s="415">
        <f>Pricing!A17</f>
        <v>14</v>
      </c>
      <c r="C29" s="416"/>
      <c r="D29" s="187" t="str">
        <f>Pricing!B17</f>
        <v>W13</v>
      </c>
      <c r="E29" s="187" t="str">
        <f>Pricing!C17</f>
        <v>M940</v>
      </c>
      <c r="F29" s="187" t="str">
        <f>Pricing!D17</f>
        <v>FIXED GLASS</v>
      </c>
      <c r="G29" s="187" t="str">
        <f>Pricing!N17</f>
        <v>13.52MM</v>
      </c>
      <c r="H29" s="187" t="str">
        <f>Pricing!F17</f>
        <v>NA</v>
      </c>
      <c r="I29" s="216" t="str">
        <f>Pricing!E17</f>
        <v>NO</v>
      </c>
      <c r="J29" s="216">
        <f>Pricing!G17</f>
        <v>1200</v>
      </c>
      <c r="K29" s="216">
        <f>Pricing!H17</f>
        <v>2100</v>
      </c>
      <c r="L29" s="216">
        <f>Pricing!I17</f>
        <v>1</v>
      </c>
      <c r="M29" s="188">
        <f t="shared" si="1"/>
        <v>2.52</v>
      </c>
      <c r="N29" s="189">
        <f>'Cost Calculation'!AS21</f>
        <v>49694.615545328095</v>
      </c>
      <c r="O29" s="95"/>
    </row>
    <row r="30" spans="2:15" s="94" customFormat="1" ht="49.9" customHeight="1" thickTop="1" thickBot="1">
      <c r="B30" s="415">
        <f>Pricing!A18</f>
        <v>15</v>
      </c>
      <c r="C30" s="416"/>
      <c r="D30" s="187" t="str">
        <f>Pricing!B18</f>
        <v>W14</v>
      </c>
      <c r="E30" s="187" t="str">
        <f>Pricing!C18</f>
        <v>M940</v>
      </c>
      <c r="F30" s="187" t="str">
        <f>Pricing!D18</f>
        <v>FRENCH CASEMENT WINDOW</v>
      </c>
      <c r="G30" s="187" t="str">
        <f>Pricing!N18</f>
        <v>13.52MM</v>
      </c>
      <c r="H30" s="187" t="str">
        <f>Pricing!F18</f>
        <v>NA</v>
      </c>
      <c r="I30" s="216" t="str">
        <f>Pricing!E18</f>
        <v>RETRACTABLE</v>
      </c>
      <c r="J30" s="216">
        <f>Pricing!G18</f>
        <v>1000</v>
      </c>
      <c r="K30" s="216">
        <f>Pricing!H18</f>
        <v>1200</v>
      </c>
      <c r="L30" s="216">
        <f>Pricing!I18</f>
        <v>1</v>
      </c>
      <c r="M30" s="188">
        <f t="shared" si="1"/>
        <v>1.2</v>
      </c>
      <c r="N30" s="189">
        <f>'Cost Calculation'!AS22</f>
        <v>74386.015854319965</v>
      </c>
      <c r="O30" s="95"/>
    </row>
    <row r="31" spans="2:15" s="94" customFormat="1" ht="49.9" hidden="1" customHeight="1" thickTop="1" thickBot="1">
      <c r="B31" s="415">
        <f>Pricing!A19</f>
        <v>16</v>
      </c>
      <c r="C31" s="416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5">
        <f>Pricing!A20</f>
        <v>17</v>
      </c>
      <c r="C32" s="416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5">
        <f>Pricing!A21</f>
        <v>18</v>
      </c>
      <c r="C33" s="416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5">
        <f>Pricing!A22</f>
        <v>19</v>
      </c>
      <c r="C34" s="416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5">
        <f>Pricing!A23</f>
        <v>20</v>
      </c>
      <c r="C35" s="416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5">
        <f>Pricing!A24</f>
        <v>21</v>
      </c>
      <c r="C36" s="416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5">
        <f>Pricing!A25</f>
        <v>22</v>
      </c>
      <c r="C37" s="416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5">
        <f>Pricing!A26</f>
        <v>23</v>
      </c>
      <c r="C38" s="416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5">
        <f>Pricing!A27</f>
        <v>24</v>
      </c>
      <c r="C39" s="416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5">
        <f>Pricing!A28</f>
        <v>25</v>
      </c>
      <c r="C40" s="416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5">
        <f>Pricing!A29</f>
        <v>26</v>
      </c>
      <c r="C41" s="416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5">
        <f>Pricing!A30</f>
        <v>27</v>
      </c>
      <c r="C42" s="416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5">
        <f>Pricing!A31</f>
        <v>28</v>
      </c>
      <c r="C43" s="416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5">
        <f>Pricing!A32</f>
        <v>29</v>
      </c>
      <c r="C44" s="416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5">
        <f>Pricing!A33</f>
        <v>30</v>
      </c>
      <c r="C45" s="416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5">
        <f>Pricing!A34</f>
        <v>31</v>
      </c>
      <c r="C46" s="416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5">
        <f>Pricing!A35</f>
        <v>32</v>
      </c>
      <c r="C47" s="416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5">
        <f>Pricing!A36</f>
        <v>33</v>
      </c>
      <c r="C48" s="416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5">
        <f>Pricing!A37</f>
        <v>34</v>
      </c>
      <c r="C49" s="416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5">
        <f>Pricing!A38</f>
        <v>35</v>
      </c>
      <c r="C50" s="416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5">
        <f>Pricing!A39</f>
        <v>36</v>
      </c>
      <c r="C51" s="416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26</v>
      </c>
      <c r="M116" s="191">
        <f>SUM(M16:M115)</f>
        <v>39.225000000000009</v>
      </c>
      <c r="N116" s="186"/>
      <c r="O116" s="95"/>
    </row>
    <row r="117" spans="2:15" s="94" customFormat="1" ht="30" customHeight="1" thickTop="1" thickBot="1">
      <c r="B117" s="421" t="s">
        <v>181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1808549</v>
      </c>
      <c r="O117" s="95">
        <f>N117/SUM(M116)</f>
        <v>46107.049075844479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325539</v>
      </c>
      <c r="O118" s="95">
        <f>N118/SUM(M116)</f>
        <v>8299.2734225621389</v>
      </c>
    </row>
    <row r="119" spans="2:15" s="94" customFormat="1" ht="30" customHeight="1" thickTop="1" thickBot="1">
      <c r="B119" s="421" t="s">
        <v>182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2134088</v>
      </c>
      <c r="O119" s="95">
        <f>N119/SUM(M116)</f>
        <v>54406.322498406618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4283.4493753107099</v>
      </c>
    </row>
    <row r="121" spans="2:15" s="139" customFormat="1" ht="30" customHeight="1" thickTop="1">
      <c r="B121" s="452" t="s">
        <v>237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4"/>
      <c r="O121" s="138"/>
    </row>
    <row r="122" spans="2:15" s="93" customFormat="1" ht="24.95" customHeight="1">
      <c r="B122" s="409">
        <v>1</v>
      </c>
      <c r="C122" s="410"/>
      <c r="D122" s="413" t="s">
        <v>455</v>
      </c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4" t="s">
        <v>207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09">
        <v>1</v>
      </c>
      <c r="C125" s="410"/>
      <c r="D125" s="411" t="s">
        <v>452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453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 t="s">
        <v>454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139" customFormat="1" ht="30" customHeight="1">
      <c r="B128" s="424" t="s">
        <v>140</v>
      </c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6"/>
      <c r="O128" s="138"/>
    </row>
    <row r="129" spans="2:14" s="93" customFormat="1" ht="24.95" customHeight="1">
      <c r="B129" s="409">
        <v>1</v>
      </c>
      <c r="C129" s="410"/>
      <c r="D129" s="411" t="s">
        <v>364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389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93" customFormat="1" ht="24.95" customHeight="1">
      <c r="B131" s="409">
        <v>3</v>
      </c>
      <c r="C131" s="410"/>
      <c r="D131" s="413" t="s">
        <v>405</v>
      </c>
      <c r="E131" s="413"/>
      <c r="F131" s="413"/>
      <c r="G131" s="413"/>
      <c r="H131" s="413"/>
      <c r="I131" s="413"/>
      <c r="J131" s="413"/>
      <c r="K131" s="413"/>
      <c r="L131" s="413"/>
      <c r="M131" s="413"/>
      <c r="N131" s="414"/>
    </row>
    <row r="132" spans="2:14" s="93" customFormat="1" ht="24.95" customHeight="1">
      <c r="B132" s="409">
        <v>4</v>
      </c>
      <c r="C132" s="410"/>
      <c r="D132" s="413" t="s">
        <v>406</v>
      </c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</row>
    <row r="133" spans="2:14" s="139" customFormat="1" ht="30" customHeight="1">
      <c r="B133" s="495" t="s">
        <v>141</v>
      </c>
      <c r="C133" s="496"/>
      <c r="D133" s="496"/>
      <c r="E133" s="496"/>
      <c r="F133" s="496"/>
      <c r="G133" s="496"/>
      <c r="H133" s="496"/>
      <c r="I133" s="496"/>
      <c r="J133" s="496"/>
      <c r="K133" s="496"/>
      <c r="L133" s="496"/>
      <c r="M133" s="496"/>
      <c r="N133" s="497"/>
    </row>
    <row r="134" spans="2:14" s="93" customFormat="1" ht="24.95" customHeight="1">
      <c r="B134" s="409">
        <v>1</v>
      </c>
      <c r="C134" s="410"/>
      <c r="D134" s="411" t="s">
        <v>142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93" customFormat="1" ht="24.95" customHeight="1">
      <c r="B135" s="409">
        <v>2</v>
      </c>
      <c r="C135" s="410"/>
      <c r="D135" s="411" t="s">
        <v>143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4" s="93" customFormat="1" ht="24.95" customHeight="1">
      <c r="B136" s="409">
        <v>3</v>
      </c>
      <c r="C136" s="410"/>
      <c r="D136" s="411" t="s">
        <v>144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139" customFormat="1" ht="30" customHeight="1">
      <c r="B137" s="495" t="s">
        <v>145</v>
      </c>
      <c r="C137" s="496"/>
      <c r="D137" s="496"/>
      <c r="E137" s="496"/>
      <c r="F137" s="496"/>
      <c r="G137" s="496"/>
      <c r="H137" s="496"/>
      <c r="I137" s="496"/>
      <c r="J137" s="496"/>
      <c r="K137" s="496"/>
      <c r="L137" s="496"/>
      <c r="M137" s="496"/>
      <c r="N137" s="497"/>
    </row>
    <row r="138" spans="2:14" s="139" customFormat="1" ht="30" customHeight="1">
      <c r="B138" s="510" t="s">
        <v>146</v>
      </c>
      <c r="C138" s="511"/>
      <c r="D138" s="511"/>
      <c r="E138" s="511"/>
      <c r="F138" s="511"/>
      <c r="G138" s="511"/>
      <c r="H138" s="511"/>
      <c r="I138" s="511"/>
      <c r="J138" s="511"/>
      <c r="K138" s="511"/>
      <c r="L138" s="511"/>
      <c r="M138" s="511"/>
      <c r="N138" s="512"/>
    </row>
    <row r="139" spans="2:14" s="93" customFormat="1" ht="24.95" customHeight="1">
      <c r="B139" s="409">
        <v>1</v>
      </c>
      <c r="C139" s="410"/>
      <c r="D139" s="411" t="s">
        <v>147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2</v>
      </c>
      <c r="C140" s="410"/>
      <c r="D140" s="411" t="s">
        <v>402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3</v>
      </c>
      <c r="C141" s="410"/>
      <c r="D141" s="411" t="s">
        <v>148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4</v>
      </c>
      <c r="C142" s="410"/>
      <c r="D142" s="411" t="s">
        <v>149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93" customFormat="1" ht="24.95" customHeight="1">
      <c r="B143" s="409">
        <v>5</v>
      </c>
      <c r="C143" s="410"/>
      <c r="D143" s="411" t="s">
        <v>150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4" s="93" customFormat="1" ht="24.95" customHeight="1">
      <c r="B144" s="409">
        <v>6</v>
      </c>
      <c r="C144" s="410"/>
      <c r="D144" s="411" t="s">
        <v>151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140" customFormat="1" ht="30" customHeight="1">
      <c r="B145" s="495" t="s">
        <v>152</v>
      </c>
      <c r="C145" s="496"/>
      <c r="D145" s="496"/>
      <c r="E145" s="496"/>
      <c r="F145" s="496"/>
      <c r="G145" s="496"/>
      <c r="H145" s="496"/>
      <c r="I145" s="496"/>
      <c r="J145" s="496"/>
      <c r="K145" s="496"/>
      <c r="L145" s="496"/>
      <c r="M145" s="496"/>
      <c r="N145" s="497"/>
    </row>
    <row r="146" spans="2:14" s="93" customFormat="1" ht="24.95" customHeight="1">
      <c r="B146" s="409">
        <v>1</v>
      </c>
      <c r="C146" s="410"/>
      <c r="D146" s="411" t="s">
        <v>153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135" customHeight="1">
      <c r="B147" s="409">
        <v>2</v>
      </c>
      <c r="C147" s="410"/>
      <c r="D147" s="498" t="s">
        <v>154</v>
      </c>
      <c r="E147" s="499"/>
      <c r="F147" s="499"/>
      <c r="G147" s="499"/>
      <c r="H147" s="499"/>
      <c r="I147" s="499"/>
      <c r="J147" s="499"/>
      <c r="K147" s="499"/>
      <c r="L147" s="499"/>
      <c r="M147" s="499"/>
      <c r="N147" s="500"/>
    </row>
    <row r="148" spans="2:14" s="93" customFormat="1" ht="24.95" customHeight="1">
      <c r="B148" s="409">
        <v>3</v>
      </c>
      <c r="C148" s="410"/>
      <c r="D148" s="411" t="s">
        <v>155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24.95" customHeight="1">
      <c r="B149" s="409">
        <v>4</v>
      </c>
      <c r="C149" s="410"/>
      <c r="D149" s="411" t="s">
        <v>156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140" customFormat="1" ht="30" customHeight="1">
      <c r="B150" s="495" t="s">
        <v>157</v>
      </c>
      <c r="C150" s="496"/>
      <c r="D150" s="496"/>
      <c r="E150" s="496"/>
      <c r="F150" s="496"/>
      <c r="G150" s="496"/>
      <c r="H150" s="496"/>
      <c r="I150" s="496"/>
      <c r="J150" s="496"/>
      <c r="K150" s="496"/>
      <c r="L150" s="496"/>
      <c r="M150" s="496"/>
      <c r="N150" s="497"/>
    </row>
    <row r="151" spans="2:14" s="93" customFormat="1" ht="24.95" customHeight="1">
      <c r="B151" s="409">
        <v>1</v>
      </c>
      <c r="C151" s="410"/>
      <c r="D151" s="411" t="s">
        <v>158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93" customFormat="1" ht="55.9" customHeight="1">
      <c r="B152" s="409">
        <v>2</v>
      </c>
      <c r="C152" s="410"/>
      <c r="D152" s="498" t="s">
        <v>159</v>
      </c>
      <c r="E152" s="499"/>
      <c r="F152" s="499"/>
      <c r="G152" s="499"/>
      <c r="H152" s="499"/>
      <c r="I152" s="499"/>
      <c r="J152" s="499"/>
      <c r="K152" s="499"/>
      <c r="L152" s="499"/>
      <c r="M152" s="499"/>
      <c r="N152" s="500"/>
    </row>
    <row r="153" spans="2:14" s="140" customFormat="1" ht="30" customHeight="1">
      <c r="B153" s="495" t="s">
        <v>160</v>
      </c>
      <c r="C153" s="496"/>
      <c r="D153" s="496"/>
      <c r="E153" s="496"/>
      <c r="F153" s="496"/>
      <c r="G153" s="496"/>
      <c r="H153" s="496"/>
      <c r="I153" s="496"/>
      <c r="J153" s="496"/>
      <c r="K153" s="496"/>
      <c r="L153" s="496"/>
      <c r="M153" s="496"/>
      <c r="N153" s="497"/>
    </row>
    <row r="154" spans="2:14" s="93" customFormat="1" ht="24.95" customHeight="1">
      <c r="B154" s="409">
        <v>1</v>
      </c>
      <c r="C154" s="410"/>
      <c r="D154" s="473" t="s">
        <v>161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93" customFormat="1" ht="24.95" customHeight="1">
      <c r="B155" s="409">
        <v>2</v>
      </c>
      <c r="C155" s="410"/>
      <c r="D155" s="473" t="s">
        <v>162</v>
      </c>
      <c r="E155" s="473"/>
      <c r="F155" s="473"/>
      <c r="G155" s="473"/>
      <c r="H155" s="473"/>
      <c r="I155" s="473"/>
      <c r="J155" s="473"/>
      <c r="K155" s="473"/>
      <c r="L155" s="473"/>
      <c r="M155" s="473"/>
      <c r="N155" s="474"/>
    </row>
    <row r="156" spans="2:14" s="93" customFormat="1" ht="49.9" customHeight="1">
      <c r="B156" s="409">
        <v>3</v>
      </c>
      <c r="C156" s="410"/>
      <c r="D156" s="492" t="s">
        <v>163</v>
      </c>
      <c r="E156" s="493"/>
      <c r="F156" s="493"/>
      <c r="G156" s="493"/>
      <c r="H156" s="493"/>
      <c r="I156" s="493"/>
      <c r="J156" s="493"/>
      <c r="K156" s="493"/>
      <c r="L156" s="493"/>
      <c r="M156" s="493"/>
      <c r="N156" s="494"/>
    </row>
    <row r="157" spans="2:14" s="93" customFormat="1" ht="24.95" customHeight="1">
      <c r="B157" s="409">
        <v>4</v>
      </c>
      <c r="C157" s="410"/>
      <c r="D157" s="473" t="s">
        <v>164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140" customFormat="1" ht="30" customHeight="1">
      <c r="B158" s="495" t="s">
        <v>165</v>
      </c>
      <c r="C158" s="496"/>
      <c r="D158" s="496"/>
      <c r="E158" s="496"/>
      <c r="F158" s="496"/>
      <c r="G158" s="496"/>
      <c r="H158" s="496"/>
      <c r="I158" s="496"/>
      <c r="J158" s="496"/>
      <c r="K158" s="496"/>
      <c r="L158" s="496"/>
      <c r="M158" s="496"/>
      <c r="N158" s="497"/>
    </row>
    <row r="159" spans="2:14" s="93" customFormat="1" ht="24.95" customHeight="1">
      <c r="B159" s="409">
        <v>1</v>
      </c>
      <c r="C159" s="410"/>
      <c r="D159" s="473" t="s">
        <v>166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09">
        <v>2</v>
      </c>
      <c r="C160" s="410"/>
      <c r="D160" s="473" t="s">
        <v>167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09">
        <v>3</v>
      </c>
      <c r="C161" s="410"/>
      <c r="D161" s="473" t="s">
        <v>168</v>
      </c>
      <c r="E161" s="473"/>
      <c r="F161" s="473"/>
      <c r="G161" s="473"/>
      <c r="H161" s="473"/>
      <c r="I161" s="473"/>
      <c r="J161" s="473"/>
      <c r="K161" s="473"/>
      <c r="L161" s="473"/>
      <c r="M161" s="473"/>
      <c r="N161" s="474"/>
    </row>
    <row r="162" spans="2:14" s="93" customFormat="1" ht="24.95" customHeight="1">
      <c r="B162" s="409">
        <v>4</v>
      </c>
      <c r="C162" s="410"/>
      <c r="D162" s="473" t="s">
        <v>401</v>
      </c>
      <c r="E162" s="473"/>
      <c r="F162" s="473"/>
      <c r="G162" s="473"/>
      <c r="H162" s="473"/>
      <c r="I162" s="473"/>
      <c r="J162" s="473"/>
      <c r="K162" s="473"/>
      <c r="L162" s="473"/>
      <c r="M162" s="473"/>
      <c r="N162" s="474"/>
    </row>
    <row r="163" spans="2:14" s="93" customFormat="1" ht="24.95" customHeight="1">
      <c r="B163" s="455" t="s">
        <v>240</v>
      </c>
      <c r="C163" s="490"/>
      <c r="D163" s="490"/>
      <c r="E163" s="490"/>
      <c r="F163" s="490"/>
      <c r="G163" s="490"/>
      <c r="H163" s="490"/>
      <c r="I163" s="490"/>
      <c r="J163" s="490"/>
      <c r="K163" s="490"/>
      <c r="L163" s="490"/>
      <c r="M163" s="490"/>
      <c r="N163" s="491"/>
    </row>
    <row r="164" spans="2:14" s="93" customFormat="1" ht="24.95" customHeight="1">
      <c r="B164" s="455" t="s">
        <v>241</v>
      </c>
      <c r="C164" s="490"/>
      <c r="D164" s="490"/>
      <c r="E164" s="490"/>
      <c r="F164" s="490"/>
      <c r="G164" s="490"/>
      <c r="H164" s="490"/>
      <c r="I164" s="490"/>
      <c r="J164" s="490"/>
      <c r="K164" s="490"/>
      <c r="L164" s="490"/>
      <c r="M164" s="490"/>
      <c r="N164" s="491"/>
    </row>
    <row r="165" spans="2:14" s="93" customFormat="1" ht="41.25" customHeight="1">
      <c r="B165" s="481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</row>
    <row r="166" spans="2:14" s="93" customFormat="1" ht="39.950000000000003" customHeight="1">
      <c r="B166" s="484"/>
      <c r="C166" s="485"/>
      <c r="D166" s="485"/>
      <c r="E166" s="485"/>
      <c r="F166" s="485"/>
      <c r="G166" s="485"/>
      <c r="H166" s="485"/>
      <c r="I166" s="485"/>
      <c r="J166" s="485"/>
      <c r="K166" s="485"/>
      <c r="L166" s="485"/>
      <c r="M166" s="485"/>
      <c r="N166" s="486"/>
    </row>
    <row r="167" spans="2:14" s="93" customFormat="1" ht="41.25" customHeight="1">
      <c r="B167" s="484"/>
      <c r="C167" s="485"/>
      <c r="D167" s="485"/>
      <c r="E167" s="485"/>
      <c r="F167" s="485"/>
      <c r="G167" s="485"/>
      <c r="H167" s="485"/>
      <c r="I167" s="485"/>
      <c r="J167" s="485"/>
      <c r="K167" s="485"/>
      <c r="L167" s="485"/>
      <c r="M167" s="485"/>
      <c r="N167" s="486"/>
    </row>
    <row r="168" spans="2:14" s="93" customFormat="1" ht="39.950000000000003" customHeight="1" thickBot="1">
      <c r="B168" s="487"/>
      <c r="C168" s="488"/>
      <c r="D168" s="488"/>
      <c r="E168" s="488"/>
      <c r="F168" s="488"/>
      <c r="G168" s="488"/>
      <c r="H168" s="488"/>
      <c r="I168" s="488"/>
      <c r="J168" s="488"/>
      <c r="K168" s="488"/>
      <c r="L168" s="488"/>
      <c r="M168" s="488"/>
      <c r="N168" s="489"/>
    </row>
    <row r="169" spans="2:14" s="93" customFormat="1" ht="30" customHeight="1" thickTop="1">
      <c r="B169" s="469" t="s">
        <v>110</v>
      </c>
      <c r="C169" s="470"/>
      <c r="D169" s="470"/>
      <c r="E169" s="475"/>
      <c r="F169" s="476"/>
      <c r="G169" s="476"/>
      <c r="H169" s="476"/>
      <c r="I169" s="476"/>
      <c r="J169" s="476"/>
      <c r="K169" s="476"/>
      <c r="L169" s="477"/>
      <c r="M169" s="470" t="s">
        <v>205</v>
      </c>
      <c r="N169" s="471"/>
    </row>
    <row r="170" spans="2:14" s="93" customFormat="1" ht="33" customHeight="1" thickBot="1">
      <c r="B170" s="472" t="s">
        <v>107</v>
      </c>
      <c r="C170" s="467"/>
      <c r="D170" s="467"/>
      <c r="E170" s="478"/>
      <c r="F170" s="479"/>
      <c r="G170" s="479"/>
      <c r="H170" s="479"/>
      <c r="I170" s="479"/>
      <c r="J170" s="479"/>
      <c r="K170" s="479"/>
      <c r="L170" s="480"/>
      <c r="M170" s="467" t="s">
        <v>108</v>
      </c>
      <c r="N170" s="468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43672</v>
      </c>
      <c r="F2" s="517" t="s">
        <v>245</v>
      </c>
      <c r="G2" s="517"/>
    </row>
    <row r="3" spans="3:13">
      <c r="C3" s="297" t="s">
        <v>126</v>
      </c>
      <c r="D3" s="518" t="str">
        <f>QUOTATION!F7</f>
        <v>Mr. Arun</v>
      </c>
      <c r="E3" s="518"/>
      <c r="F3" s="521" t="s">
        <v>246</v>
      </c>
      <c r="G3" s="522">
        <f>QUOTATION!N8</f>
        <v>43672</v>
      </c>
    </row>
    <row r="4" spans="3:13">
      <c r="C4" s="297" t="s">
        <v>243</v>
      </c>
      <c r="D4" s="519" t="str">
        <f>QUOTATION!M6</f>
        <v>ABPL-DE-19.20-2127</v>
      </c>
      <c r="E4" s="519"/>
      <c r="F4" s="521"/>
      <c r="G4" s="523"/>
    </row>
    <row r="5" spans="3:13">
      <c r="C5" s="297" t="s">
        <v>127</v>
      </c>
      <c r="D5" s="518" t="str">
        <f>QUOTATION!F8</f>
        <v>Chennai</v>
      </c>
      <c r="E5" s="518"/>
      <c r="F5" s="521"/>
      <c r="G5" s="523"/>
    </row>
    <row r="6" spans="3:13">
      <c r="C6" s="297" t="s">
        <v>169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376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Powder Coating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Pradeep</v>
      </c>
      <c r="E11" s="518"/>
      <c r="F11" s="521"/>
      <c r="G11" s="523"/>
    </row>
    <row r="12" spans="3:13">
      <c r="C12" s="297" t="s">
        <v>244</v>
      </c>
      <c r="D12" s="520">
        <f>QUOTATION!M7</f>
        <v>43672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3748.21</v>
      </c>
      <c r="F14" s="205"/>
      <c r="G14" s="206">
        <f>E14</f>
        <v>3748.21</v>
      </c>
    </row>
    <row r="15" spans="3:13">
      <c r="C15" s="194" t="s">
        <v>235</v>
      </c>
      <c r="D15" s="296">
        <f>'Changable Values'!D4</f>
        <v>83</v>
      </c>
      <c r="E15" s="199">
        <f>E14*D15</f>
        <v>311101.43</v>
      </c>
      <c r="F15" s="205"/>
      <c r="G15" s="207">
        <f>E15</f>
        <v>311101.43</v>
      </c>
    </row>
    <row r="16" spans="3:13">
      <c r="C16" s="195" t="s">
        <v>97</v>
      </c>
      <c r="D16" s="200">
        <f>'Changable Values'!D5</f>
        <v>0.1</v>
      </c>
      <c r="E16" s="199">
        <f>E15*D16</f>
        <v>31110.143</v>
      </c>
      <c r="F16" s="208">
        <f>'Changable Values'!D5</f>
        <v>0.1</v>
      </c>
      <c r="G16" s="207">
        <f>G15*F16</f>
        <v>31110.143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37643.273029999997</v>
      </c>
      <c r="F17" s="208">
        <f>'Changable Values'!D6</f>
        <v>0.11</v>
      </c>
      <c r="G17" s="207">
        <f>SUM(G15:G16)*F17</f>
        <v>37643.273029999997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1899.2742301499998</v>
      </c>
      <c r="F18" s="208">
        <f>'Changable Values'!D7</f>
        <v>5.0000000000000001E-3</v>
      </c>
      <c r="G18" s="207">
        <f>SUM(G15:G17)*F18</f>
        <v>1899.2742301499998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3817.5412026014997</v>
      </c>
      <c r="F19" s="208">
        <f>'Changable Values'!D8</f>
        <v>0.01</v>
      </c>
      <c r="G19" s="207">
        <f>SUM(G15:G18)*F19</f>
        <v>3817.5412026014997</v>
      </c>
    </row>
    <row r="20" spans="3:7">
      <c r="C20" s="195" t="s">
        <v>99</v>
      </c>
      <c r="D20" s="201"/>
      <c r="E20" s="199">
        <f>SUM(E15:E19)</f>
        <v>385571.66146275145</v>
      </c>
      <c r="F20" s="208"/>
      <c r="G20" s="207">
        <f>SUM(G15:G19)</f>
        <v>385571.66146275145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5783.5749219412719</v>
      </c>
      <c r="F21" s="208">
        <f>'Changable Values'!D9</f>
        <v>1.4999999999999999E-2</v>
      </c>
      <c r="G21" s="207">
        <f>G20*F21</f>
        <v>5783.5749219412719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173518.69499999998</v>
      </c>
      <c r="F23" s="209"/>
      <c r="G23" s="207">
        <f t="shared" si="0"/>
        <v>173518.69499999998</v>
      </c>
    </row>
    <row r="24" spans="3:7">
      <c r="C24" s="195" t="s">
        <v>230</v>
      </c>
      <c r="D24" s="198"/>
      <c r="E24" s="199">
        <f>'Cost Calculation'!AH111</f>
        <v>16423.288524590163</v>
      </c>
      <c r="F24" s="209"/>
      <c r="G24" s="207">
        <f t="shared" si="0"/>
        <v>16423.288524590163</v>
      </c>
    </row>
    <row r="25" spans="3:7">
      <c r="C25" s="196" t="s">
        <v>238</v>
      </c>
      <c r="D25" s="198"/>
      <c r="E25" s="199">
        <f>'Cost Calculation'!AJ109</f>
        <v>1291.6799999999998</v>
      </c>
      <c r="F25" s="209"/>
      <c r="G25" s="207">
        <f t="shared" si="0"/>
        <v>1291.6799999999998</v>
      </c>
    </row>
    <row r="26" spans="3:7">
      <c r="C26" s="196" t="s">
        <v>239</v>
      </c>
      <c r="D26" s="198"/>
      <c r="E26" s="199">
        <f>'Cost Calculation'!AK109</f>
        <v>232459.34399999995</v>
      </c>
      <c r="F26" s="209"/>
      <c r="G26" s="207">
        <f t="shared" si="0"/>
        <v>232459.34399999995</v>
      </c>
    </row>
    <row r="27" spans="3:7">
      <c r="C27" s="195" t="s">
        <v>86</v>
      </c>
      <c r="D27" s="198"/>
      <c r="E27" s="199">
        <f>'Cost Calculation'!AL109</f>
        <v>42221.789999999994</v>
      </c>
      <c r="F27" s="209"/>
      <c r="G27" s="207">
        <f t="shared" si="0"/>
        <v>42221.789999999994</v>
      </c>
    </row>
    <row r="28" spans="3:7">
      <c r="C28" s="195" t="s">
        <v>88</v>
      </c>
      <c r="D28" s="198"/>
      <c r="E28" s="199">
        <f>'Cost Calculation'!AN109</f>
        <v>33777.431999999993</v>
      </c>
      <c r="F28" s="209"/>
      <c r="G28" s="207">
        <f t="shared" si="0"/>
        <v>33777.431999999993</v>
      </c>
    </row>
    <row r="29" spans="3:7">
      <c r="C29" s="293" t="s">
        <v>379</v>
      </c>
      <c r="D29" s="294"/>
      <c r="E29" s="295">
        <f>SUM(E20:E28)</f>
        <v>891047.46590928291</v>
      </c>
      <c r="F29" s="209"/>
      <c r="G29" s="207">
        <f>SUM(G20:G21,G24)</f>
        <v>407778.52490928286</v>
      </c>
    </row>
    <row r="30" spans="3:7">
      <c r="C30" s="293" t="s">
        <v>380</v>
      </c>
      <c r="D30" s="294"/>
      <c r="E30" s="295">
        <f>E29/E33</f>
        <v>2110.3971809562859</v>
      </c>
      <c r="F30" s="209"/>
      <c r="G30" s="207"/>
    </row>
    <row r="31" spans="3:7">
      <c r="C31" s="195" t="s">
        <v>4</v>
      </c>
      <c r="D31" s="202">
        <f>'Changable Values'!D23</f>
        <v>2.25</v>
      </c>
      <c r="E31" s="199">
        <f>(E29-SUM(E22:E23,E25:E28))*D31</f>
        <v>917501.68104588683</v>
      </c>
      <c r="F31" s="214">
        <f>'Changable Values'!D23</f>
        <v>2.25</v>
      </c>
      <c r="G31" s="207">
        <f>G29*F31</f>
        <v>917501.68104588648</v>
      </c>
    </row>
    <row r="32" spans="3:7">
      <c r="C32" s="290" t="s">
        <v>5</v>
      </c>
      <c r="D32" s="291"/>
      <c r="E32" s="292">
        <f>E31+E29</f>
        <v>1808549.1469551697</v>
      </c>
      <c r="F32" s="205"/>
      <c r="G32" s="207">
        <f>SUM(G25:G31,G22:G23)</f>
        <v>1808549.1469551695</v>
      </c>
    </row>
    <row r="33" spans="3:7">
      <c r="C33" s="300" t="s">
        <v>231</v>
      </c>
      <c r="D33" s="301"/>
      <c r="E33" s="308">
        <f>'Cost Calculation'!K109</f>
        <v>422.21789999999999</v>
      </c>
      <c r="F33" s="210"/>
      <c r="G33" s="211">
        <f>E33</f>
        <v>422.21789999999999</v>
      </c>
    </row>
    <row r="34" spans="3:7">
      <c r="C34" s="302" t="s">
        <v>9</v>
      </c>
      <c r="D34" s="303"/>
      <c r="E34" s="304">
        <f>QUOTATION!L116</f>
        <v>26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4283.4497233659913</v>
      </c>
      <c r="F35" s="212"/>
      <c r="G35" s="213">
        <f>G32/(G33)</f>
        <v>4283.4497233659904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2019-07-26T07:16:38Z</cp:lastPrinted>
  <dcterms:created xsi:type="dcterms:W3CDTF">2010-12-18T06:34:46Z</dcterms:created>
  <dcterms:modified xsi:type="dcterms:W3CDTF">2019-08-05T06:12:56Z</dcterms:modified>
</cp:coreProperties>
</file>