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Drawings!$C$2:$O$62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Q7" i="158" l="1"/>
  <c r="Q6" i="158"/>
  <c r="Q4" i="158"/>
  <c r="U3" i="169" l="1"/>
  <c r="U4" i="169"/>
  <c r="U5" i="169"/>
  <c r="U6" i="169"/>
  <c r="U2" i="169"/>
  <c r="T3" i="169"/>
  <c r="T4" i="169"/>
  <c r="T5" i="169"/>
  <c r="T6" i="169"/>
  <c r="T2" i="169"/>
  <c r="S2" i="169"/>
  <c r="S3" i="169"/>
  <c r="S4" i="169"/>
  <c r="S5" i="169"/>
  <c r="S6" i="169"/>
  <c r="R2" i="169"/>
  <c r="R3" i="169"/>
  <c r="R4" i="169"/>
  <c r="R5" i="169"/>
  <c r="R6" i="169"/>
  <c r="Q3" i="169"/>
  <c r="Q4" i="169"/>
  <c r="Q5" i="169"/>
  <c r="Q6" i="169"/>
  <c r="Q2" i="169"/>
  <c r="P3" i="169"/>
  <c r="P4" i="169"/>
  <c r="P5" i="169"/>
  <c r="P6" i="169"/>
  <c r="P2" i="169"/>
  <c r="O2" i="169"/>
  <c r="O3" i="169"/>
  <c r="O4" i="169"/>
  <c r="O5" i="169"/>
  <c r="O6" i="169"/>
  <c r="N3" i="169"/>
  <c r="N4" i="169"/>
  <c r="N5" i="169"/>
  <c r="N6" i="169"/>
  <c r="N2" i="169"/>
  <c r="M3" i="169"/>
  <c r="M4" i="169"/>
  <c r="M5" i="169"/>
  <c r="M6" i="169"/>
  <c r="M2" i="169"/>
  <c r="L3" i="169"/>
  <c r="L4" i="169"/>
  <c r="L5" i="169"/>
  <c r="L6" i="169"/>
  <c r="L2" i="169"/>
  <c r="K2" i="169"/>
  <c r="K3" i="169"/>
  <c r="K4" i="169"/>
  <c r="K5" i="169"/>
  <c r="K6" i="169"/>
  <c r="J3" i="169"/>
  <c r="J4" i="169"/>
  <c r="J5" i="169"/>
  <c r="J6" i="169"/>
  <c r="J2" i="169"/>
  <c r="I3" i="169"/>
  <c r="I4" i="169"/>
  <c r="I5" i="169"/>
  <c r="I6" i="169"/>
  <c r="I2" i="169"/>
  <c r="F3" i="169"/>
  <c r="F4" i="169"/>
  <c r="F5" i="169"/>
  <c r="F6" i="169"/>
  <c r="F2" i="169"/>
  <c r="E3" i="169"/>
  <c r="E4" i="169"/>
  <c r="E5" i="169"/>
  <c r="E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A3" i="169"/>
  <c r="A4" i="169"/>
  <c r="A5" i="169"/>
  <c r="A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AH12" i="159" s="1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1" i="159" l="1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<sst xmlns="http://schemas.openxmlformats.org/spreadsheetml/2006/main" count="1946" uniqueCount="446">
  <si>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</si>
  <si>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</si>
  <si>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</si>
  <si>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</si>
  <si>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</si>
  <si>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</si>
  <si>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</si>
  <si>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</si>
  <si>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</si>
  <si>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</si>
  <si>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</si>
  <si>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</si>
  <si>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</si>
  <si>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</si>
  <si>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</si>
  <si>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</si>
  <si>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</si>
  <si>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</si>
  <si>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</si>
  <si>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</si>
  <si>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</si>
  <si>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</si>
  <si>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</si>
  <si>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</si>
  <si>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</si>
  <si>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</si>
  <si>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</si>
  <si>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</si>
  <si>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</si>
  <si>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</si>
  <si>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</si>
  <si>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</si>
  <si>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</si>
  <si>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</si>
  <si>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</si>
  <si>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</si>
  <si>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</si>
  <si>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</si>
  <si>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</si>
  <si>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</si>
  <si>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</si>
  <si>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</si>
  <si>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</si>
  <si>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</si>
  <si>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</si>
  <si>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</si>
  <si>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</si>
  <si>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</si>
  <si>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</si>
  <si>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</si>
  <si>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</si>
  <si>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</si>
  <si>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</si>
  <si>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</si>
  <si>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</si>
  <si>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</si>
  <si>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</si>
  <si>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</si>
  <si>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</si>
  <si>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</si>
  <si>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</si>
  <si>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</si>
  <si>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</si>
  <si>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</si>
  <si>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</si>
  <si>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</si>
  <si>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</si>
  <si>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</si>
  <si>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</si>
  <si>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</si>
  <si>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</si>
  <si>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</si>
  <si>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</si>
  <si>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</si>
  <si>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</si>
  <si>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</si>
  <si>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</si>
  <si>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</si>
  <si>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</si>
  <si>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</si>
  <si>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</si>
  <si>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</si>
  <si>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</si>
  <si>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</si>
  <si>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</si>
  <si>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</si>
  <si>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</si>
  <si>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</si>
  <si>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</si>
  <si>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</si>
  <si>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</si>
  <si>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</si>
  <si>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</si>
  <si>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</si>
  <si>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</si>
  <si>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</si>
  <si>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</si>
  <si>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</si>
  <si>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</si>
  <si>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</si>
  <si>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</si>
  <si>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</si>
  <si>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</si>
  <si>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</si>
  <si>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</si>
  <si>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</si>
  <si>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</si>
  <si>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</si>
  <si>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</si>
  <si>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</si>
  <si>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</si>
  <si>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</si>
  <si>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</si>
  <si>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</si>
  <si>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</si>
  <si>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</si>
  <si>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</si>
  <si>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</si>
  <si>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</si>
  <si>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</si>
  <si>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</si>
  <si>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</si>
  <si>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</si>
  <si>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</si>
  <si>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</si>
  <si>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</si>
  <si>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</si>
  <si>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</si>
  <si>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</si>
  <si>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</si>
  <si>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</si>
  <si>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</si>
  <si>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</si>
  <si>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</si>
  <si>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</si>
  <si>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</si>
  <si>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</si>
  <si>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</si>
  <si>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</si>
  <si>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</si>
  <si>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</si>
  <si>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</si>
  <si>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</si>
  <si>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</si>
  <si>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</si>
  <si>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</si>
  <si>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</si>
  <si>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</si>
  <si>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</si>
  <si>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</si>
  <si>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</si>
  <si>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</si>
  <si>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</si>
  <si>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</si>
  <si>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</si>
  <si>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</si>
  <si>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</si>
  <si>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</si>
  <si>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</si>
  <si>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</si>
  <si>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</si>
  <si>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</si>
  <si>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</si>
  <si>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</si>
  <si>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</si>
  <si>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</si>
  <si>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</si>
  <si>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</si>
  <si>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</si>
  <si>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</si>
  <si>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</si>
  <si>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</si>
  <si>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</si>
  <si>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</si>
  <si>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</si>
  <si>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</si>
  <si>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</si>
  <si>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</si>
  <si>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</si>
  <si>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</si>
  <si>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</si>
  <si>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</si>
  <si>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</si>
  <si>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</si>
  <si>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</si>
  <si>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</si>
  <si>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</si>
  <si>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</si>
  <si>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</si>
  <si>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</si>
  <si>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</si>
  <si>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</si>
  <si>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</si>
  <si>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</si>
  <si>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</si>
  <si>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</si>
  <si>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</si>
  <si>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</si>
  <si>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</si>
  <si>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</si>
  <si>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</si>
  <si>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</si>
  <si>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</si>
  <si>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</si>
  <si>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</si>
  <si>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</si>
  <si>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</si>
  <si>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</si>
  <si>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</si>
  <si>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</si>
  <si>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</si>
  <si>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</si>
  <si>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</si>
  <si>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</si>
  <si>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</si>
  <si>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</si>
  <si>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</si>
  <si>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</si>
  <si>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</si>
  <si>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</si>
  <si>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</si>
  <si>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</si>
  <si>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</si>
  <si>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</si>
  <si>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</si>
  <si>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</si>
  <si>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</si>
  <si>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</si>
  <si>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</si>
  <si>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</si>
  <si>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</si>
  <si>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</si>
  <si>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</si>
  <si>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</si>
  <si>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</si>
  <si>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</si>
  <si>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</si>
  <si>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</si>
  <si>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</si>
  <si>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</si>
  <si>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</si>
  <si>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</si>
  <si>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</si>
  <si>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</si>
  <si>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</si>
  <si>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</si>
  <si>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</si>
  <si>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</si>
  <si>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</si>
  <si>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</si>
  <si>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</si>
  <si>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</si>
  <si>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</si>
  <si>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</si>
  <si>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</si>
  <si>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</si>
  <si>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</si>
  <si>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</si>
  <si>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</si>
  <si>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</si>
  <si>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</si>
  <si>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</si>
  <si>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</si>
  <si>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</si>
  <si>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</si>
  <si>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</si>
  <si>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</si>
  <si>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</si>
  <si>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</si>
  <si>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</si>
  <si>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</si>
  <si>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</si>
  <si>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</si>
  <si>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</si>
  <si>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</si>
  <si>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</si>
  <si>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</si>
  <si>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</si>
  <si>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</si>
  <si>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</si>
  <si>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</si>
  <si>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</si>
  <si>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</si>
  <si>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</si>
  <si>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</si>
  <si>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</si>
  <si>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</si>
  <si>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</si>
  <si>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</si>
  <si>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</si>
  <si>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</si>
  <si>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</si>
  <si>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</si>
  <si>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</si>
  <si>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</si>
  <si>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</si>
  <si>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</si>
  <si>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</si>
  <si>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</si>
  <si>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</si>
  <si>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</si>
  <si>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</si>
  <si>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</si>
  <si>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</si>
  <si>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</si>
  <si>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</si>
  <si>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</si>
  <si>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</si>
  <si>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</si>
  <si>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</si>
  <si>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</si>
  <si>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</si>
  <si>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</si>
  <si>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</si>
  <si>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</si>
  <si>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</si>
  <si>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</si>
  <si>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</si>
  <si>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</si>
  <si>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</si>
  <si>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</si>
  <si>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</si>
  <si>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</si>
  <si>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</si>
  <si>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</si>
  <si>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</si>
  <si>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</si>
  <si>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</si>
  <si>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</si>
  <si>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</si>
  <si>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</si>
  <si>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</si>
  <si>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</si>
  <si>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</si>
  <si>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</si>
  <si>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</si>
  <si>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</si>
  <si>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</si>
  <si>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</si>
  <si>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</si>
  <si>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</si>
  <si>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</si>
  <si>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</si>
  <si>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</si>
  <si>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</si>
  <si>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</si>
  <si>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</si>
  <si>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</si>
  <si>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</si>
  <si>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</si>
  <si>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</si>
  <si>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</si>
  <si>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</si>
  <si>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</si>
  <si>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</si>
  <si>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</si>
  <si>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</si>
  <si>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</si>
  <si>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</si>
  <si>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</si>
  <si>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</si>
  <si>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</si>
  <si>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</si>
  <si>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</si>
  <si>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</si>
  <si>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</si>
  <si>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</si>
  <si>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</si>
  <si>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</si>
  <si>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</si>
  <si>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</si>
  <si>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</si>
  <si>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</si>
  <si>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</si>
  <si>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</si>
  <si>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</si>
  <si>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</si>
  <si>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</si>
  <si>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</si>
  <si>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</si>
  <si>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</si>
  <si>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</si>
  <si>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</si>
  <si>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</si>
  <si>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</si>
  <si>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</si>
  <si>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</si>
  <si>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</si>
  <si>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</si>
  <si>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</si>
  <si>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</si>
  <si>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</si>
  <si>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</si>
  <si>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</si>
  <si>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</si>
  <si>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</si>
  <si>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</si>
  <si>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</si>
  <si>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</si>
  <si>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</si>
  <si>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</si>
  <si>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</si>
  <si>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</si>
  <si>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</si>
  <si>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</si>
  <si>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</si>
  <si>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</si>
  <si>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</si>
  <si>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</si>
  <si>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</si>
  <si>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</si>
  <si>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</si>
  <si>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</si>
  <si>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</si>
  <si>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</si>
  <si>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</si>
  <si>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</si>
  <si>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</si>
  <si>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</si>
  <si>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ABPL-DE-19.20-2130</t>
  </si>
  <si>
    <t>Hyderabad</t>
  </si>
  <si>
    <t>W1</t>
  </si>
  <si>
    <t>M14600</t>
  </si>
  <si>
    <t>3 TRACK 2 SHUTTER SLIDING WINDOW</t>
  </si>
  <si>
    <t>SS</t>
  </si>
  <si>
    <t>KITCHEN</t>
  </si>
  <si>
    <t>Rajpushpa (Villa 11)</t>
  </si>
  <si>
    <t>W2</t>
  </si>
  <si>
    <t>3 TRACK 2 SHUTTER SLIDING WINDOW WITH FIXED</t>
  </si>
  <si>
    <t>NO</t>
  </si>
  <si>
    <t>DINING</t>
  </si>
  <si>
    <t>W3</t>
  </si>
  <si>
    <t>OFFICE</t>
  </si>
  <si>
    <t>W4</t>
  </si>
  <si>
    <t>3 TRACK 2 SHUTTER SLIDING DOOR</t>
  </si>
  <si>
    <t>LIVING</t>
  </si>
  <si>
    <t>W5</t>
  </si>
  <si>
    <t>M15000</t>
  </si>
  <si>
    <t>SIDE HUNG WINDOW</t>
  </si>
  <si>
    <t>6MM</t>
  </si>
  <si>
    <t>MASTER BEDROOM</t>
  </si>
  <si>
    <t>1Kpa</t>
  </si>
  <si>
    <t>6mm :- 6mm Clear Toughened Glass</t>
  </si>
  <si>
    <t>Ar. Rajesh</t>
  </si>
  <si>
    <t>Architech :</t>
  </si>
  <si>
    <t>White Powder 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</si>
</sst>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7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0" fillId="0" borderId="87" xfId="0" applyNumberFormat="1" applyBorder="1" applyAlignment="1">
      <alignment horizontal="left" vertical="center"/>
    </xf>
    <xf numFmtId="0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33130</xdr:colOff>
      <xdr:row>9</xdr:row>
      <xdr:rowOff>82825</xdr:rowOff>
    </xdr:from>
    <xdr:to>
      <xdr:col>7</xdr:col>
      <xdr:colOff>74544</xdr:colOff>
      <xdr:row>15</xdr:row>
      <xdr:rowOff>26227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1871868"/>
          <a:ext cx="2410240" cy="1831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82825</xdr:colOff>
      <xdr:row>19</xdr:row>
      <xdr:rowOff>140804</xdr:rowOff>
    </xdr:from>
    <xdr:to>
      <xdr:col>6</xdr:col>
      <xdr:colOff>323022</xdr:colOff>
      <xdr:row>27</xdr:row>
      <xdr:rowOff>162535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5" y="4928152"/>
          <a:ext cx="2219740" cy="253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314738</xdr:colOff>
      <xdr:row>30</xdr:row>
      <xdr:rowOff>265043</xdr:rowOff>
    </xdr:from>
    <xdr:to>
      <xdr:col>8</xdr:col>
      <xdr:colOff>132521</xdr:colOff>
      <xdr:row>38</xdr:row>
      <xdr:rowOff>41488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99" y="8365434"/>
          <a:ext cx="3147392" cy="2294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</xdr:colOff>
      <xdr:row>41</xdr:row>
      <xdr:rowOff>57977</xdr:rowOff>
    </xdr:from>
    <xdr:to>
      <xdr:col>6</xdr:col>
      <xdr:colOff>339587</xdr:colOff>
      <xdr:row>49</xdr:row>
      <xdr:rowOff>235763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0" y="11471412"/>
          <a:ext cx="2252870" cy="2695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654326</xdr:colOff>
      <xdr:row>52</xdr:row>
      <xdr:rowOff>91108</xdr:rowOff>
    </xdr:from>
    <xdr:to>
      <xdr:col>5</xdr:col>
      <xdr:colOff>1764196</xdr:colOff>
      <xdr:row>60</xdr:row>
      <xdr:rowOff>178976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2326" y="14817586"/>
          <a:ext cx="1109870" cy="26057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3" sqref="Q1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ABPL-DE-19.20-2130</v>
      </c>
      <c r="O2" s="541"/>
      <c r="P2" s="219" t="s">
        <v>257</v>
      </c>
    </row>
    <row r="3" spans="2:16">
      <c r="B3" s="218"/>
      <c r="C3" s="539" t="s">
        <v>126</v>
      </c>
      <c r="D3" s="539"/>
      <c r="E3" s="539"/>
      <c r="F3" s="541" t="str">
        <f>QUOTATION!F7</f>
        <v>Rajpushpa (Villa 11)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43673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180</v>
      </c>
      <c r="J4" s="542"/>
      <c r="K4" s="541" t="str">
        <f>QUOTATION!I8</f>
        <v>1Kpa</v>
      </c>
      <c r="L4" s="541"/>
      <c r="M4" s="284" t="s">
        <v>105</v>
      </c>
      <c r="N4" s="286" t="str">
        <f>QUOTATION!M8</f>
        <v>R0</v>
      </c>
      <c r="O4" s="287">
        <f>QUOTATION!N8</f>
        <v>43673</v>
      </c>
    </row>
    <row r="5" spans="2:16">
      <c r="B5" s="218"/>
      <c r="C5" s="539" t="s">
        <v>169</v>
      </c>
      <c r="D5" s="539"/>
      <c r="E5" s="539"/>
      <c r="F5" s="541" t="str">
        <f>QUOTATION!F9</f>
        <v>Mr. Bramhanandam : 9963925599</v>
      </c>
      <c r="G5" s="541"/>
      <c r="H5" s="541"/>
      <c r="I5" s="541"/>
      <c r="J5" s="541"/>
      <c r="K5" s="541"/>
      <c r="L5" s="541"/>
      <c r="M5" s="284" t="s">
        <v>179</v>
      </c>
      <c r="N5" s="541" t="str">
        <f>QUOTATION!M9</f>
        <v>Mahesh</v>
      </c>
      <c r="O5" s="541"/>
    </row>
    <row r="6" spans="2:16">
      <c r="B6" s="218"/>
      <c r="C6" s="539" t="s">
        <v>177</v>
      </c>
      <c r="D6" s="539"/>
      <c r="E6" s="539"/>
      <c r="F6" s="285" t="str">
        <f>QUOTATION!F10</f>
        <v>White Powder Coating</v>
      </c>
      <c r="G6" s="539"/>
      <c r="H6" s="539"/>
      <c r="I6" s="542" t="s">
        <v>178</v>
      </c>
      <c r="J6" s="542"/>
      <c r="K6" s="541" t="str">
        <f>QUOTATION!I10</f>
        <v>Silver</v>
      </c>
      <c r="L6" s="541"/>
      <c r="M6" s="320" t="s">
        <v>444</v>
      </c>
      <c r="N6" s="548" t="str">
        <f>'BD Team'!J5</f>
        <v>Ar. Rajesh</v>
      </c>
      <c r="O6" s="549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254</v>
      </c>
      <c r="D8" s="539"/>
      <c r="E8" s="286" t="str">
        <f>'BD Team'!B9</f>
        <v>W1</v>
      </c>
      <c r="F8" s="288" t="s">
        <v>255</v>
      </c>
      <c r="G8" s="541" t="str">
        <f>'BD Team'!D9</f>
        <v>3 TRACK 2 SHUTTER SLIDING WINDOW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KITCHEN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247</v>
      </c>
      <c r="M10" s="539"/>
      <c r="N10" s="541" t="str">
        <f>$F$6</f>
        <v>White Powder Coating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178</v>
      </c>
      <c r="M11" s="539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248</v>
      </c>
      <c r="M12" s="539"/>
      <c r="N12" s="550" t="s">
        <v>256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249</v>
      </c>
      <c r="M13" s="539"/>
      <c r="N13" s="541" t="str">
        <f>CONCATENATE('BD Team'!H9," X ",'BD Team'!I9)</f>
        <v>1728 X 687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250</v>
      </c>
      <c r="M14" s="539"/>
      <c r="N14" s="540">
        <f>'BD Team'!J9</f>
        <v>1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251</v>
      </c>
      <c r="M15" s="539"/>
      <c r="N15" s="541" t="str">
        <f>'BD Team'!C9</f>
        <v>M14600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252</v>
      </c>
      <c r="M16" s="539"/>
      <c r="N16" s="541" t="str">
        <f>'BD Team'!E9</f>
        <v>24MM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253</v>
      </c>
      <c r="M17" s="539"/>
      <c r="N17" s="541" t="str">
        <f>'BD Team'!F9</f>
        <v>SS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254</v>
      </c>
      <c r="D19" s="539"/>
      <c r="E19" s="286" t="str">
        <f>'BD Team'!B10</f>
        <v>W2</v>
      </c>
      <c r="F19" s="288" t="s">
        <v>255</v>
      </c>
      <c r="G19" s="541" t="str">
        <f>'BD Team'!D10</f>
        <v>3 TRACK 2 SHUTTER SLIDING WINDOW WITH FIXED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DINING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247</v>
      </c>
      <c r="M21" s="539"/>
      <c r="N21" s="541" t="str">
        <f>$F$6</f>
        <v>White Powder Coating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178</v>
      </c>
      <c r="M22" s="539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248</v>
      </c>
      <c r="M23" s="539"/>
      <c r="N23" s="544" t="s">
        <v>256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249</v>
      </c>
      <c r="M24" s="539"/>
      <c r="N24" s="541" t="str">
        <f>CONCATENATE('BD Team'!H10," X ",'BD Team'!I10)</f>
        <v>1840 X 1690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250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251</v>
      </c>
      <c r="M26" s="539"/>
      <c r="N26" s="541" t="str">
        <f>'BD Team'!C10</f>
        <v>M14600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252</v>
      </c>
      <c r="M27" s="539"/>
      <c r="N27" s="541" t="str">
        <f>'BD Team'!E10</f>
        <v>24MM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253</v>
      </c>
      <c r="M28" s="539"/>
      <c r="N28" s="541" t="str">
        <f>'BD Team'!F10</f>
        <v>NO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254</v>
      </c>
      <c r="D30" s="539"/>
      <c r="E30" s="286" t="str">
        <f>'BD Team'!B11</f>
        <v>W3</v>
      </c>
      <c r="F30" s="288" t="s">
        <v>255</v>
      </c>
      <c r="G30" s="541" t="str">
        <f>'BD Team'!D11</f>
        <v>3 TRACK 2 SHUTTER SLIDING WINDOW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OFFICE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247</v>
      </c>
      <c r="M32" s="539"/>
      <c r="N32" s="541" t="str">
        <f>$F$6</f>
        <v>White Powder Coating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178</v>
      </c>
      <c r="M33" s="539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248</v>
      </c>
      <c r="M34" s="539"/>
      <c r="N34" s="544" t="s">
        <v>256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249</v>
      </c>
      <c r="M35" s="539"/>
      <c r="N35" s="541" t="str">
        <f>CONCATENATE('BD Team'!H11," X ",'BD Team'!I11)</f>
        <v>1981 X 830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250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251</v>
      </c>
      <c r="M37" s="539"/>
      <c r="N37" s="541" t="str">
        <f>'BD Team'!C11</f>
        <v>M14600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252</v>
      </c>
      <c r="M38" s="539"/>
      <c r="N38" s="541" t="str">
        <f>'BD Team'!E11</f>
        <v>24MM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253</v>
      </c>
      <c r="M39" s="539"/>
      <c r="N39" s="541" t="str">
        <f>'BD Team'!F11</f>
        <v>SS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254</v>
      </c>
      <c r="D41" s="539"/>
      <c r="E41" s="286" t="str">
        <f>'BD Team'!B12</f>
        <v>W4</v>
      </c>
      <c r="F41" s="288" t="s">
        <v>255</v>
      </c>
      <c r="G41" s="541" t="str">
        <f>'BD Team'!D12</f>
        <v>3 TRACK 2 SHUTTER SLIDING DOOR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LIVING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247</v>
      </c>
      <c r="M43" s="539"/>
      <c r="N43" s="541" t="str">
        <f>$F$6</f>
        <v>White Powder Coating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178</v>
      </c>
      <c r="M44" s="539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248</v>
      </c>
      <c r="M45" s="539"/>
      <c r="N45" s="544" t="s">
        <v>256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249</v>
      </c>
      <c r="M46" s="539"/>
      <c r="N46" s="541" t="str">
        <f>CONCATENATE('BD Team'!H12," X ",'BD Team'!I12)</f>
        <v>2529 X 2488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250</v>
      </c>
      <c r="M47" s="539"/>
      <c r="N47" s="540">
        <f>'BD Team'!J12</f>
        <v>1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251</v>
      </c>
      <c r="M48" s="539"/>
      <c r="N48" s="541" t="str">
        <f>'BD Team'!C12</f>
        <v>M14600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252</v>
      </c>
      <c r="M49" s="539"/>
      <c r="N49" s="541" t="str">
        <f>'BD Team'!E12</f>
        <v>24MM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253</v>
      </c>
      <c r="M50" s="539"/>
      <c r="N50" s="541" t="str">
        <f>'BD Team'!F12</f>
        <v>SS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254</v>
      </c>
      <c r="D52" s="539"/>
      <c r="E52" s="286" t="str">
        <f>'BD Team'!B13</f>
        <v>W5</v>
      </c>
      <c r="F52" s="288" t="s">
        <v>255</v>
      </c>
      <c r="G52" s="541" t="str">
        <f>'BD Team'!D13</f>
        <v>SIDE HUNG WINDOW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MASTER BEDROOM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247</v>
      </c>
      <c r="M54" s="539"/>
      <c r="N54" s="541" t="str">
        <f>$F$6</f>
        <v>White Powder Coating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178</v>
      </c>
      <c r="M55" s="539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248</v>
      </c>
      <c r="M56" s="539"/>
      <c r="N56" s="544" t="s">
        <v>256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249</v>
      </c>
      <c r="M57" s="539"/>
      <c r="N57" s="541" t="str">
        <f>CONCATENATE('BD Team'!H13," X ",'BD Team'!I13)</f>
        <v>459 X 1373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250</v>
      </c>
      <c r="M58" s="539"/>
      <c r="N58" s="540">
        <f>'BD Team'!J13</f>
        <v>1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251</v>
      </c>
      <c r="M59" s="539"/>
      <c r="N59" s="541" t="str">
        <f>'BD Team'!C13</f>
        <v>M15000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252</v>
      </c>
      <c r="M60" s="539"/>
      <c r="N60" s="541" t="str">
        <f>'BD Team'!E13</f>
        <v>6MM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253</v>
      </c>
      <c r="M61" s="539"/>
      <c r="N61" s="541" t="str">
        <f>'BD Team'!F13</f>
        <v>NO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254</v>
      </c>
      <c r="D63" s="539"/>
      <c r="E63" s="286">
        <f>'BD Team'!B14</f>
        <v>0</v>
      </c>
      <c r="F63" s="288" t="s">
        <v>255</v>
      </c>
      <c r="G63" s="541">
        <f>'BD Team'!D14</f>
        <v>0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>
        <f>'BD Team'!G14</f>
        <v>0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247</v>
      </c>
      <c r="M65" s="539"/>
      <c r="N65" s="541" t="str">
        <f>$F$6</f>
        <v>White Powder Coating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178</v>
      </c>
      <c r="M66" s="539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248</v>
      </c>
      <c r="M67" s="539"/>
      <c r="N67" s="544" t="s">
        <v>256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249</v>
      </c>
      <c r="M68" s="539"/>
      <c r="N68" s="541" t="str">
        <f>CONCATENATE('BD Team'!H14," X ",'BD Team'!I14)</f>
        <v xml:space="preserve"> X 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250</v>
      </c>
      <c r="M69" s="539"/>
      <c r="N69" s="540">
        <f>'BD Team'!J14</f>
        <v>0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251</v>
      </c>
      <c r="M70" s="539"/>
      <c r="N70" s="541">
        <f>'BD Team'!C14</f>
        <v>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252</v>
      </c>
      <c r="M71" s="539"/>
      <c r="N71" s="541">
        <f>'BD Team'!E14</f>
        <v>0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253</v>
      </c>
      <c r="M72" s="539"/>
      <c r="N72" s="541">
        <f>'BD Team'!F14</f>
        <v>0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254</v>
      </c>
      <c r="D74" s="539"/>
      <c r="E74" s="286">
        <f>'BD Team'!B15</f>
        <v>0</v>
      </c>
      <c r="F74" s="288" t="s">
        <v>255</v>
      </c>
      <c r="G74" s="541">
        <f>'BD Team'!D15</f>
        <v>0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>
        <f>'BD Team'!G15</f>
        <v>0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247</v>
      </c>
      <c r="M76" s="539"/>
      <c r="N76" s="541" t="str">
        <f>$F$6</f>
        <v>White Powder Coating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178</v>
      </c>
      <c r="M77" s="539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248</v>
      </c>
      <c r="M78" s="539"/>
      <c r="N78" s="544" t="s">
        <v>256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249</v>
      </c>
      <c r="M79" s="539"/>
      <c r="N79" s="541" t="str">
        <f>CONCATENATE('BD Team'!H15," X ",'BD Team'!I15)</f>
        <v xml:space="preserve"> X 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250</v>
      </c>
      <c r="M80" s="539"/>
      <c r="N80" s="540">
        <f>'BD Team'!J15</f>
        <v>0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251</v>
      </c>
      <c r="M81" s="539"/>
      <c r="N81" s="541">
        <f>'BD Team'!C15</f>
        <v>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252</v>
      </c>
      <c r="M82" s="539"/>
      <c r="N82" s="541">
        <f>'BD Team'!E15</f>
        <v>0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253</v>
      </c>
      <c r="M83" s="539"/>
      <c r="N83" s="541">
        <f>'BD Team'!F15</f>
        <v>0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254</v>
      </c>
      <c r="D85" s="539"/>
      <c r="E85" s="286">
        <f>'BD Team'!B16</f>
        <v>0</v>
      </c>
      <c r="F85" s="288" t="s">
        <v>255</v>
      </c>
      <c r="G85" s="541">
        <f>'BD Team'!D16</f>
        <v>0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>
        <f>'BD Team'!G16</f>
        <v>0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247</v>
      </c>
      <c r="M87" s="539"/>
      <c r="N87" s="541" t="str">
        <f>$F$6</f>
        <v>White Powder Coating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178</v>
      </c>
      <c r="M88" s="539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248</v>
      </c>
      <c r="M89" s="539"/>
      <c r="N89" s="544" t="s">
        <v>256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249</v>
      </c>
      <c r="M90" s="539"/>
      <c r="N90" s="541" t="str">
        <f>CONCATENATE('BD Team'!H16," X ",'BD Team'!I16)</f>
        <v xml:space="preserve"> X 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250</v>
      </c>
      <c r="M91" s="539"/>
      <c r="N91" s="540">
        <f>'BD Team'!J16</f>
        <v>0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251</v>
      </c>
      <c r="M92" s="539"/>
      <c r="N92" s="541">
        <f>'BD Team'!C16</f>
        <v>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252</v>
      </c>
      <c r="M93" s="539"/>
      <c r="N93" s="541">
        <f>'BD Team'!E16</f>
        <v>0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253</v>
      </c>
      <c r="M94" s="539"/>
      <c r="N94" s="541">
        <f>'BD Team'!F16</f>
        <v>0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254</v>
      </c>
      <c r="D96" s="539"/>
      <c r="E96" s="286">
        <f>'BD Team'!B17</f>
        <v>0</v>
      </c>
      <c r="F96" s="288" t="s">
        <v>255</v>
      </c>
      <c r="G96" s="541">
        <f>'BD Team'!D17</f>
        <v>0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>
        <f>'BD Team'!G17</f>
        <v>0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247</v>
      </c>
      <c r="M98" s="539"/>
      <c r="N98" s="541" t="str">
        <f>$F$6</f>
        <v>White Powder Coating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178</v>
      </c>
      <c r="M99" s="539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248</v>
      </c>
      <c r="M100" s="539"/>
      <c r="N100" s="544" t="s">
        <v>256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249</v>
      </c>
      <c r="M101" s="539"/>
      <c r="N101" s="541" t="str">
        <f>CONCATENATE('BD Team'!H17," X ",'BD Team'!I17)</f>
        <v xml:space="preserve"> X 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250</v>
      </c>
      <c r="M102" s="539"/>
      <c r="N102" s="540">
        <f>'BD Team'!J17</f>
        <v>0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251</v>
      </c>
      <c r="M103" s="539"/>
      <c r="N103" s="541">
        <f>'BD Team'!C17</f>
        <v>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252</v>
      </c>
      <c r="M104" s="539"/>
      <c r="N104" s="541">
        <f>'BD Team'!E17</f>
        <v>0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253</v>
      </c>
      <c r="M105" s="539"/>
      <c r="N105" s="541">
        <f>'BD Team'!F17</f>
        <v>0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254</v>
      </c>
      <c r="D107" s="539"/>
      <c r="E107" s="286">
        <f>'BD Team'!B18</f>
        <v>0</v>
      </c>
      <c r="F107" s="288" t="s">
        <v>255</v>
      </c>
      <c r="G107" s="541">
        <f>'BD Team'!D18</f>
        <v>0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>
        <f>'BD Team'!G18</f>
        <v>0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247</v>
      </c>
      <c r="M109" s="539"/>
      <c r="N109" s="541" t="str">
        <f>$F$6</f>
        <v>White Powder Coating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178</v>
      </c>
      <c r="M110" s="539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248</v>
      </c>
      <c r="M111" s="539"/>
      <c r="N111" s="544" t="s">
        <v>256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249</v>
      </c>
      <c r="M112" s="539"/>
      <c r="N112" s="541" t="str">
        <f>CONCATENATE('BD Team'!H18," X ",'BD Team'!I18)</f>
        <v xml:space="preserve"> X 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250</v>
      </c>
      <c r="M113" s="539"/>
      <c r="N113" s="540">
        <f>'BD Team'!J18</f>
        <v>0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251</v>
      </c>
      <c r="M114" s="539"/>
      <c r="N114" s="541">
        <f>'BD Team'!C18</f>
        <v>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252</v>
      </c>
      <c r="M115" s="539"/>
      <c r="N115" s="541">
        <f>'BD Team'!E18</f>
        <v>0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253</v>
      </c>
      <c r="M116" s="539"/>
      <c r="N116" s="541">
        <f>'BD Team'!F18</f>
        <v>0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254</v>
      </c>
      <c r="D118" s="539"/>
      <c r="E118" s="286">
        <f>'BD Team'!B19</f>
        <v>0</v>
      </c>
      <c r="F118" s="288" t="s">
        <v>255</v>
      </c>
      <c r="G118" s="541">
        <f>'BD Team'!D19</f>
        <v>0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>
        <f>'BD Team'!G19</f>
        <v>0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247</v>
      </c>
      <c r="M120" s="539"/>
      <c r="N120" s="541" t="str">
        <f>$F$6</f>
        <v>White Powder Coating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178</v>
      </c>
      <c r="M121" s="539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248</v>
      </c>
      <c r="M122" s="539"/>
      <c r="N122" s="544" t="s">
        <v>256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249</v>
      </c>
      <c r="M123" s="539"/>
      <c r="N123" s="541" t="str">
        <f>CONCATENATE('BD Team'!H19," X ",'BD Team'!I19)</f>
        <v xml:space="preserve"> X 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250</v>
      </c>
      <c r="M124" s="539"/>
      <c r="N124" s="540">
        <f>'BD Team'!J19</f>
        <v>0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251</v>
      </c>
      <c r="M125" s="539"/>
      <c r="N125" s="541">
        <f>'BD Team'!C19</f>
        <v>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252</v>
      </c>
      <c r="M126" s="539"/>
      <c r="N126" s="541">
        <f>'BD Team'!E19</f>
        <v>0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253</v>
      </c>
      <c r="M127" s="539"/>
      <c r="N127" s="541">
        <f>'BD Team'!F19</f>
        <v>0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254</v>
      </c>
      <c r="D129" s="539"/>
      <c r="E129" s="286">
        <f>'BD Team'!B20</f>
        <v>0</v>
      </c>
      <c r="F129" s="288" t="s">
        <v>255</v>
      </c>
      <c r="G129" s="541">
        <f>'BD Team'!D20</f>
        <v>0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>
        <f>'BD Team'!G20</f>
        <v>0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247</v>
      </c>
      <c r="M131" s="539"/>
      <c r="N131" s="541" t="str">
        <f>$F$6</f>
        <v>White Powder Coating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178</v>
      </c>
      <c r="M132" s="539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248</v>
      </c>
      <c r="M133" s="539"/>
      <c r="N133" s="544" t="s">
        <v>256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249</v>
      </c>
      <c r="M134" s="539"/>
      <c r="N134" s="541" t="str">
        <f>CONCATENATE('BD Team'!H20," X ",'BD Team'!I20)</f>
        <v xml:space="preserve"> X 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250</v>
      </c>
      <c r="M135" s="539"/>
      <c r="N135" s="540">
        <f>'BD Team'!J20</f>
        <v>0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251</v>
      </c>
      <c r="M136" s="539"/>
      <c r="N136" s="541">
        <f>'BD Team'!C20</f>
        <v>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252</v>
      </c>
      <c r="M137" s="539"/>
      <c r="N137" s="541">
        <f>'BD Team'!E20</f>
        <v>0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253</v>
      </c>
      <c r="M138" s="539"/>
      <c r="N138" s="541">
        <f>'BD Team'!F20</f>
        <v>0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254</v>
      </c>
      <c r="D140" s="539"/>
      <c r="E140" s="286">
        <f>'BD Team'!B21</f>
        <v>0</v>
      </c>
      <c r="F140" s="288" t="s">
        <v>255</v>
      </c>
      <c r="G140" s="541">
        <f>'BD Team'!D21</f>
        <v>0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>
        <f>'BD Team'!G21</f>
        <v>0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247</v>
      </c>
      <c r="M142" s="539"/>
      <c r="N142" s="541" t="str">
        <f>$F$6</f>
        <v>White Powder Coating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178</v>
      </c>
      <c r="M143" s="539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248</v>
      </c>
      <c r="M144" s="539"/>
      <c r="N144" s="544" t="s">
        <v>256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249</v>
      </c>
      <c r="M145" s="539"/>
      <c r="N145" s="541" t="str">
        <f>CONCATENATE('BD Team'!H21," X ",'BD Team'!I21)</f>
        <v xml:space="preserve"> X 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250</v>
      </c>
      <c r="M146" s="539"/>
      <c r="N146" s="540">
        <f>'BD Team'!J21</f>
        <v>0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251</v>
      </c>
      <c r="M147" s="539"/>
      <c r="N147" s="541">
        <f>'BD Team'!C21</f>
        <v>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252</v>
      </c>
      <c r="M148" s="539"/>
      <c r="N148" s="541">
        <f>'BD Team'!E21</f>
        <v>0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253</v>
      </c>
      <c r="M149" s="539"/>
      <c r="N149" s="541">
        <f>'BD Team'!F21</f>
        <v>0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254</v>
      </c>
      <c r="D151" s="539"/>
      <c r="E151" s="286">
        <f>'BD Team'!B22</f>
        <v>0</v>
      </c>
      <c r="F151" s="288" t="s">
        <v>255</v>
      </c>
      <c r="G151" s="541">
        <f>'BD Team'!D22</f>
        <v>0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>
        <f>'BD Team'!G22</f>
        <v>0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247</v>
      </c>
      <c r="M153" s="539"/>
      <c r="N153" s="541" t="str">
        <f>$F$6</f>
        <v>White Powder Coating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178</v>
      </c>
      <c r="M154" s="539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248</v>
      </c>
      <c r="M155" s="539"/>
      <c r="N155" s="544" t="s">
        <v>256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249</v>
      </c>
      <c r="M156" s="539"/>
      <c r="N156" s="541" t="str">
        <f>CONCATENATE('BD Team'!H22," X ",'BD Team'!I22)</f>
        <v xml:space="preserve"> X 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250</v>
      </c>
      <c r="M157" s="539"/>
      <c r="N157" s="540">
        <f>'BD Team'!J22</f>
        <v>0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251</v>
      </c>
      <c r="M158" s="539"/>
      <c r="N158" s="541">
        <f>'BD Team'!C22</f>
        <v>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252</v>
      </c>
      <c r="M159" s="539"/>
      <c r="N159" s="541">
        <f>'BD Team'!E22</f>
        <v>0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253</v>
      </c>
      <c r="M160" s="539"/>
      <c r="N160" s="541">
        <f>'BD Team'!F22</f>
        <v>0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254</v>
      </c>
      <c r="D162" s="539"/>
      <c r="E162" s="286">
        <f>'BD Team'!B23</f>
        <v>0</v>
      </c>
      <c r="F162" s="288" t="s">
        <v>255</v>
      </c>
      <c r="G162" s="541">
        <f>'BD Team'!D23</f>
        <v>0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>
        <f>'BD Team'!G23</f>
        <v>0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247</v>
      </c>
      <c r="M164" s="539"/>
      <c r="N164" s="541" t="str">
        <f>$F$6</f>
        <v>White Powder Coating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178</v>
      </c>
      <c r="M165" s="539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248</v>
      </c>
      <c r="M166" s="539"/>
      <c r="N166" s="544" t="s">
        <v>256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249</v>
      </c>
      <c r="M167" s="539"/>
      <c r="N167" s="541" t="str">
        <f>CONCATENATE('BD Team'!H23," X ",'BD Team'!I23)</f>
        <v xml:space="preserve"> X 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250</v>
      </c>
      <c r="M168" s="539"/>
      <c r="N168" s="540">
        <f>'BD Team'!J23</f>
        <v>0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251</v>
      </c>
      <c r="M169" s="539"/>
      <c r="N169" s="541">
        <f>'BD Team'!C23</f>
        <v>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252</v>
      </c>
      <c r="M170" s="539"/>
      <c r="N170" s="541">
        <f>'BD Team'!E23</f>
        <v>0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253</v>
      </c>
      <c r="M171" s="539"/>
      <c r="N171" s="541">
        <f>'BD Team'!F23</f>
        <v>0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254</v>
      </c>
      <c r="D173" s="539"/>
      <c r="E173" s="286">
        <f>'BD Team'!B24</f>
        <v>0</v>
      </c>
      <c r="F173" s="288" t="s">
        <v>255</v>
      </c>
      <c r="G173" s="541">
        <f>'BD Team'!D24</f>
        <v>0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>
        <f>'BD Team'!G24</f>
        <v>0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247</v>
      </c>
      <c r="M175" s="539"/>
      <c r="N175" s="541" t="str">
        <f>$F$6</f>
        <v>White Powder Coating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178</v>
      </c>
      <c r="M176" s="539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248</v>
      </c>
      <c r="M177" s="539"/>
      <c r="N177" s="544" t="s">
        <v>256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249</v>
      </c>
      <c r="M178" s="539"/>
      <c r="N178" s="541" t="str">
        <f>CONCATENATE('BD Team'!H24," X ",'BD Team'!I24)</f>
        <v xml:space="preserve"> X 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250</v>
      </c>
      <c r="M179" s="539"/>
      <c r="N179" s="540">
        <f>'BD Team'!J24</f>
        <v>0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251</v>
      </c>
      <c r="M180" s="539"/>
      <c r="N180" s="541">
        <f>'BD Team'!C24</f>
        <v>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252</v>
      </c>
      <c r="M181" s="539"/>
      <c r="N181" s="541">
        <f>'BD Team'!E24</f>
        <v>0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253</v>
      </c>
      <c r="M182" s="539"/>
      <c r="N182" s="541">
        <f>'BD Team'!F24</f>
        <v>0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254</v>
      </c>
      <c r="D184" s="539"/>
      <c r="E184" s="286">
        <f>'BD Team'!B25</f>
        <v>0</v>
      </c>
      <c r="F184" s="288" t="s">
        <v>255</v>
      </c>
      <c r="G184" s="541">
        <f>'BD Team'!D25</f>
        <v>0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>
        <f>'BD Team'!G25</f>
        <v>0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247</v>
      </c>
      <c r="M186" s="539"/>
      <c r="N186" s="541" t="str">
        <f>$F$6</f>
        <v>White Powder Coating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178</v>
      </c>
      <c r="M187" s="539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248</v>
      </c>
      <c r="M188" s="539"/>
      <c r="N188" s="544" t="s">
        <v>256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249</v>
      </c>
      <c r="M189" s="539"/>
      <c r="N189" s="541" t="str">
        <f>CONCATENATE('BD Team'!H25," X ",'BD Team'!I25)</f>
        <v xml:space="preserve"> X 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250</v>
      </c>
      <c r="M190" s="539"/>
      <c r="N190" s="540">
        <f>'BD Team'!J25</f>
        <v>0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251</v>
      </c>
      <c r="M191" s="539"/>
      <c r="N191" s="541">
        <f>'BD Team'!C25</f>
        <v>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252</v>
      </c>
      <c r="M192" s="539"/>
      <c r="N192" s="541">
        <f>'BD Team'!E25</f>
        <v>0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253</v>
      </c>
      <c r="M193" s="539"/>
      <c r="N193" s="541">
        <f>'BD Team'!F25</f>
        <v>0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>
        <f>'BD Team'!G26</f>
        <v>0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247</v>
      </c>
      <c r="M197" s="539"/>
      <c r="N197" s="541" t="str">
        <f>$F$6</f>
        <v>White Powder Coating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178</v>
      </c>
      <c r="M198" s="539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248</v>
      </c>
      <c r="M199" s="539"/>
      <c r="N199" s="544" t="s">
        <v>256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249</v>
      </c>
      <c r="M200" s="539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250</v>
      </c>
      <c r="M201" s="539"/>
      <c r="N201" s="540">
        <f>'BD Team'!J26</f>
        <v>0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251</v>
      </c>
      <c r="M202" s="539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252</v>
      </c>
      <c r="M203" s="539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253</v>
      </c>
      <c r="M204" s="539"/>
      <c r="N204" s="541">
        <f>'BD Team'!F26</f>
        <v>0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>
        <f>'BD Team'!G27</f>
        <v>0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247</v>
      </c>
      <c r="M208" s="539"/>
      <c r="N208" s="541" t="str">
        <f>$F$6</f>
        <v>White Powder Coating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178</v>
      </c>
      <c r="M209" s="539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248</v>
      </c>
      <c r="M210" s="539"/>
      <c r="N210" s="544" t="s">
        <v>256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249</v>
      </c>
      <c r="M211" s="539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250</v>
      </c>
      <c r="M212" s="539"/>
      <c r="N212" s="540">
        <f>'BD Team'!J27</f>
        <v>0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251</v>
      </c>
      <c r="M213" s="539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252</v>
      </c>
      <c r="M214" s="539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253</v>
      </c>
      <c r="M215" s="539"/>
      <c r="N215" s="541">
        <f>'BD Team'!F27</f>
        <v>0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>
        <f>'BD Team'!G28</f>
        <v>0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247</v>
      </c>
      <c r="M219" s="539"/>
      <c r="N219" s="541" t="str">
        <f>$F$6</f>
        <v>White Powder Coating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178</v>
      </c>
      <c r="M220" s="539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248</v>
      </c>
      <c r="M221" s="539"/>
      <c r="N221" s="544" t="s">
        <v>256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249</v>
      </c>
      <c r="M222" s="539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250</v>
      </c>
      <c r="M223" s="539"/>
      <c r="N223" s="540">
        <f>'BD Team'!J28</f>
        <v>0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251</v>
      </c>
      <c r="M224" s="539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252</v>
      </c>
      <c r="M225" s="539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253</v>
      </c>
      <c r="M226" s="539"/>
      <c r="N226" s="541">
        <f>'BD Team'!F28</f>
        <v>0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>
        <f>'BD Team'!G29</f>
        <v>0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247</v>
      </c>
      <c r="M230" s="539"/>
      <c r="N230" s="541" t="str">
        <f>$F$6</f>
        <v>White Powder Coating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178</v>
      </c>
      <c r="M231" s="539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248</v>
      </c>
      <c r="M232" s="539"/>
      <c r="N232" s="544" t="s">
        <v>256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249</v>
      </c>
      <c r="M233" s="539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250</v>
      </c>
      <c r="M234" s="539"/>
      <c r="N234" s="540">
        <f>'BD Team'!J29</f>
        <v>0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251</v>
      </c>
      <c r="M235" s="539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252</v>
      </c>
      <c r="M236" s="539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253</v>
      </c>
      <c r="M237" s="539"/>
      <c r="N237" s="541">
        <f>'BD Team'!F29</f>
        <v>0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>
        <f>'BD Team'!G30</f>
        <v>0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247</v>
      </c>
      <c r="M241" s="539"/>
      <c r="N241" s="541" t="str">
        <f>$F$6</f>
        <v>White Powder Coating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178</v>
      </c>
      <c r="M242" s="539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248</v>
      </c>
      <c r="M243" s="539"/>
      <c r="N243" s="544" t="s">
        <v>256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249</v>
      </c>
      <c r="M244" s="539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250</v>
      </c>
      <c r="M245" s="539"/>
      <c r="N245" s="540">
        <f>'BD Team'!J30</f>
        <v>0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251</v>
      </c>
      <c r="M246" s="539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252</v>
      </c>
      <c r="M247" s="539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253</v>
      </c>
      <c r="M248" s="539"/>
      <c r="N248" s="541">
        <f>'BD Team'!F30</f>
        <v>0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>
        <f>'BD Team'!G31</f>
        <v>0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247</v>
      </c>
      <c r="M252" s="539"/>
      <c r="N252" s="541" t="str">
        <f>$F$6</f>
        <v>White Powder Coating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178</v>
      </c>
      <c r="M253" s="539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248</v>
      </c>
      <c r="M254" s="539"/>
      <c r="N254" s="544" t="s">
        <v>256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249</v>
      </c>
      <c r="M255" s="539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250</v>
      </c>
      <c r="M256" s="539"/>
      <c r="N256" s="540">
        <f>'BD Team'!J31</f>
        <v>0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251</v>
      </c>
      <c r="M257" s="539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252</v>
      </c>
      <c r="M258" s="539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253</v>
      </c>
      <c r="M259" s="539"/>
      <c r="N259" s="541">
        <f>'BD Team'!F31</f>
        <v>0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247</v>
      </c>
      <c r="M263" s="539"/>
      <c r="N263" s="541" t="str">
        <f>$F$6</f>
        <v>White Powder Coating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178</v>
      </c>
      <c r="M264" s="539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248</v>
      </c>
      <c r="M265" s="539"/>
      <c r="N265" s="544" t="s">
        <v>256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249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250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251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252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253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247</v>
      </c>
      <c r="M274" s="539"/>
      <c r="N274" s="541" t="str">
        <f>$F$6</f>
        <v>White Powder Coating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178</v>
      </c>
      <c r="M275" s="539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248</v>
      </c>
      <c r="M276" s="539"/>
      <c r="N276" s="544" t="s">
        <v>256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249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250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251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252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253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247</v>
      </c>
      <c r="M285" s="539"/>
      <c r="N285" s="541" t="str">
        <f>$F$6</f>
        <v>White Powder Coating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178</v>
      </c>
      <c r="M286" s="539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248</v>
      </c>
      <c r="M287" s="539"/>
      <c r="N287" s="544" t="s">
        <v>256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249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250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251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252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253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247</v>
      </c>
      <c r="M296" s="539"/>
      <c r="N296" s="541" t="str">
        <f>$F$6</f>
        <v>White Powder Coating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178</v>
      </c>
      <c r="M297" s="539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248</v>
      </c>
      <c r="M298" s="539"/>
      <c r="N298" s="544" t="s">
        <v>256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249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250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251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252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253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247</v>
      </c>
      <c r="M307" s="539"/>
      <c r="N307" s="541" t="str">
        <f>$F$6</f>
        <v>White Powder Coating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178</v>
      </c>
      <c r="M308" s="539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248</v>
      </c>
      <c r="M309" s="539"/>
      <c r="N309" s="544" t="s">
        <v>256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249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250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251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252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253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247</v>
      </c>
      <c r="M318" s="539"/>
      <c r="N318" s="541" t="str">
        <f>$F$6</f>
        <v>White Powder Coating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178</v>
      </c>
      <c r="M319" s="539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248</v>
      </c>
      <c r="M320" s="539"/>
      <c r="N320" s="544" t="s">
        <v>256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249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250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251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252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253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247</v>
      </c>
      <c r="M329" s="539"/>
      <c r="N329" s="541" t="str">
        <f>$F$6</f>
        <v>White Powder Coating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178</v>
      </c>
      <c r="M330" s="539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248</v>
      </c>
      <c r="M331" s="539"/>
      <c r="N331" s="544" t="s">
        <v>256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249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250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251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252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253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247</v>
      </c>
      <c r="M340" s="539"/>
      <c r="N340" s="541" t="str">
        <f>$F$6</f>
        <v>White Powder Coating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178</v>
      </c>
      <c r="M341" s="539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248</v>
      </c>
      <c r="M342" s="539"/>
      <c r="N342" s="544" t="s">
        <v>256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249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250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251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252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253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247</v>
      </c>
      <c r="M351" s="539"/>
      <c r="N351" s="541" t="str">
        <f>$F$6</f>
        <v>White Powder Coating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178</v>
      </c>
      <c r="M352" s="539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248</v>
      </c>
      <c r="M353" s="539"/>
      <c r="N353" s="544" t="s">
        <v>256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249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250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251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252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253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247</v>
      </c>
      <c r="M362" s="539"/>
      <c r="N362" s="541" t="str">
        <f>$F$6</f>
        <v>White Powder Coating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178</v>
      </c>
      <c r="M363" s="539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248</v>
      </c>
      <c r="M364" s="539"/>
      <c r="N364" s="544" t="s">
        <v>256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249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250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251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252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253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247</v>
      </c>
      <c r="M373" s="539"/>
      <c r="N373" s="541" t="str">
        <f>$F$6</f>
        <v>White Powder Coating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178</v>
      </c>
      <c r="M374" s="539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248</v>
      </c>
      <c r="M375" s="539"/>
      <c r="N375" s="544" t="s">
        <v>256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249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250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251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252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253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247</v>
      </c>
      <c r="M384" s="539"/>
      <c r="N384" s="541" t="str">
        <f>$F$6</f>
        <v>White Powder Coating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178</v>
      </c>
      <c r="M385" s="539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248</v>
      </c>
      <c r="M386" s="539"/>
      <c r="N386" s="544" t="s">
        <v>256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249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250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251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252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253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247</v>
      </c>
      <c r="M395" s="539"/>
      <c r="N395" s="541" t="str">
        <f>$F$6</f>
        <v>White Powder Coating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178</v>
      </c>
      <c r="M396" s="539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248</v>
      </c>
      <c r="M397" s="539"/>
      <c r="N397" s="544" t="s">
        <v>256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249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250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251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252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253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247</v>
      </c>
      <c r="M406" s="539"/>
      <c r="N406" s="541" t="str">
        <f>$F$6</f>
        <v>White Powder Coating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178</v>
      </c>
      <c r="M407" s="539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248</v>
      </c>
      <c r="M408" s="539"/>
      <c r="N408" s="544" t="s">
        <v>256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249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250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251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252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253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247</v>
      </c>
      <c r="M417" s="539"/>
      <c r="N417" s="541" t="str">
        <f>$F$6</f>
        <v>White Powder Coating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178</v>
      </c>
      <c r="M418" s="539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248</v>
      </c>
      <c r="M419" s="539"/>
      <c r="N419" s="544" t="s">
        <v>256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249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250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251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252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253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247</v>
      </c>
      <c r="M428" s="539"/>
      <c r="N428" s="541" t="str">
        <f>$F$6</f>
        <v>White Powder Coating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178</v>
      </c>
      <c r="M429" s="539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248</v>
      </c>
      <c r="M430" s="539"/>
      <c r="N430" s="544" t="s">
        <v>256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249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250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251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252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253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247</v>
      </c>
      <c r="M439" s="539"/>
      <c r="N439" s="541" t="str">
        <f>$F$6</f>
        <v>White Powder Coating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178</v>
      </c>
      <c r="M440" s="539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248</v>
      </c>
      <c r="M441" s="539"/>
      <c r="N441" s="544" t="s">
        <v>256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249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250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251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252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253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247</v>
      </c>
      <c r="M450" s="539"/>
      <c r="N450" s="541" t="str">
        <f>$F$6</f>
        <v>White Powder Coating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178</v>
      </c>
      <c r="M451" s="539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248</v>
      </c>
      <c r="M452" s="539"/>
      <c r="N452" s="544" t="s">
        <v>256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249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250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251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252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253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247</v>
      </c>
      <c r="M461" s="539"/>
      <c r="N461" s="541" t="str">
        <f>$F$6</f>
        <v>White Powder Coating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178</v>
      </c>
      <c r="M462" s="539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248</v>
      </c>
      <c r="M463" s="539"/>
      <c r="N463" s="544" t="s">
        <v>256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249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250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251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252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253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247</v>
      </c>
      <c r="M472" s="539"/>
      <c r="N472" s="541" t="str">
        <f>$F$6</f>
        <v>White Powder Coating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178</v>
      </c>
      <c r="M473" s="539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248</v>
      </c>
      <c r="M474" s="539"/>
      <c r="N474" s="544" t="s">
        <v>256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249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250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251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252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253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247</v>
      </c>
      <c r="M483" s="539"/>
      <c r="N483" s="541" t="str">
        <f>$F$6</f>
        <v>White Powder Coating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178</v>
      </c>
      <c r="M484" s="539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248</v>
      </c>
      <c r="M485" s="539"/>
      <c r="N485" s="544" t="s">
        <v>256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249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250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251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252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253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247</v>
      </c>
      <c r="M494" s="539"/>
      <c r="N494" s="541" t="str">
        <f>$F$6</f>
        <v>White Powder Coating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178</v>
      </c>
      <c r="M495" s="539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248</v>
      </c>
      <c r="M496" s="539"/>
      <c r="N496" s="544" t="s">
        <v>256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249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250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251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252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253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247</v>
      </c>
      <c r="M505" s="539"/>
      <c r="N505" s="541" t="str">
        <f>$F$6</f>
        <v>White Powder Coating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178</v>
      </c>
      <c r="M506" s="539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248</v>
      </c>
      <c r="M507" s="539"/>
      <c r="N507" s="544" t="s">
        <v>256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249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250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251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252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253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247</v>
      </c>
      <c r="M516" s="539"/>
      <c r="N516" s="541" t="str">
        <f>$F$6</f>
        <v>White Powder Coating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178</v>
      </c>
      <c r="M517" s="539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248</v>
      </c>
      <c r="M518" s="539"/>
      <c r="N518" s="544" t="s">
        <v>256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249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250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251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252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253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247</v>
      </c>
      <c r="M527" s="539"/>
      <c r="N527" s="541" t="str">
        <f>$F$6</f>
        <v>White Powder Coating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178</v>
      </c>
      <c r="M528" s="539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248</v>
      </c>
      <c r="M529" s="539"/>
      <c r="N529" s="544" t="s">
        <v>256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249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250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251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252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253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247</v>
      </c>
      <c r="M538" s="539"/>
      <c r="N538" s="541" t="str">
        <f>$F$6</f>
        <v>White Powder Coating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178</v>
      </c>
      <c r="M539" s="539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248</v>
      </c>
      <c r="M540" s="539"/>
      <c r="N540" s="544" t="s">
        <v>256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249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250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251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252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253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247</v>
      </c>
      <c r="M549" s="539"/>
      <c r="N549" s="541" t="str">
        <f>$F$6</f>
        <v>White Powder Coating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178</v>
      </c>
      <c r="M550" s="539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248</v>
      </c>
      <c r="M551" s="539"/>
      <c r="N551" s="544" t="s">
        <v>256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249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250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251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252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253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247</v>
      </c>
      <c r="M560" s="539"/>
      <c r="N560" s="541" t="str">
        <f>$F$6</f>
        <v>White Powder Coating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178</v>
      </c>
      <c r="M561" s="539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248</v>
      </c>
      <c r="M562" s="539"/>
      <c r="N562" s="544" t="s">
        <v>256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249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250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251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252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253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247</v>
      </c>
      <c r="M571" s="539"/>
      <c r="N571" s="541" t="str">
        <f>$F$6</f>
        <v>White Powder Coating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178</v>
      </c>
      <c r="M572" s="539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248</v>
      </c>
      <c r="M573" s="539"/>
      <c r="N573" s="544" t="s">
        <v>256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249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250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251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252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253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247</v>
      </c>
      <c r="M582" s="539"/>
      <c r="N582" s="541" t="str">
        <f>$F$6</f>
        <v>White Powder Coating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178</v>
      </c>
      <c r="M583" s="539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248</v>
      </c>
      <c r="M584" s="539"/>
      <c r="N584" s="544" t="s">
        <v>256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249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250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251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252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253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247</v>
      </c>
      <c r="M593" s="539"/>
      <c r="N593" s="541" t="str">
        <f>$F$6</f>
        <v>White Powder Coating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178</v>
      </c>
      <c r="M594" s="539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248</v>
      </c>
      <c r="M595" s="539"/>
      <c r="N595" s="544" t="s">
        <v>256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249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250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251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252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253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247</v>
      </c>
      <c r="M604" s="539"/>
      <c r="N604" s="541" t="str">
        <f>$F$6</f>
        <v>White Powder Coating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178</v>
      </c>
      <c r="M605" s="539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248</v>
      </c>
      <c r="M606" s="539"/>
      <c r="N606" s="544" t="s">
        <v>256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249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250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251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252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253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247</v>
      </c>
      <c r="M615" s="539"/>
      <c r="N615" s="541" t="str">
        <f>$F$6</f>
        <v>White Powder Coating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178</v>
      </c>
      <c r="M616" s="539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248</v>
      </c>
      <c r="M617" s="539"/>
      <c r="N617" s="544" t="s">
        <v>256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249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250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251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252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253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247</v>
      </c>
      <c r="M626" s="539"/>
      <c r="N626" s="541" t="str">
        <f>$F$6</f>
        <v>White Powder Coating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178</v>
      </c>
      <c r="M627" s="539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248</v>
      </c>
      <c r="M628" s="539"/>
      <c r="N628" s="544" t="s">
        <v>256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249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250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251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252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253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247</v>
      </c>
      <c r="M637" s="539"/>
      <c r="N637" s="541" t="str">
        <f>$F$6</f>
        <v>White Powder Coating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178</v>
      </c>
      <c r="M638" s="539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248</v>
      </c>
      <c r="M639" s="539"/>
      <c r="N639" s="544" t="s">
        <v>256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249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250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251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252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253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247</v>
      </c>
      <c r="M648" s="539"/>
      <c r="N648" s="541" t="str">
        <f>$F$6</f>
        <v>White Powder Coating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178</v>
      </c>
      <c r="M649" s="539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248</v>
      </c>
      <c r="M650" s="539"/>
      <c r="N650" s="544" t="s">
        <v>256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249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250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251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252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253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247</v>
      </c>
      <c r="M659" s="539"/>
      <c r="N659" s="541" t="str">
        <f>$F$6</f>
        <v>White Powder Coating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178</v>
      </c>
      <c r="M660" s="539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248</v>
      </c>
      <c r="M661" s="539"/>
      <c r="N661" s="544" t="s">
        <v>256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249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250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251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252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253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247</v>
      </c>
      <c r="M670" s="539"/>
      <c r="N670" s="541" t="str">
        <f>$F$6</f>
        <v>White Powder Coating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178</v>
      </c>
      <c r="M671" s="539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248</v>
      </c>
      <c r="M672" s="539"/>
      <c r="N672" s="544" t="s">
        <v>256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249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250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251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252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253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247</v>
      </c>
      <c r="M681" s="539"/>
      <c r="N681" s="541" t="str">
        <f>$F$6</f>
        <v>White Powder Coating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178</v>
      </c>
      <c r="M682" s="539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248</v>
      </c>
      <c r="M683" s="539"/>
      <c r="N683" s="544" t="s">
        <v>256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249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250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251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252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253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247</v>
      </c>
      <c r="M692" s="539"/>
      <c r="N692" s="541" t="str">
        <f>$F$6</f>
        <v>White Powder Coating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178</v>
      </c>
      <c r="M693" s="539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248</v>
      </c>
      <c r="M694" s="539"/>
      <c r="N694" s="544" t="s">
        <v>256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249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250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251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252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253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247</v>
      </c>
      <c r="M703" s="539"/>
      <c r="N703" s="541" t="str">
        <f>$F$6</f>
        <v>White Powder Coating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178</v>
      </c>
      <c r="M704" s="539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248</v>
      </c>
      <c r="M705" s="539"/>
      <c r="N705" s="544" t="s">
        <v>256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249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250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251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252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253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247</v>
      </c>
      <c r="M714" s="539"/>
      <c r="N714" s="541" t="str">
        <f>$F$6</f>
        <v>White Powder Coating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178</v>
      </c>
      <c r="M715" s="539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248</v>
      </c>
      <c r="M716" s="539"/>
      <c r="N716" s="544" t="s">
        <v>256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249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250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251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252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253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247</v>
      </c>
      <c r="M725" s="539"/>
      <c r="N725" s="541" t="str">
        <f>$F$6</f>
        <v>White Powder Coating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178</v>
      </c>
      <c r="M726" s="539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248</v>
      </c>
      <c r="M727" s="539"/>
      <c r="N727" s="544" t="s">
        <v>256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249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250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251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252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253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247</v>
      </c>
      <c r="M736" s="539"/>
      <c r="N736" s="541" t="str">
        <f>$F$6</f>
        <v>White Powder Coating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178</v>
      </c>
      <c r="M737" s="539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248</v>
      </c>
      <c r="M738" s="539"/>
      <c r="N738" s="544" t="s">
        <v>256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249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250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251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252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253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247</v>
      </c>
      <c r="M747" s="539"/>
      <c r="N747" s="541" t="str">
        <f>$F$6</f>
        <v>White Powder Coating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178</v>
      </c>
      <c r="M748" s="539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248</v>
      </c>
      <c r="M749" s="539"/>
      <c r="N749" s="544" t="s">
        <v>256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249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250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251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252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253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247</v>
      </c>
      <c r="M758" s="539"/>
      <c r="N758" s="541" t="str">
        <f>$F$6</f>
        <v>White Powder Coating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178</v>
      </c>
      <c r="M759" s="539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248</v>
      </c>
      <c r="M760" s="539"/>
      <c r="N760" s="544" t="s">
        <v>256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249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250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251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252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253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247</v>
      </c>
      <c r="M769" s="539"/>
      <c r="N769" s="541" t="str">
        <f>$F$6</f>
        <v>White Powder Coating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178</v>
      </c>
      <c r="M770" s="539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248</v>
      </c>
      <c r="M771" s="539"/>
      <c r="N771" s="544" t="s">
        <v>256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249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250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251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252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253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247</v>
      </c>
      <c r="M780" s="539"/>
      <c r="N780" s="541" t="str">
        <f>$F$6</f>
        <v>White Powder Coating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178</v>
      </c>
      <c r="M781" s="539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248</v>
      </c>
      <c r="M782" s="539"/>
      <c r="N782" s="544" t="s">
        <v>256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249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250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251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252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253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247</v>
      </c>
      <c r="M791" s="539"/>
      <c r="N791" s="541" t="str">
        <f>$F$6</f>
        <v>White Powder Coating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178</v>
      </c>
      <c r="M792" s="539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248</v>
      </c>
      <c r="M793" s="539"/>
      <c r="N793" s="544" t="s">
        <v>256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249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250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251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252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253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247</v>
      </c>
      <c r="M802" s="539"/>
      <c r="N802" s="541" t="str">
        <f>$F$6</f>
        <v>White Powder Coating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178</v>
      </c>
      <c r="M803" s="539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248</v>
      </c>
      <c r="M804" s="539"/>
      <c r="N804" s="544" t="s">
        <v>256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249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250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251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252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253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247</v>
      </c>
      <c r="M813" s="539"/>
      <c r="N813" s="541" t="str">
        <f>$F$6</f>
        <v>White Powder Coating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178</v>
      </c>
      <c r="M814" s="539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248</v>
      </c>
      <c r="M815" s="539"/>
      <c r="N815" s="544" t="s">
        <v>256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249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250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251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252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253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247</v>
      </c>
      <c r="M824" s="539"/>
      <c r="N824" s="541" t="str">
        <f>$F$6</f>
        <v>White Powder Coating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178</v>
      </c>
      <c r="M825" s="539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248</v>
      </c>
      <c r="M826" s="539"/>
      <c r="N826" s="544" t="s">
        <v>256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249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250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251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252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253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247</v>
      </c>
      <c r="M835" s="539"/>
      <c r="N835" s="541" t="str">
        <f>$F$6</f>
        <v>White Powder Coating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178</v>
      </c>
      <c r="M836" s="539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248</v>
      </c>
      <c r="M837" s="539"/>
      <c r="N837" s="544" t="s">
        <v>256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249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250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251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252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253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247</v>
      </c>
      <c r="M846" s="539"/>
      <c r="N846" s="541" t="str">
        <f>$F$6</f>
        <v>White Powder Coating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178</v>
      </c>
      <c r="M847" s="539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248</v>
      </c>
      <c r="M848" s="539"/>
      <c r="N848" s="544" t="s">
        <v>256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249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250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251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252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253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247</v>
      </c>
      <c r="M857" s="539"/>
      <c r="N857" s="541" t="str">
        <f>$F$6</f>
        <v>White Powder Coating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178</v>
      </c>
      <c r="M858" s="539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248</v>
      </c>
      <c r="M859" s="539"/>
      <c r="N859" s="544" t="s">
        <v>256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249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250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251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252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253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247</v>
      </c>
      <c r="M868" s="539"/>
      <c r="N868" s="541" t="str">
        <f>$F$6</f>
        <v>White Powder Coating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178</v>
      </c>
      <c r="M869" s="539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248</v>
      </c>
      <c r="M870" s="539"/>
      <c r="N870" s="544" t="s">
        <v>256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249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250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251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252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253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247</v>
      </c>
      <c r="M879" s="539"/>
      <c r="N879" s="541" t="str">
        <f>$F$6</f>
        <v>White Powder Coating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178</v>
      </c>
      <c r="M880" s="539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248</v>
      </c>
      <c r="M881" s="539"/>
      <c r="N881" s="544" t="s">
        <v>256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249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250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251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252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253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247</v>
      </c>
      <c r="M890" s="539"/>
      <c r="N890" s="541" t="str">
        <f>$F$6</f>
        <v>White Powder Coating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178</v>
      </c>
      <c r="M891" s="539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248</v>
      </c>
      <c r="M892" s="539"/>
      <c r="N892" s="544" t="s">
        <v>256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249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250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251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252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253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247</v>
      </c>
      <c r="M901" s="539"/>
      <c r="N901" s="541" t="str">
        <f>$F$6</f>
        <v>White Powder Coating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178</v>
      </c>
      <c r="M902" s="539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248</v>
      </c>
      <c r="M903" s="539"/>
      <c r="N903" s="544" t="s">
        <v>256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249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250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251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252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253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247</v>
      </c>
      <c r="M912" s="539"/>
      <c r="N912" s="541" t="str">
        <f>$F$6</f>
        <v>White Powder Coating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178</v>
      </c>
      <c r="M913" s="539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248</v>
      </c>
      <c r="M914" s="539"/>
      <c r="N914" s="544" t="s">
        <v>256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249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250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251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252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253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247</v>
      </c>
      <c r="M923" s="539"/>
      <c r="N923" s="541" t="str">
        <f>$F$6</f>
        <v>White Powder Coating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178</v>
      </c>
      <c r="M924" s="539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248</v>
      </c>
      <c r="M925" s="539"/>
      <c r="N925" s="544" t="s">
        <v>256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249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250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251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252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253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247</v>
      </c>
      <c r="M934" s="539"/>
      <c r="N934" s="541" t="str">
        <f>$F$6</f>
        <v>White Powder Coating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178</v>
      </c>
      <c r="M935" s="539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248</v>
      </c>
      <c r="M936" s="539"/>
      <c r="N936" s="544" t="s">
        <v>256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249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250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251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252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253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247</v>
      </c>
      <c r="M945" s="539"/>
      <c r="N945" s="541" t="str">
        <f>$F$6</f>
        <v>White Powder Coating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178</v>
      </c>
      <c r="M946" s="539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248</v>
      </c>
      <c r="M947" s="539"/>
      <c r="N947" s="544" t="s">
        <v>256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249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250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251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252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253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247</v>
      </c>
      <c r="M956" s="539"/>
      <c r="N956" s="541" t="str">
        <f>$F$6</f>
        <v>White Powder Coating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178</v>
      </c>
      <c r="M957" s="539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248</v>
      </c>
      <c r="M958" s="539"/>
      <c r="N958" s="544" t="s">
        <v>256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249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250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251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252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253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247</v>
      </c>
      <c r="M967" s="539"/>
      <c r="N967" s="541" t="str">
        <f>$F$6</f>
        <v>White Powder Coating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178</v>
      </c>
      <c r="M968" s="539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248</v>
      </c>
      <c r="M969" s="539"/>
      <c r="N969" s="544" t="s">
        <v>256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249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250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251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252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253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247</v>
      </c>
      <c r="M978" s="539"/>
      <c r="N978" s="541" t="str">
        <f>$F$6</f>
        <v>White Powder Coating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178</v>
      </c>
      <c r="M979" s="539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248</v>
      </c>
      <c r="M980" s="539"/>
      <c r="N980" s="544" t="s">
        <v>256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249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250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251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252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253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247</v>
      </c>
      <c r="M989" s="539"/>
      <c r="N989" s="541" t="str">
        <f>$F$6</f>
        <v>White Powder Coating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178</v>
      </c>
      <c r="M990" s="539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248</v>
      </c>
      <c r="M991" s="539"/>
      <c r="N991" s="544" t="s">
        <v>256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249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250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251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252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253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247</v>
      </c>
      <c r="M1000" s="539"/>
      <c r="N1000" s="541" t="str">
        <f>$F$6</f>
        <v>White Powder Coating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178</v>
      </c>
      <c r="M1001" s="539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248</v>
      </c>
      <c r="M1002" s="539"/>
      <c r="N1002" s="544" t="s">
        <v>256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249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250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251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252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253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247</v>
      </c>
      <c r="M1011" s="539"/>
      <c r="N1011" s="541" t="str">
        <f>$F$6</f>
        <v>White Powder Coating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178</v>
      </c>
      <c r="M1012" s="539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248</v>
      </c>
      <c r="M1013" s="539"/>
      <c r="N1013" s="544" t="s">
        <v>256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249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250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251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252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253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247</v>
      </c>
      <c r="M1022" s="539"/>
      <c r="N1022" s="541" t="str">
        <f>$F$6</f>
        <v>White Powder Coating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178</v>
      </c>
      <c r="M1023" s="539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248</v>
      </c>
      <c r="M1024" s="539"/>
      <c r="N1024" s="544" t="s">
        <v>256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249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250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251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252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253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247</v>
      </c>
      <c r="M1033" s="539"/>
      <c r="N1033" s="541" t="str">
        <f>$F$6</f>
        <v>White Powder Coating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178</v>
      </c>
      <c r="M1034" s="539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248</v>
      </c>
      <c r="M1035" s="539"/>
      <c r="N1035" s="544" t="s">
        <v>256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249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250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251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252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253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247</v>
      </c>
      <c r="M1044" s="539"/>
      <c r="N1044" s="541" t="str">
        <f>$F$6</f>
        <v>White Powder Coating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178</v>
      </c>
      <c r="M1045" s="539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248</v>
      </c>
      <c r="M1046" s="539"/>
      <c r="N1046" s="544" t="s">
        <v>256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249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250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251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252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253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247</v>
      </c>
      <c r="M1055" s="539"/>
      <c r="N1055" s="541" t="str">
        <f>$F$6</f>
        <v>White Powder Coating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178</v>
      </c>
      <c r="M1056" s="539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248</v>
      </c>
      <c r="M1057" s="539"/>
      <c r="N1057" s="544" t="s">
        <v>256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249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250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251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252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253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247</v>
      </c>
      <c r="M1066" s="539"/>
      <c r="N1066" s="541" t="str">
        <f>$F$6</f>
        <v>White Powder Coating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178</v>
      </c>
      <c r="M1067" s="539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248</v>
      </c>
      <c r="M1068" s="539"/>
      <c r="N1068" s="544" t="s">
        <v>256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249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250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251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252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253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247</v>
      </c>
      <c r="M1077" s="539"/>
      <c r="N1077" s="541" t="str">
        <f>$F$6</f>
        <v>White Powder Coating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178</v>
      </c>
      <c r="M1078" s="539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248</v>
      </c>
      <c r="M1079" s="539"/>
      <c r="N1079" s="544" t="s">
        <v>256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249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250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251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252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253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247</v>
      </c>
      <c r="M1088" s="539"/>
      <c r="N1088" s="541" t="str">
        <f>$F$6</f>
        <v>White Powder Coating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178</v>
      </c>
      <c r="M1089" s="539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248</v>
      </c>
      <c r="M1090" s="539"/>
      <c r="N1090" s="544" t="s">
        <v>256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249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250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251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252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253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247</v>
      </c>
      <c r="M1099" s="539"/>
      <c r="N1099" s="541" t="str">
        <f>$F$6</f>
        <v>White Powder Coating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178</v>
      </c>
      <c r="M1100" s="539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248</v>
      </c>
      <c r="M1101" s="539"/>
      <c r="N1101" s="544" t="s">
        <v>256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249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250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251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252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253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263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104</v>
      </c>
    </row>
    <row r="5" spans="3:5">
      <c r="C5" s="236" t="s">
        <v>397</v>
      </c>
      <c r="D5" s="236" t="s">
        <v>395</v>
      </c>
      <c r="E5" s="309">
        <f>ROUND(Pricing!U104,0.1)/40</f>
        <v>3.125</v>
      </c>
    </row>
    <row r="6" spans="3:5">
      <c r="C6" s="236" t="s">
        <v>83</v>
      </c>
      <c r="D6" s="236" t="s">
        <v>394</v>
      </c>
      <c r="E6" s="309">
        <f>ROUND(Pricing!V104,0.1)</f>
        <v>7</v>
      </c>
    </row>
    <row r="7" spans="3:5">
      <c r="C7" s="236" t="s">
        <v>401</v>
      </c>
      <c r="D7" s="236" t="s">
        <v>393</v>
      </c>
      <c r="E7" s="309">
        <f>ROUND(Pricing!W104,0.1)</f>
        <v>104</v>
      </c>
    </row>
    <row r="8" spans="3:5">
      <c r="C8" s="236" t="s">
        <v>398</v>
      </c>
      <c r="D8" s="236" t="s">
        <v>393</v>
      </c>
      <c r="E8" s="309">
        <f>ROUND(Pricing!X104,0.1)</f>
        <v>208</v>
      </c>
    </row>
    <row r="9" spans="3:5">
      <c r="C9" t="s">
        <v>223</v>
      </c>
      <c r="D9" s="236" t="s">
        <v>396</v>
      </c>
      <c r="E9" s="309">
        <f>ROUND(Pricing!Y104,0.1)</f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6"/>
  <sheetViews>
    <sheetView workbookViewId="0">
      <selection activeCell="A7" sqref="A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408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409</v>
      </c>
      <c r="G1" s="315" t="s">
        <v>410</v>
      </c>
      <c r="H1" s="315" t="s">
        <v>411</v>
      </c>
      <c r="I1" s="315" t="s">
        <v>114</v>
      </c>
      <c r="J1" s="315" t="s">
        <v>412</v>
      </c>
      <c r="K1" s="315" t="s">
        <v>9</v>
      </c>
      <c r="L1" s="316" t="s">
        <v>216</v>
      </c>
      <c r="M1" s="315" t="s">
        <v>219</v>
      </c>
      <c r="N1" s="315" t="s">
        <v>413</v>
      </c>
      <c r="O1" s="315" t="s">
        <v>414</v>
      </c>
      <c r="P1" s="315" t="s">
        <v>190</v>
      </c>
      <c r="Q1" s="315" t="s">
        <v>415</v>
      </c>
      <c r="R1" s="315" t="s">
        <v>416</v>
      </c>
      <c r="S1" s="315" t="s">
        <v>417</v>
      </c>
      <c r="T1" s="315" t="s">
        <v>278</v>
      </c>
      <c r="U1" s="315" t="s">
        <v>418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24MM</v>
      </c>
      <c r="E2" s="318" t="str">
        <f>'BD Team'!G9</f>
        <v>KITCHEN</v>
      </c>
      <c r="F2" s="318" t="str">
        <f>'BD Team'!F9</f>
        <v>SS</v>
      </c>
      <c r="I2" s="318">
        <f>'BD Team'!H9</f>
        <v>1728</v>
      </c>
      <c r="J2" s="318">
        <f>'BD Team'!I9</f>
        <v>687</v>
      </c>
      <c r="K2" s="318">
        <f>'BD Team'!J9</f>
        <v>1</v>
      </c>
      <c r="L2" s="319">
        <f>'BD Team'!K9</f>
        <v>267.12</v>
      </c>
      <c r="M2" s="318">
        <f>Pricing!O4</f>
        <v>2805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M14600</v>
      </c>
      <c r="C3" s="318" t="str">
        <f>'BD Team'!D10</f>
        <v>3 TRACK 2 SHUTTER SLIDING WINDOW WITH FIXED</v>
      </c>
      <c r="D3" s="318" t="str">
        <f>'BD Team'!E10</f>
        <v>24MM</v>
      </c>
      <c r="E3" s="318" t="str">
        <f>'BD Team'!G10</f>
        <v>DINING</v>
      </c>
      <c r="F3" s="318" t="str">
        <f>'BD Team'!F10</f>
        <v>NO</v>
      </c>
      <c r="I3" s="318">
        <f>'BD Team'!H10</f>
        <v>1840</v>
      </c>
      <c r="J3" s="318">
        <f>'BD Team'!I10</f>
        <v>1690</v>
      </c>
      <c r="K3" s="318">
        <f>'BD Team'!J10</f>
        <v>1</v>
      </c>
      <c r="L3" s="319">
        <f>'BD Team'!K10</f>
        <v>434.04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M14600</v>
      </c>
      <c r="C4" s="318" t="str">
        <f>'BD Team'!D11</f>
        <v>3 TRACK 2 SHUTTER SLIDING WINDOW</v>
      </c>
      <c r="D4" s="318" t="str">
        <f>'BD Team'!E11</f>
        <v>24MM</v>
      </c>
      <c r="E4" s="318" t="str">
        <f>'BD Team'!G11</f>
        <v>OFFICE</v>
      </c>
      <c r="F4" s="318" t="str">
        <f>'BD Team'!F11</f>
        <v>SS</v>
      </c>
      <c r="I4" s="318">
        <f>'BD Team'!H11</f>
        <v>1981</v>
      </c>
      <c r="J4" s="318">
        <f>'BD Team'!I11</f>
        <v>830</v>
      </c>
      <c r="K4" s="318">
        <f>'BD Team'!J11</f>
        <v>1</v>
      </c>
      <c r="L4" s="319">
        <f>'BD Team'!K11</f>
        <v>294.02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24MM</v>
      </c>
      <c r="E5" s="318" t="str">
        <f>'BD Team'!G12</f>
        <v>LIVING</v>
      </c>
      <c r="F5" s="318" t="str">
        <f>'BD Team'!F12</f>
        <v>SS</v>
      </c>
      <c r="I5" s="318">
        <f>'BD Team'!H12</f>
        <v>2529</v>
      </c>
      <c r="J5" s="318">
        <f>'BD Team'!I12</f>
        <v>2488</v>
      </c>
      <c r="K5" s="318">
        <f>'BD Team'!J12</f>
        <v>1</v>
      </c>
      <c r="L5" s="319">
        <f>'BD Team'!K12</f>
        <v>561.32000000000005</v>
      </c>
      <c r="M5" s="318">
        <f>Pricing!O7</f>
        <v>2805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M15000</v>
      </c>
      <c r="C6" s="318" t="str">
        <f>'BD Team'!D13</f>
        <v>SIDE HUNG WINDOW</v>
      </c>
      <c r="D6" s="318" t="str">
        <f>'BD Team'!E13</f>
        <v>6MM</v>
      </c>
      <c r="E6" s="318" t="str">
        <f>'BD Team'!G13</f>
        <v>MASTER BEDROOM</v>
      </c>
      <c r="F6" s="318" t="str">
        <f>'BD Team'!F13</f>
        <v>NO</v>
      </c>
      <c r="I6" s="318">
        <f>'BD Team'!H13</f>
        <v>459</v>
      </c>
      <c r="J6" s="318">
        <f>'BD Team'!I13</f>
        <v>1373</v>
      </c>
      <c r="K6" s="318">
        <f>'BD Team'!J13</f>
        <v>1</v>
      </c>
      <c r="L6" s="319">
        <f>'BD Team'!K13</f>
        <v>569.11</v>
      </c>
      <c r="M6" s="318">
        <f>Pricing!O8</f>
        <v>1002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6" sqref="E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426</v>
      </c>
      <c r="F2" s="137"/>
      <c r="G2" s="163"/>
      <c r="H2" s="331" t="s">
        <v>185</v>
      </c>
      <c r="I2" s="332"/>
      <c r="J2" s="165" t="s">
        <v>419</v>
      </c>
      <c r="K2" s="167"/>
      <c r="L2" s="104" t="s">
        <v>208</v>
      </c>
      <c r="M2" s="104" t="s">
        <v>382</v>
      </c>
    </row>
    <row r="3" spans="1:13" s="104" customFormat="1">
      <c r="A3" s="330" t="s">
        <v>127</v>
      </c>
      <c r="B3" s="330"/>
      <c r="C3" s="330"/>
      <c r="D3" s="330"/>
      <c r="E3" s="162" t="s">
        <v>420</v>
      </c>
      <c r="F3" s="136" t="s">
        <v>183</v>
      </c>
      <c r="G3" s="162" t="s">
        <v>441</v>
      </c>
      <c r="H3" s="331" t="s">
        <v>186</v>
      </c>
      <c r="I3" s="332"/>
      <c r="J3" s="166">
        <v>43673</v>
      </c>
      <c r="K3" s="167"/>
      <c r="L3" s="104" t="s">
        <v>258</v>
      </c>
      <c r="M3" s="104" t="s">
        <v>383</v>
      </c>
    </row>
    <row r="4" spans="1:13" s="104" customFormat="1" ht="18">
      <c r="A4" s="330" t="s">
        <v>169</v>
      </c>
      <c r="B4" s="330"/>
      <c r="C4" s="330"/>
      <c r="D4" s="330"/>
      <c r="E4" s="162" t="s">
        <v>368</v>
      </c>
      <c r="F4" s="135"/>
      <c r="G4" s="164"/>
      <c r="H4" s="331" t="s">
        <v>187</v>
      </c>
      <c r="I4" s="332"/>
      <c r="J4" s="165" t="s">
        <v>386</v>
      </c>
      <c r="K4" s="167"/>
      <c r="L4" s="104" t="s">
        <v>259</v>
      </c>
      <c r="M4" s="104" t="s">
        <v>384</v>
      </c>
    </row>
    <row r="5" spans="1:13" s="104" customFormat="1">
      <c r="A5" s="330" t="s">
        <v>177</v>
      </c>
      <c r="B5" s="330"/>
      <c r="C5" s="330"/>
      <c r="D5" s="330"/>
      <c r="E5" s="162" t="s">
        <v>445</v>
      </c>
      <c r="F5" s="136" t="s">
        <v>184</v>
      </c>
      <c r="G5" s="162" t="s">
        <v>208</v>
      </c>
      <c r="H5" s="331" t="s">
        <v>376</v>
      </c>
      <c r="I5" s="332"/>
      <c r="J5" s="165" t="s">
        <v>443</v>
      </c>
      <c r="K5" s="167"/>
      <c r="L5" s="104" t="s">
        <v>260</v>
      </c>
      <c r="M5" s="104" t="s">
        <v>385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386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404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264</v>
      </c>
      <c r="F9" s="113" t="s">
        <v>424</v>
      </c>
      <c r="G9" s="113" t="s">
        <v>425</v>
      </c>
      <c r="H9" s="113">
        <v>1728</v>
      </c>
      <c r="I9" s="113">
        <v>687</v>
      </c>
      <c r="J9" s="113">
        <v>1</v>
      </c>
      <c r="K9" s="123">
        <v>267.12</v>
      </c>
    </row>
    <row r="10" spans="1:13" ht="20.100000000000001" customHeight="1">
      <c r="A10" s="113">
        <v>2</v>
      </c>
      <c r="B10" s="113" t="s">
        <v>427</v>
      </c>
      <c r="C10" s="113" t="s">
        <v>422</v>
      </c>
      <c r="D10" s="113" t="s">
        <v>428</v>
      </c>
      <c r="E10" s="113" t="s">
        <v>264</v>
      </c>
      <c r="F10" s="113" t="s">
        <v>429</v>
      </c>
      <c r="G10" s="113" t="s">
        <v>430</v>
      </c>
      <c r="H10" s="113">
        <v>1840</v>
      </c>
      <c r="I10" s="113">
        <v>1690</v>
      </c>
      <c r="J10" s="113">
        <v>1</v>
      </c>
      <c r="K10" s="123">
        <v>434.04</v>
      </c>
      <c r="L10" s="47" t="s">
        <v>283</v>
      </c>
    </row>
    <row r="11" spans="1:13" ht="20.100000000000001" customHeight="1">
      <c r="A11" s="113">
        <v>3</v>
      </c>
      <c r="B11" s="113" t="s">
        <v>431</v>
      </c>
      <c r="C11" s="113" t="s">
        <v>422</v>
      </c>
      <c r="D11" s="113" t="s">
        <v>423</v>
      </c>
      <c r="E11" s="113" t="s">
        <v>264</v>
      </c>
      <c r="F11" s="113" t="s">
        <v>424</v>
      </c>
      <c r="G11" s="113" t="s">
        <v>432</v>
      </c>
      <c r="H11" s="113">
        <v>1981</v>
      </c>
      <c r="I11" s="113">
        <v>830</v>
      </c>
      <c r="J11" s="113">
        <v>1</v>
      </c>
      <c r="K11" s="123">
        <v>294.02</v>
      </c>
      <c r="L11" s="47" t="s">
        <v>282</v>
      </c>
    </row>
    <row r="12" spans="1:13" ht="20.100000000000001" customHeight="1">
      <c r="A12" s="113">
        <v>4</v>
      </c>
      <c r="B12" s="113" t="s">
        <v>433</v>
      </c>
      <c r="C12" s="113" t="s">
        <v>422</v>
      </c>
      <c r="D12" s="113" t="s">
        <v>434</v>
      </c>
      <c r="E12" s="113" t="s">
        <v>264</v>
      </c>
      <c r="F12" s="113" t="s">
        <v>424</v>
      </c>
      <c r="G12" s="113" t="s">
        <v>435</v>
      </c>
      <c r="H12" s="113">
        <v>2529</v>
      </c>
      <c r="I12" s="113">
        <v>2488</v>
      </c>
      <c r="J12" s="113">
        <v>1</v>
      </c>
      <c r="K12" s="123">
        <v>561.32000000000005</v>
      </c>
      <c r="L12" s="47" t="s">
        <v>366</v>
      </c>
    </row>
    <row r="13" spans="1:13" ht="20.100000000000001" customHeight="1">
      <c r="A13" s="113">
        <v>5</v>
      </c>
      <c r="B13" s="113" t="s">
        <v>436</v>
      </c>
      <c r="C13" s="113" t="s">
        <v>437</v>
      </c>
      <c r="D13" s="113" t="s">
        <v>438</v>
      </c>
      <c r="E13" s="113" t="s">
        <v>439</v>
      </c>
      <c r="F13" s="113" t="s">
        <v>429</v>
      </c>
      <c r="G13" s="113" t="s">
        <v>440</v>
      </c>
      <c r="H13" s="113">
        <v>459</v>
      </c>
      <c r="I13" s="113">
        <v>1373</v>
      </c>
      <c r="J13" s="113">
        <v>1</v>
      </c>
      <c r="K13" s="123">
        <v>569.11</v>
      </c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8" sqref="Q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KITCHEN</v>
      </c>
      <c r="G4" s="118">
        <f>'BD Team'!H9</f>
        <v>1728</v>
      </c>
      <c r="H4" s="118">
        <f>'BD Team'!I9</f>
        <v>687</v>
      </c>
      <c r="I4" s="118">
        <f>'BD Team'!J9</f>
        <v>1</v>
      </c>
      <c r="J4" s="103">
        <f t="shared" ref="J4:J53" si="0">G4*H4*I4*10.764/1000000</f>
        <v>12.778331904</v>
      </c>
      <c r="K4" s="172">
        <f>'BD Team'!K9</f>
        <v>267.12</v>
      </c>
      <c r="L4" s="171">
        <f>K4*I4</f>
        <v>267.12</v>
      </c>
      <c r="M4" s="170">
        <f>L4*'Changable Values'!$D$4</f>
        <v>22170.959999999999</v>
      </c>
      <c r="N4" s="170" t="str">
        <f>'BD Team'!E9</f>
        <v>24MM</v>
      </c>
      <c r="O4" s="172">
        <v>2805</v>
      </c>
      <c r="P4" s="241"/>
      <c r="Q4" s="173">
        <f>50*10.764</f>
        <v>538.19999999999993</v>
      </c>
      <c r="R4" s="185"/>
      <c r="S4" s="312"/>
      <c r="T4" s="313">
        <f>(G4+H4)*I4*2/300</f>
        <v>16.100000000000001</v>
      </c>
      <c r="U4" s="313">
        <f>SUM(G4:H4)*I4*2*4/1000</f>
        <v>19.32</v>
      </c>
      <c r="V4" s="313">
        <f>SUM(G4:H4)*I4*5*5*4/(1000*240)</f>
        <v>1.0062500000000001</v>
      </c>
      <c r="W4" s="313">
        <f>T4</f>
        <v>16.100000000000001</v>
      </c>
      <c r="X4" s="313">
        <f>W4*2</f>
        <v>32.200000000000003</v>
      </c>
      <c r="Y4" s="313">
        <f>SUM(G4:H4)*I4*4/1000</f>
        <v>9.66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3 TRACK 2 SHUTTER SLIDING WINDOW WITH FIXED</v>
      </c>
      <c r="E5" s="118" t="str">
        <f>'BD Team'!F10</f>
        <v>NO</v>
      </c>
      <c r="F5" s="121" t="str">
        <f>'BD Team'!G10</f>
        <v>DINING</v>
      </c>
      <c r="G5" s="118">
        <f>'BD Team'!H10</f>
        <v>1840</v>
      </c>
      <c r="H5" s="118">
        <f>'BD Team'!I10</f>
        <v>1690</v>
      </c>
      <c r="I5" s="118">
        <f>'BD Team'!J10</f>
        <v>1</v>
      </c>
      <c r="J5" s="103">
        <f t="shared" si="0"/>
        <v>33.471734399999995</v>
      </c>
      <c r="K5" s="172">
        <f>'BD Team'!K10</f>
        <v>434.04</v>
      </c>
      <c r="L5" s="171">
        <f t="shared" ref="L5:L53" si="1">K5*I5</f>
        <v>434.04</v>
      </c>
      <c r="M5" s="170">
        <f>L5*'Changable Values'!$D$4</f>
        <v>36025.32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23.533333333333335</v>
      </c>
      <c r="U5" s="313">
        <f t="shared" ref="U5:U68" si="3">SUM(G5:H5)*I5*2*4/1000</f>
        <v>28.24</v>
      </c>
      <c r="V5" s="313">
        <f t="shared" ref="V5:V68" si="4">SUM(G5:H5)*I5*5*5*4/(1000*240)</f>
        <v>1.4708333333333334</v>
      </c>
      <c r="W5" s="313">
        <f t="shared" ref="W5:W68" si="5">T5</f>
        <v>23.533333333333335</v>
      </c>
      <c r="X5" s="313">
        <f t="shared" ref="X5:X68" si="6">W5*2</f>
        <v>47.06666666666667</v>
      </c>
      <c r="Y5" s="313">
        <f t="shared" ref="Y5:Y68" si="7">SUM(G5:H5)*I5*4/1000</f>
        <v>14.12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M14600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OFFICE</v>
      </c>
      <c r="G6" s="118">
        <f>'BD Team'!H11</f>
        <v>1981</v>
      </c>
      <c r="H6" s="118">
        <f>'BD Team'!I11</f>
        <v>830</v>
      </c>
      <c r="I6" s="118">
        <f>'BD Team'!J11</f>
        <v>1</v>
      </c>
      <c r="J6" s="103">
        <f t="shared" si="0"/>
        <v>17.69849172</v>
      </c>
      <c r="K6" s="172">
        <f>'BD Team'!K11</f>
        <v>294.02</v>
      </c>
      <c r="L6" s="171">
        <f t="shared" si="1"/>
        <v>294.02</v>
      </c>
      <c r="M6" s="170">
        <f>L6*'Changable Values'!$D$4</f>
        <v>24403.66</v>
      </c>
      <c r="N6" s="170" t="str">
        <f>'BD Team'!E11</f>
        <v>24MM</v>
      </c>
      <c r="O6" s="172">
        <v>2805</v>
      </c>
      <c r="P6" s="241"/>
      <c r="Q6" s="173">
        <f>50*10.764</f>
        <v>538.19999999999993</v>
      </c>
      <c r="R6" s="185"/>
      <c r="S6" s="312"/>
      <c r="T6" s="313">
        <f t="shared" si="2"/>
        <v>18.739999999999998</v>
      </c>
      <c r="U6" s="313">
        <f t="shared" si="3"/>
        <v>22.488</v>
      </c>
      <c r="V6" s="313">
        <f t="shared" si="4"/>
        <v>1.1712499999999999</v>
      </c>
      <c r="W6" s="313">
        <f t="shared" si="5"/>
        <v>18.739999999999998</v>
      </c>
      <c r="X6" s="313">
        <f t="shared" si="6"/>
        <v>37.479999999999997</v>
      </c>
      <c r="Y6" s="313">
        <f t="shared" si="7"/>
        <v>11.244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LIVING</v>
      </c>
      <c r="G7" s="118">
        <f>'BD Team'!H12</f>
        <v>2529</v>
      </c>
      <c r="H7" s="118">
        <f>'BD Team'!I12</f>
        <v>2488</v>
      </c>
      <c r="I7" s="118">
        <f>'BD Team'!J12</f>
        <v>1</v>
      </c>
      <c r="J7" s="103">
        <f t="shared" si="0"/>
        <v>67.728724127999996</v>
      </c>
      <c r="K7" s="172">
        <f>'BD Team'!K12</f>
        <v>561.32000000000005</v>
      </c>
      <c r="L7" s="171">
        <f t="shared" si="1"/>
        <v>561.32000000000005</v>
      </c>
      <c r="M7" s="170">
        <f>L7*'Changable Values'!$D$4</f>
        <v>46589.560000000005</v>
      </c>
      <c r="N7" s="170" t="str">
        <f>'BD Team'!E12</f>
        <v>24MM</v>
      </c>
      <c r="O7" s="172">
        <v>2805</v>
      </c>
      <c r="P7" s="241"/>
      <c r="Q7" s="173">
        <f>50*10.764</f>
        <v>538.19999999999993</v>
      </c>
      <c r="R7" s="185"/>
      <c r="S7" s="312"/>
      <c r="T7" s="313">
        <f t="shared" si="2"/>
        <v>33.446666666666665</v>
      </c>
      <c r="U7" s="313">
        <f t="shared" si="3"/>
        <v>40.136000000000003</v>
      </c>
      <c r="V7" s="313">
        <f t="shared" si="4"/>
        <v>2.0904166666666666</v>
      </c>
      <c r="W7" s="313">
        <f t="shared" si="5"/>
        <v>33.446666666666665</v>
      </c>
      <c r="X7" s="313">
        <f t="shared" si="6"/>
        <v>66.893333333333331</v>
      </c>
      <c r="Y7" s="313">
        <f t="shared" si="7"/>
        <v>20.068000000000001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SIDE HUNG WINDOW</v>
      </c>
      <c r="E8" s="118" t="str">
        <f>'BD Team'!F13</f>
        <v>NO</v>
      </c>
      <c r="F8" s="121" t="str">
        <f>'BD Team'!G13</f>
        <v>MASTER BEDROOM</v>
      </c>
      <c r="G8" s="118">
        <f>'BD Team'!H13</f>
        <v>459</v>
      </c>
      <c r="H8" s="118">
        <f>'BD Team'!I13</f>
        <v>1373</v>
      </c>
      <c r="I8" s="118">
        <f>'BD Team'!J13</f>
        <v>1</v>
      </c>
      <c r="J8" s="103">
        <f t="shared" si="0"/>
        <v>6.7835481480000004</v>
      </c>
      <c r="K8" s="172">
        <f>'BD Team'!K13</f>
        <v>569.11</v>
      </c>
      <c r="L8" s="171">
        <f t="shared" si="1"/>
        <v>569.11</v>
      </c>
      <c r="M8" s="170">
        <f>L8*'Changable Values'!$D$4</f>
        <v>47236.130000000005</v>
      </c>
      <c r="N8" s="170" t="str">
        <f>'BD Team'!E13</f>
        <v>6MM</v>
      </c>
      <c r="O8" s="172">
        <v>1002</v>
      </c>
      <c r="P8" s="241"/>
      <c r="Q8" s="173"/>
      <c r="R8" s="185"/>
      <c r="S8" s="312"/>
      <c r="T8" s="313">
        <f t="shared" si="2"/>
        <v>12.213333333333333</v>
      </c>
      <c r="U8" s="313">
        <f t="shared" si="3"/>
        <v>14.656000000000001</v>
      </c>
      <c r="V8" s="313">
        <f t="shared" si="4"/>
        <v>0.76333333333333331</v>
      </c>
      <c r="W8" s="313">
        <f t="shared" si="5"/>
        <v>12.213333333333333</v>
      </c>
      <c r="X8" s="313">
        <f t="shared" si="6"/>
        <v>24.426666666666666</v>
      </c>
      <c r="Y8" s="313">
        <f t="shared" si="7"/>
        <v>7.3280000000000003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2125.61</v>
      </c>
      <c r="L104" s="168">
        <f>SUM(L4:L103)</f>
        <v>2125.61</v>
      </c>
      <c r="M104" s="168">
        <f>SUM(M4:M103)</f>
        <v>176425.63</v>
      </c>
      <c r="T104" s="314">
        <f t="shared" ref="T104:Y104" si="16">SUM(T4:T103)</f>
        <v>104.03333333333333</v>
      </c>
      <c r="U104" s="314">
        <f t="shared" si="16"/>
        <v>124.84</v>
      </c>
      <c r="V104" s="314">
        <f t="shared" si="16"/>
        <v>6.5020833333333332</v>
      </c>
      <c r="W104" s="314">
        <f t="shared" si="16"/>
        <v>104.03333333333333</v>
      </c>
      <c r="X104" s="314">
        <f t="shared" si="16"/>
        <v>208.06666666666666</v>
      </c>
      <c r="Y104" s="314">
        <f t="shared" si="16"/>
        <v>62.42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150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24MM</v>
      </c>
      <c r="F8" s="68">
        <f>Pricing!G4</f>
        <v>1728</v>
      </c>
      <c r="G8" s="68">
        <f>Pricing!H4</f>
        <v>687</v>
      </c>
      <c r="H8" s="100">
        <f t="shared" ref="H8:H57" si="0">(F8*G8)/1000000</f>
        <v>1.187136</v>
      </c>
      <c r="I8" s="70">
        <f>Pricing!I4</f>
        <v>1</v>
      </c>
      <c r="J8" s="69">
        <f t="shared" ref="J8" si="1">H8*I8</f>
        <v>1.187136</v>
      </c>
      <c r="K8" s="71">
        <f t="shared" ref="K8" si="2">J8*10.764</f>
        <v>12.778331903999998</v>
      </c>
      <c r="L8" s="69"/>
      <c r="M8" s="72"/>
      <c r="N8" s="72"/>
      <c r="O8" s="72">
        <f t="shared" ref="O8:O35" si="3">N8*M8*L8/1000000</f>
        <v>0</v>
      </c>
      <c r="P8" s="73">
        <f>Pricing!M4</f>
        <v>22170.959999999999</v>
      </c>
      <c r="Q8" s="74">
        <f t="shared" ref="Q8:Q56" si="4">P8*$Q$6</f>
        <v>2217.096</v>
      </c>
      <c r="R8" s="74">
        <f t="shared" ref="R8:R56" si="5">(P8+Q8)*$R$6</f>
        <v>2682.6861600000002</v>
      </c>
      <c r="S8" s="74">
        <f t="shared" ref="S8:S56" si="6">(P8+Q8+R8)*$S$6</f>
        <v>135.35371080000002</v>
      </c>
      <c r="T8" s="74">
        <f t="shared" ref="T8:T56" si="7">(P8+Q8+R8+S8)*$T$6</f>
        <v>272.06095870799999</v>
      </c>
      <c r="U8" s="72">
        <f t="shared" ref="U8:U56" si="8">SUM(P8:T8)</f>
        <v>27478.156829508</v>
      </c>
      <c r="V8" s="74">
        <f t="shared" ref="V8:V56" si="9">U8*$V$6</f>
        <v>412.17235244261997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3329.9164799999999</v>
      </c>
      <c r="AE8" s="76">
        <f>((((F8+G8)*2)/305)*I8*$AE$7)</f>
        <v>395.90163934426232</v>
      </c>
      <c r="AF8" s="342">
        <f>(((((F8*4)+(G8*4))/1000)*$AF$6*$AG$6)/300)*I8*$AF$7</f>
        <v>173.88</v>
      </c>
      <c r="AG8" s="343"/>
      <c r="AH8" s="76">
        <f>(((F8+G8))*I8/1000)*8*$AH$7</f>
        <v>14.49</v>
      </c>
      <c r="AI8" s="76">
        <f t="shared" ref="AI8:AI57" si="15">(((F8+G8)*2*I8)/1000)*2*$AI$7</f>
        <v>48.3</v>
      </c>
      <c r="AJ8" s="76">
        <f>J8*Pricing!Q4</f>
        <v>638.91659519999985</v>
      </c>
      <c r="AK8" s="76">
        <f>J8*Pricing!R4</f>
        <v>0</v>
      </c>
      <c r="AL8" s="76">
        <f t="shared" ref="AL8:AL39" si="16">J8*$AL$6</f>
        <v>1277.8331903999997</v>
      </c>
      <c r="AM8" s="77">
        <f t="shared" ref="AM8:AM39" si="17">$AM$6*J8</f>
        <v>0</v>
      </c>
      <c r="AN8" s="76">
        <f t="shared" ref="AN8:AN39" si="18">$AN$6*J8</f>
        <v>1022.2665523199998</v>
      </c>
      <c r="AO8" s="72">
        <f t="shared" ref="AO8:AO39" si="19">SUM(U8:V8)+SUM(AC8:AI8)-AD8</f>
        <v>28522.900821294883</v>
      </c>
      <c r="AP8" s="74">
        <f t="shared" ref="AP8:AP39" si="20">AO8*$AP$6</f>
        <v>35653.6260266186</v>
      </c>
      <c r="AQ8" s="74">
        <f t="shared" ref="AQ8:AQ56" si="21">(AO8+AP8)*$AQ$6</f>
        <v>0</v>
      </c>
      <c r="AR8" s="74">
        <f t="shared" ref="AR8:AR39" si="22">SUM(AO8:AQ8)/J8</f>
        <v>54059.961830753586</v>
      </c>
      <c r="AS8" s="72">
        <f t="shared" ref="AS8:AS39" si="23">SUM(AJ8:AQ8)+AD8+AB8</f>
        <v>70445.459665833478</v>
      </c>
      <c r="AT8" s="72">
        <f t="shared" ref="AT8:AT39" si="24">AS8/J8</f>
        <v>59340.68183075358</v>
      </c>
      <c r="AU8" s="78">
        <f t="shared" ref="AU8:AU56" si="25">AT8/10.764</f>
        <v>5512.8838564431053</v>
      </c>
      <c r="AV8" s="79">
        <f t="shared" ref="AV8:AV39" si="26">K8/$K$109</f>
        <v>9.2288424649147868E-2</v>
      </c>
      <c r="AW8" s="80">
        <f t="shared" ref="AW8:AW39" si="27">(U8+V8)/(J8*10.764)</f>
        <v>2182.6267615744209</v>
      </c>
      <c r="AX8" s="81">
        <f t="shared" ref="AX8:AX39" si="28">SUM(W8:AN8,AP8)/(J8*10.764)</f>
        <v>3330.2570948686848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 WITH FIXED</v>
      </c>
      <c r="D9" s="131" t="str">
        <f>Pricing!B5</f>
        <v>W2</v>
      </c>
      <c r="E9" s="132" t="str">
        <f>Pricing!N5</f>
        <v>24MM</v>
      </c>
      <c r="F9" s="68">
        <f>Pricing!G5</f>
        <v>1840</v>
      </c>
      <c r="G9" s="68">
        <f>Pricing!H5</f>
        <v>1690</v>
      </c>
      <c r="H9" s="100">
        <f t="shared" si="0"/>
        <v>3.1095999999999999</v>
      </c>
      <c r="I9" s="70">
        <f>Pricing!I5</f>
        <v>1</v>
      </c>
      <c r="J9" s="69">
        <f t="shared" ref="J9:J58" si="30">H9*I9</f>
        <v>3.1095999999999999</v>
      </c>
      <c r="K9" s="71">
        <f t="shared" ref="K9:K58" si="31">J9*10.764</f>
        <v>33.471734399999995</v>
      </c>
      <c r="L9" s="69"/>
      <c r="M9" s="72"/>
      <c r="N9" s="72"/>
      <c r="O9" s="72">
        <f t="shared" si="3"/>
        <v>0</v>
      </c>
      <c r="P9" s="73">
        <f>Pricing!M5</f>
        <v>36025.32</v>
      </c>
      <c r="Q9" s="74">
        <f t="shared" ref="Q9:Q14" si="32">P9*$Q$6</f>
        <v>3602.5320000000002</v>
      </c>
      <c r="R9" s="74">
        <f t="shared" ref="R9:R14" si="33">(P9+Q9)*$R$6</f>
        <v>4359.0637200000001</v>
      </c>
      <c r="S9" s="74">
        <f t="shared" ref="S9:S14" si="34">(P9+Q9+R9)*$S$6</f>
        <v>219.93457859999998</v>
      </c>
      <c r="T9" s="74">
        <f t="shared" ref="T9:T14" si="35">(P9+Q9+R9+S9)*$T$6</f>
        <v>442.06850298599994</v>
      </c>
      <c r="U9" s="72">
        <f t="shared" ref="U9:U14" si="36">SUM(P9:T9)</f>
        <v>44648.918801585998</v>
      </c>
      <c r="V9" s="74">
        <f t="shared" ref="V9:V14" si="37">U9*$V$6</f>
        <v>669.7337820237899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8722.4279999999999</v>
      </c>
      <c r="AE9" s="76">
        <f t="shared" ref="AE9:AE57" si="43">((((F9+G9)*2)/305)*I9*$AE$7)</f>
        <v>578.68852459016398</v>
      </c>
      <c r="AF9" s="342">
        <f t="shared" ref="AF9:AF57" si="44">(((((F9*4)+(G9*4))/1000)*$AF$6*$AG$6)/300)*I9*$AF$7</f>
        <v>254.16</v>
      </c>
      <c r="AG9" s="343"/>
      <c r="AH9" s="76">
        <f t="shared" ref="AH9:AH72" si="45">(((F9+G9))*I9/1000)*8*$AH$7</f>
        <v>21.18</v>
      </c>
      <c r="AI9" s="76">
        <f t="shared" si="15"/>
        <v>70.599999999999994</v>
      </c>
      <c r="AJ9" s="76">
        <f>J9*Pricing!Q5</f>
        <v>0</v>
      </c>
      <c r="AK9" s="76">
        <f>J9*Pricing!R5</f>
        <v>0</v>
      </c>
      <c r="AL9" s="76">
        <f t="shared" si="16"/>
        <v>3347.1734399999996</v>
      </c>
      <c r="AM9" s="77">
        <f t="shared" si="17"/>
        <v>0</v>
      </c>
      <c r="AN9" s="76">
        <f t="shared" si="18"/>
        <v>2677.7387519999997</v>
      </c>
      <c r="AO9" s="72">
        <f t="shared" si="19"/>
        <v>46243.281108199953</v>
      </c>
      <c r="AP9" s="74">
        <f t="shared" si="20"/>
        <v>57804.101385249945</v>
      </c>
      <c r="AQ9" s="74">
        <f t="shared" ref="AQ9:AQ14" si="46">(AO9+AP9)*$AQ$6</f>
        <v>0</v>
      </c>
      <c r="AR9" s="74">
        <f t="shared" si="22"/>
        <v>33460.053541757748</v>
      </c>
      <c r="AS9" s="72">
        <f t="shared" si="23"/>
        <v>118794.7226854499</v>
      </c>
      <c r="AT9" s="72">
        <f t="shared" si="24"/>
        <v>38202.573541757753</v>
      </c>
      <c r="AU9" s="78">
        <f t="shared" ref="AU9:AU14" si="47">AT9/10.764</f>
        <v>3549.1056802078924</v>
      </c>
      <c r="AV9" s="79">
        <f t="shared" si="26"/>
        <v>0.24174154038710832</v>
      </c>
      <c r="AW9" s="80">
        <f t="shared" si="27"/>
        <v>1353.9379836740636</v>
      </c>
      <c r="AX9" s="81">
        <f t="shared" si="28"/>
        <v>2195.1676965338293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24MM</v>
      </c>
      <c r="F10" s="68">
        <f>Pricing!G6</f>
        <v>1981</v>
      </c>
      <c r="G10" s="68">
        <f>Pricing!H6</f>
        <v>830</v>
      </c>
      <c r="H10" s="100">
        <f t="shared" si="0"/>
        <v>1.6442300000000001</v>
      </c>
      <c r="I10" s="70">
        <f>Pricing!I6</f>
        <v>1</v>
      </c>
      <c r="J10" s="69">
        <f t="shared" si="30"/>
        <v>1.6442300000000001</v>
      </c>
      <c r="K10" s="71">
        <f t="shared" si="31"/>
        <v>17.69849172</v>
      </c>
      <c r="L10" s="69"/>
      <c r="M10" s="72"/>
      <c r="N10" s="72"/>
      <c r="O10" s="72">
        <f t="shared" si="3"/>
        <v>0</v>
      </c>
      <c r="P10" s="73">
        <f>Pricing!M6</f>
        <v>24403.66</v>
      </c>
      <c r="Q10" s="74">
        <f t="shared" si="32"/>
        <v>2440.366</v>
      </c>
      <c r="R10" s="74">
        <f t="shared" si="33"/>
        <v>2952.8428599999997</v>
      </c>
      <c r="S10" s="74">
        <f t="shared" si="34"/>
        <v>148.9843443</v>
      </c>
      <c r="T10" s="74">
        <f t="shared" si="35"/>
        <v>299.45853204299999</v>
      </c>
      <c r="U10" s="72">
        <f t="shared" si="36"/>
        <v>30245.311736342999</v>
      </c>
      <c r="V10" s="74">
        <f t="shared" si="37"/>
        <v>453.67967604514496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4612.0651500000004</v>
      </c>
      <c r="AE10" s="76">
        <f t="shared" si="43"/>
        <v>460.81967213114757</v>
      </c>
      <c r="AF10" s="342">
        <f t="shared" si="44"/>
        <v>202.392</v>
      </c>
      <c r="AG10" s="343"/>
      <c r="AH10" s="76">
        <f t="shared" si="45"/>
        <v>16.866</v>
      </c>
      <c r="AI10" s="76">
        <f t="shared" si="15"/>
        <v>56.22</v>
      </c>
      <c r="AJ10" s="76">
        <f>J10*Pricing!Q6</f>
        <v>884.92458599999998</v>
      </c>
      <c r="AK10" s="76">
        <f>J10*Pricing!R6</f>
        <v>0</v>
      </c>
      <c r="AL10" s="76">
        <f t="shared" si="16"/>
        <v>1769.849172</v>
      </c>
      <c r="AM10" s="77">
        <f t="shared" si="17"/>
        <v>0</v>
      </c>
      <c r="AN10" s="76">
        <f t="shared" si="18"/>
        <v>1415.8793375999999</v>
      </c>
      <c r="AO10" s="72">
        <f t="shared" si="19"/>
        <v>31435.289084519289</v>
      </c>
      <c r="AP10" s="74">
        <f t="shared" si="20"/>
        <v>39294.111355649111</v>
      </c>
      <c r="AQ10" s="74">
        <f t="shared" si="46"/>
        <v>0</v>
      </c>
      <c r="AR10" s="74">
        <f t="shared" si="22"/>
        <v>43016.731503602532</v>
      </c>
      <c r="AS10" s="72">
        <f t="shared" si="23"/>
        <v>79412.118685768393</v>
      </c>
      <c r="AT10" s="72">
        <f t="shared" si="24"/>
        <v>48297.451503602533</v>
      </c>
      <c r="AU10" s="78">
        <f t="shared" si="47"/>
        <v>4486.9427260871926</v>
      </c>
      <c r="AV10" s="79">
        <f t="shared" si="26"/>
        <v>0.12782309395121405</v>
      </c>
      <c r="AW10" s="80">
        <f t="shared" si="27"/>
        <v>1734.5541020140752</v>
      </c>
      <c r="AX10" s="81">
        <f t="shared" si="28"/>
        <v>2752.3886240731176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W4</v>
      </c>
      <c r="E11" s="132" t="str">
        <f>Pricing!N7</f>
        <v>24MM</v>
      </c>
      <c r="F11" s="68">
        <f>Pricing!G7</f>
        <v>2529</v>
      </c>
      <c r="G11" s="68">
        <f>Pricing!H7</f>
        <v>2488</v>
      </c>
      <c r="H11" s="100">
        <f t="shared" si="0"/>
        <v>6.2921519999999997</v>
      </c>
      <c r="I11" s="70">
        <f>Pricing!I7</f>
        <v>1</v>
      </c>
      <c r="J11" s="69">
        <f t="shared" si="30"/>
        <v>6.2921519999999997</v>
      </c>
      <c r="K11" s="71">
        <f t="shared" si="31"/>
        <v>67.728724127999996</v>
      </c>
      <c r="L11" s="69"/>
      <c r="M11" s="72"/>
      <c r="N11" s="72"/>
      <c r="O11" s="72">
        <f t="shared" si="3"/>
        <v>0</v>
      </c>
      <c r="P11" s="73">
        <f>Pricing!M7</f>
        <v>46589.560000000005</v>
      </c>
      <c r="Q11" s="74">
        <f t="shared" si="32"/>
        <v>4658.956000000001</v>
      </c>
      <c r="R11" s="74">
        <f t="shared" si="33"/>
        <v>5637.3367600000001</v>
      </c>
      <c r="S11" s="74">
        <f t="shared" si="34"/>
        <v>284.4292638</v>
      </c>
      <c r="T11" s="74">
        <f t="shared" si="35"/>
        <v>571.70282023799996</v>
      </c>
      <c r="U11" s="72">
        <f t="shared" si="36"/>
        <v>57741.984844038001</v>
      </c>
      <c r="V11" s="74">
        <f t="shared" si="37"/>
        <v>866.12977266056998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17649.486359999999</v>
      </c>
      <c r="AE11" s="76">
        <f t="shared" si="43"/>
        <v>822.45901639344265</v>
      </c>
      <c r="AF11" s="342">
        <f t="shared" si="44"/>
        <v>361.2240000000001</v>
      </c>
      <c r="AG11" s="343"/>
      <c r="AH11" s="76">
        <f t="shared" si="45"/>
        <v>30.102000000000004</v>
      </c>
      <c r="AI11" s="76">
        <f t="shared" si="15"/>
        <v>100.34</v>
      </c>
      <c r="AJ11" s="76">
        <f>J11*Pricing!Q7</f>
        <v>3386.4362063999993</v>
      </c>
      <c r="AK11" s="76">
        <f>J11*Pricing!R7</f>
        <v>0</v>
      </c>
      <c r="AL11" s="76">
        <f t="shared" si="16"/>
        <v>6772.8724127999985</v>
      </c>
      <c r="AM11" s="77">
        <f t="shared" si="17"/>
        <v>0</v>
      </c>
      <c r="AN11" s="76">
        <f t="shared" si="18"/>
        <v>5418.297930239999</v>
      </c>
      <c r="AO11" s="72">
        <f t="shared" si="19"/>
        <v>59922.239633092016</v>
      </c>
      <c r="AP11" s="74">
        <f t="shared" si="20"/>
        <v>74902.799541365021</v>
      </c>
      <c r="AQ11" s="74">
        <f t="shared" si="46"/>
        <v>0</v>
      </c>
      <c r="AR11" s="74">
        <f t="shared" si="22"/>
        <v>21427.492402354081</v>
      </c>
      <c r="AS11" s="72">
        <f t="shared" si="23"/>
        <v>168052.13208389704</v>
      </c>
      <c r="AT11" s="72">
        <f t="shared" si="24"/>
        <v>26708.212402354082</v>
      </c>
      <c r="AU11" s="78">
        <f t="shared" si="47"/>
        <v>2481.2534747634786</v>
      </c>
      <c r="AV11" s="79">
        <f t="shared" si="26"/>
        <v>0.48915439826016999</v>
      </c>
      <c r="AW11" s="80">
        <f t="shared" si="27"/>
        <v>865.33616823986745</v>
      </c>
      <c r="AX11" s="81">
        <f t="shared" si="28"/>
        <v>1615.9173065236109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WINDOW</v>
      </c>
      <c r="D12" s="131" t="str">
        <f>Pricing!B8</f>
        <v>W5</v>
      </c>
      <c r="E12" s="132" t="str">
        <f>Pricing!N8</f>
        <v>6MM</v>
      </c>
      <c r="F12" s="68">
        <f>Pricing!G8</f>
        <v>459</v>
      </c>
      <c r="G12" s="68">
        <f>Pricing!H8</f>
        <v>1373</v>
      </c>
      <c r="H12" s="100">
        <f t="shared" si="0"/>
        <v>0.63020699999999996</v>
      </c>
      <c r="I12" s="70">
        <f>Pricing!I8</f>
        <v>1</v>
      </c>
      <c r="J12" s="69">
        <f t="shared" si="30"/>
        <v>0.63020699999999996</v>
      </c>
      <c r="K12" s="71">
        <f t="shared" si="31"/>
        <v>6.7835481479999995</v>
      </c>
      <c r="L12" s="69"/>
      <c r="M12" s="72"/>
      <c r="N12" s="72"/>
      <c r="O12" s="72">
        <f t="shared" si="3"/>
        <v>0</v>
      </c>
      <c r="P12" s="73">
        <f>Pricing!M8</f>
        <v>47236.130000000005</v>
      </c>
      <c r="Q12" s="74">
        <f t="shared" si="32"/>
        <v>4723.6130000000003</v>
      </c>
      <c r="R12" s="74">
        <f t="shared" si="33"/>
        <v>5715.5717300000006</v>
      </c>
      <c r="S12" s="74">
        <f t="shared" si="34"/>
        <v>288.37657365000001</v>
      </c>
      <c r="T12" s="74">
        <f t="shared" si="35"/>
        <v>579.6369130365</v>
      </c>
      <c r="U12" s="72">
        <f t="shared" si="36"/>
        <v>58543.328216686503</v>
      </c>
      <c r="V12" s="74">
        <f t="shared" si="37"/>
        <v>878.14992325029755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631.46741399999996</v>
      </c>
      <c r="AE12" s="76">
        <f t="shared" si="43"/>
        <v>300.32786885245901</v>
      </c>
      <c r="AF12" s="342">
        <f t="shared" si="44"/>
        <v>131.904</v>
      </c>
      <c r="AG12" s="343"/>
      <c r="AH12" s="76">
        <f t="shared" si="45"/>
        <v>10.992000000000001</v>
      </c>
      <c r="AI12" s="76">
        <f t="shared" si="15"/>
        <v>36.64</v>
      </c>
      <c r="AJ12" s="76">
        <f>J12*Pricing!Q8</f>
        <v>0</v>
      </c>
      <c r="AK12" s="76">
        <f>J12*Pricing!R8</f>
        <v>0</v>
      </c>
      <c r="AL12" s="76">
        <f t="shared" si="16"/>
        <v>678.35481479999987</v>
      </c>
      <c r="AM12" s="77">
        <f t="shared" si="17"/>
        <v>0</v>
      </c>
      <c r="AN12" s="76">
        <f t="shared" si="18"/>
        <v>542.68385183999987</v>
      </c>
      <c r="AO12" s="72">
        <f t="shared" si="19"/>
        <v>59901.342008789259</v>
      </c>
      <c r="AP12" s="74">
        <f t="shared" si="20"/>
        <v>74876.67751098657</v>
      </c>
      <c r="AQ12" s="74">
        <f t="shared" si="46"/>
        <v>0</v>
      </c>
      <c r="AR12" s="74">
        <f t="shared" si="22"/>
        <v>213863.09501445686</v>
      </c>
      <c r="AS12" s="72">
        <f t="shared" si="23"/>
        <v>136630.52560041583</v>
      </c>
      <c r="AT12" s="72">
        <f t="shared" si="24"/>
        <v>216802.61501445691</v>
      </c>
      <c r="AU12" s="78">
        <f t="shared" si="47"/>
        <v>20141.454386330075</v>
      </c>
      <c r="AV12" s="79">
        <f t="shared" si="26"/>
        <v>4.8992542752359917E-2</v>
      </c>
      <c r="AW12" s="80">
        <f t="shared" si="27"/>
        <v>8759.6456667674865</v>
      </c>
      <c r="AX12" s="81">
        <f t="shared" si="28"/>
        <v>11381.808719562587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12.863325000000001</v>
      </c>
      <c r="I109" s="87">
        <f>SUM(I8:I108)</f>
        <v>5</v>
      </c>
      <c r="J109" s="88">
        <f>SUM(J8:J108)</f>
        <v>12.863325000000001</v>
      </c>
      <c r="K109" s="89">
        <f>SUM(K8:K108)</f>
        <v>138.46083029999997</v>
      </c>
      <c r="L109" s="88">
        <f>SUM(L8:L8)</f>
        <v>0</v>
      </c>
      <c r="M109" s="88"/>
      <c r="N109" s="88"/>
      <c r="O109" s="88"/>
      <c r="P109" s="87">
        <f>SUM(P8:P108)</f>
        <v>176425.63</v>
      </c>
      <c r="Q109" s="88">
        <f t="shared" ref="Q109:AE109" si="156">SUM(Q8:Q108)</f>
        <v>17642.563000000002</v>
      </c>
      <c r="R109" s="88">
        <f t="shared" si="156"/>
        <v>21347.501230000002</v>
      </c>
      <c r="S109" s="88">
        <f t="shared" si="156"/>
        <v>1077.07847115</v>
      </c>
      <c r="T109" s="88">
        <f t="shared" si="156"/>
        <v>2164.9277270114999</v>
      </c>
      <c r="U109" s="88">
        <f t="shared" si="156"/>
        <v>218657.70042816148</v>
      </c>
      <c r="V109" s="88">
        <f t="shared" si="156"/>
        <v>3279.8655064224222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34945.363404000003</v>
      </c>
      <c r="AE109" s="88">
        <f t="shared" si="156"/>
        <v>2558.1967213114758</v>
      </c>
      <c r="AF109" s="353">
        <f>SUM(AF8:AG108)</f>
        <v>1123.5600000000002</v>
      </c>
      <c r="AG109" s="354"/>
      <c r="AH109" s="88">
        <f t="shared" ref="AH109:AQ109" si="157">SUM(AH8:AH108)</f>
        <v>93.63000000000001</v>
      </c>
      <c r="AI109" s="88">
        <f t="shared" si="157"/>
        <v>312.10000000000002</v>
      </c>
      <c r="AJ109" s="88">
        <f t="shared" ref="AJ109" si="158">SUM(AJ8:AJ108)</f>
        <v>4910.2773875999992</v>
      </c>
      <c r="AK109" s="88">
        <f t="shared" si="157"/>
        <v>0</v>
      </c>
      <c r="AL109" s="88">
        <f t="shared" si="157"/>
        <v>13846.083029999996</v>
      </c>
      <c r="AM109" s="88">
        <f t="shared" si="157"/>
        <v>0</v>
      </c>
      <c r="AN109" s="88">
        <f t="shared" si="157"/>
        <v>11076.866424</v>
      </c>
      <c r="AO109" s="88">
        <f t="shared" si="157"/>
        <v>226025.05265589542</v>
      </c>
      <c r="AP109" s="88">
        <f t="shared" si="157"/>
        <v>282531.31581986923</v>
      </c>
      <c r="AQ109" s="88">
        <f t="shared" si="157"/>
        <v>0</v>
      </c>
      <c r="AR109" s="88"/>
      <c r="AS109" s="87">
        <f>SUM(AS8:AS108)</f>
        <v>573334.95872136462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1123.5600000000002</v>
      </c>
      <c r="AW110" s="84"/>
    </row>
    <row r="111" spans="2:54">
      <c r="AF111" s="174"/>
      <c r="AG111" s="174"/>
      <c r="AH111" s="174">
        <f>SUM(AE109:AI109,AC109)</f>
        <v>4087.4867213114762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6" sqref="O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ABPL-DE-19.20-2130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Rajpushpa (Villa 11)</v>
      </c>
      <c r="G7" s="434"/>
      <c r="H7" s="434"/>
      <c r="I7" s="434"/>
      <c r="J7" s="435"/>
      <c r="K7" s="501" t="s">
        <v>104</v>
      </c>
      <c r="L7" s="494"/>
      <c r="M7" s="499">
        <f>'BD Team'!J3</f>
        <v>43673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Hyderabad</v>
      </c>
      <c r="G8" s="485" t="s">
        <v>180</v>
      </c>
      <c r="H8" s="486"/>
      <c r="I8" s="434" t="str">
        <f>'BD Team'!G3</f>
        <v>1Kpa</v>
      </c>
      <c r="J8" s="435"/>
      <c r="K8" s="501" t="s">
        <v>105</v>
      </c>
      <c r="L8" s="494"/>
      <c r="M8" s="178" t="s">
        <v>365</v>
      </c>
      <c r="N8" s="179">
        <v>43673</v>
      </c>
    </row>
    <row r="9" spans="2:15" ht="24.95" customHeight="1">
      <c r="B9" s="493" t="s">
        <v>169</v>
      </c>
      <c r="C9" s="494"/>
      <c r="D9" s="494"/>
      <c r="E9" s="494"/>
      <c r="F9" s="434" t="str">
        <f>'BD Team'!E4</f>
        <v>Mr. Bramhanandam : 9963925599</v>
      </c>
      <c r="G9" s="434"/>
      <c r="H9" s="434"/>
      <c r="I9" s="434"/>
      <c r="J9" s="435"/>
      <c r="K9" s="501" t="s">
        <v>179</v>
      </c>
      <c r="L9" s="494"/>
      <c r="M9" s="475" t="str">
        <f>'BD Team'!J4</f>
        <v>Mahesh</v>
      </c>
      <c r="N9" s="476"/>
    </row>
    <row r="10" spans="2:15" ht="27.75" customHeight="1" thickBot="1">
      <c r="B10" s="495" t="s">
        <v>177</v>
      </c>
      <c r="C10" s="496"/>
      <c r="D10" s="496"/>
      <c r="E10" s="496"/>
      <c r="F10" s="217" t="str">
        <f>'BD Team'!E5</f>
        <v>White Powder Coating</v>
      </c>
      <c r="G10" s="505" t="s">
        <v>178</v>
      </c>
      <c r="H10" s="506"/>
      <c r="I10" s="503" t="str">
        <f>'BD Team'!G5</f>
        <v>Silver</v>
      </c>
      <c r="J10" s="504"/>
      <c r="K10" s="502" t="s">
        <v>375</v>
      </c>
      <c r="L10" s="496"/>
      <c r="M10" s="497" t="str">
        <f>'BD Team'!J5</f>
        <v>Ar. Rajesh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170</v>
      </c>
      <c r="C13" s="488"/>
      <c r="D13" s="491" t="s">
        <v>171</v>
      </c>
      <c r="E13" s="491" t="s">
        <v>172</v>
      </c>
      <c r="F13" s="491" t="s">
        <v>37</v>
      </c>
      <c r="G13" s="489" t="s">
        <v>63</v>
      </c>
      <c r="H13" s="489" t="s">
        <v>210</v>
      </c>
      <c r="I13" s="489" t="s">
        <v>209</v>
      </c>
      <c r="J13" s="490" t="s">
        <v>173</v>
      </c>
      <c r="K13" s="490" t="s">
        <v>174</v>
      </c>
      <c r="L13" s="488" t="s">
        <v>211</v>
      </c>
      <c r="M13" s="490" t="s">
        <v>175</v>
      </c>
      <c r="N13" s="492" t="s">
        <v>176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24MM</v>
      </c>
      <c r="H16" s="187" t="str">
        <f>Pricing!F4</f>
        <v>KITCHEN</v>
      </c>
      <c r="I16" s="216" t="str">
        <f>Pricing!E4</f>
        <v>SS</v>
      </c>
      <c r="J16" s="216">
        <f>Pricing!G4</f>
        <v>1728</v>
      </c>
      <c r="K16" s="216">
        <f>Pricing!H4</f>
        <v>687</v>
      </c>
      <c r="L16" s="216">
        <f>Pricing!I4</f>
        <v>1</v>
      </c>
      <c r="M16" s="188">
        <f t="shared" ref="M16:M24" si="0">J16*K16*L16/1000000</f>
        <v>1.187136</v>
      </c>
      <c r="N16" s="189">
        <f>'Cost Calculation'!AS8</f>
        <v>70445.459665833478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W2</v>
      </c>
      <c r="E17" s="187" t="str">
        <f>Pricing!C5</f>
        <v>M14600</v>
      </c>
      <c r="F17" s="187" t="str">
        <f>Pricing!D5</f>
        <v>3 TRACK 2 SHUTTER SLIDING WINDOW WITH FIXED</v>
      </c>
      <c r="G17" s="187" t="str">
        <f>Pricing!N5</f>
        <v>24MM</v>
      </c>
      <c r="H17" s="187" t="str">
        <f>Pricing!F5</f>
        <v>DINING</v>
      </c>
      <c r="I17" s="216" t="str">
        <f>Pricing!E5</f>
        <v>NO</v>
      </c>
      <c r="J17" s="216">
        <f>Pricing!G5</f>
        <v>1840</v>
      </c>
      <c r="K17" s="216">
        <f>Pricing!H5</f>
        <v>1690</v>
      </c>
      <c r="L17" s="216">
        <f>Pricing!I5</f>
        <v>1</v>
      </c>
      <c r="M17" s="188">
        <f t="shared" si="0"/>
        <v>3.1095999999999999</v>
      </c>
      <c r="N17" s="189">
        <f>'Cost Calculation'!AS9</f>
        <v>118794.7226854499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W3</v>
      </c>
      <c r="E18" s="187" t="str">
        <f>Pricing!C6</f>
        <v>M14600</v>
      </c>
      <c r="F18" s="187" t="str">
        <f>Pricing!D6</f>
        <v>3 TRACK 2 SHUTTER SLIDING WINDOW</v>
      </c>
      <c r="G18" s="187" t="str">
        <f>Pricing!N6</f>
        <v>24MM</v>
      </c>
      <c r="H18" s="187" t="str">
        <f>Pricing!F6</f>
        <v>OFFICE</v>
      </c>
      <c r="I18" s="216" t="str">
        <f>Pricing!E6</f>
        <v>SS</v>
      </c>
      <c r="J18" s="216">
        <f>Pricing!G6</f>
        <v>1981</v>
      </c>
      <c r="K18" s="216">
        <f>Pricing!H6</f>
        <v>830</v>
      </c>
      <c r="L18" s="216">
        <f>Pricing!I6</f>
        <v>1</v>
      </c>
      <c r="M18" s="188">
        <f t="shared" si="0"/>
        <v>1.6442300000000001</v>
      </c>
      <c r="N18" s="189">
        <f>'Cost Calculation'!AS10</f>
        <v>79412.118685768393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W4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24MM</v>
      </c>
      <c r="H19" s="187" t="str">
        <f>Pricing!F7</f>
        <v>LIVING</v>
      </c>
      <c r="I19" s="216" t="str">
        <f>Pricing!E7</f>
        <v>SS</v>
      </c>
      <c r="J19" s="216">
        <f>Pricing!G7</f>
        <v>2529</v>
      </c>
      <c r="K19" s="216">
        <f>Pricing!H7</f>
        <v>2488</v>
      </c>
      <c r="L19" s="216">
        <f>Pricing!I7</f>
        <v>1</v>
      </c>
      <c r="M19" s="188">
        <f t="shared" si="0"/>
        <v>6.2921519999999997</v>
      </c>
      <c r="N19" s="189">
        <f>'Cost Calculation'!AS11</f>
        <v>168052.13208389704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W5</v>
      </c>
      <c r="E20" s="187" t="str">
        <f>Pricing!C8</f>
        <v>M15000</v>
      </c>
      <c r="F20" s="187" t="str">
        <f>Pricing!D8</f>
        <v>SIDE HUNG WINDOW</v>
      </c>
      <c r="G20" s="187" t="str">
        <f>Pricing!N8</f>
        <v>6MM</v>
      </c>
      <c r="H20" s="187" t="str">
        <f>Pricing!F8</f>
        <v>MASTER BEDROOM</v>
      </c>
      <c r="I20" s="216" t="str">
        <f>Pricing!E8</f>
        <v>NO</v>
      </c>
      <c r="J20" s="216">
        <f>Pricing!G8</f>
        <v>459</v>
      </c>
      <c r="K20" s="216">
        <f>Pricing!H8</f>
        <v>1373</v>
      </c>
      <c r="L20" s="216">
        <f>Pricing!I8</f>
        <v>1</v>
      </c>
      <c r="M20" s="188">
        <f t="shared" si="0"/>
        <v>0.63020699999999996</v>
      </c>
      <c r="N20" s="189">
        <f>'Cost Calculation'!AS12</f>
        <v>136630.52560041583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5</v>
      </c>
      <c r="M116" s="191">
        <f>SUM(M16:M115)</f>
        <v>12.863325000000001</v>
      </c>
      <c r="N116" s="186"/>
      <c r="O116" s="95"/>
    </row>
    <row r="117" spans="2:15" s="94" customFormat="1" ht="30" customHeight="1" thickTop="1" thickBot="1">
      <c r="B117" s="510" t="s">
        <v>181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573335</v>
      </c>
      <c r="O117" s="95">
        <f>N117/SUM(M116)</f>
        <v>44571.290859867098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103200</v>
      </c>
      <c r="O118" s="95">
        <f>N118/SUM(M116)</f>
        <v>8022.8090326567963</v>
      </c>
    </row>
    <row r="119" spans="2:15" s="94" customFormat="1" ht="30" customHeight="1" thickTop="1" thickBot="1">
      <c r="B119" s="510" t="s">
        <v>182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676535</v>
      </c>
      <c r="O119" s="95">
        <f>N119/SUM(M116)</f>
        <v>52594.099892523896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4140.7739557661744</v>
      </c>
    </row>
    <row r="121" spans="2:15" s="139" customFormat="1" ht="30" customHeight="1" thickTop="1">
      <c r="B121" s="479" t="s">
        <v>237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207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374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442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139" customFormat="1" ht="30" customHeight="1">
      <c r="B127" s="419" t="s">
        <v>140</v>
      </c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1"/>
      <c r="O127" s="138"/>
    </row>
    <row r="128" spans="2:15" s="93" customFormat="1" ht="24.95" customHeight="1">
      <c r="B128" s="412">
        <v>1</v>
      </c>
      <c r="C128" s="413"/>
      <c r="D128" s="414" t="s">
        <v>364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2</v>
      </c>
      <c r="C129" s="413"/>
      <c r="D129" s="414" t="s">
        <v>390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3</v>
      </c>
      <c r="C130" s="413"/>
      <c r="D130" s="439" t="s">
        <v>406</v>
      </c>
      <c r="E130" s="439"/>
      <c r="F130" s="439"/>
      <c r="G130" s="439"/>
      <c r="H130" s="439"/>
      <c r="I130" s="439"/>
      <c r="J130" s="439"/>
      <c r="K130" s="439"/>
      <c r="L130" s="439"/>
      <c r="M130" s="439"/>
      <c r="N130" s="440"/>
    </row>
    <row r="131" spans="2:14" s="93" customFormat="1" ht="24.95" customHeight="1">
      <c r="B131" s="412">
        <v>4</v>
      </c>
      <c r="C131" s="413"/>
      <c r="D131" s="439" t="s">
        <v>407</v>
      </c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</row>
    <row r="132" spans="2:14" s="139" customFormat="1" ht="30" customHeight="1">
      <c r="B132" s="416" t="s">
        <v>141</v>
      </c>
      <c r="C132" s="417"/>
      <c r="D132" s="417"/>
      <c r="E132" s="417"/>
      <c r="F132" s="417"/>
      <c r="G132" s="417"/>
      <c r="H132" s="417"/>
      <c r="I132" s="417"/>
      <c r="J132" s="417"/>
      <c r="K132" s="417"/>
      <c r="L132" s="417"/>
      <c r="M132" s="417"/>
      <c r="N132" s="418"/>
    </row>
    <row r="133" spans="2:14" s="93" customFormat="1" ht="24.95" customHeight="1">
      <c r="B133" s="412">
        <v>1</v>
      </c>
      <c r="C133" s="413"/>
      <c r="D133" s="414" t="s">
        <v>142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2</v>
      </c>
      <c r="C134" s="413"/>
      <c r="D134" s="414" t="s">
        <v>143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93" customFormat="1" ht="24.95" customHeight="1">
      <c r="B135" s="412">
        <v>3</v>
      </c>
      <c r="C135" s="413"/>
      <c r="D135" s="414" t="s">
        <v>144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139" customFormat="1" ht="30" customHeight="1">
      <c r="B136" s="416" t="s">
        <v>145</v>
      </c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8"/>
    </row>
    <row r="137" spans="2:14" s="139" customFormat="1" ht="30" customHeight="1">
      <c r="B137" s="436" t="s">
        <v>146</v>
      </c>
      <c r="C137" s="437"/>
      <c r="D137" s="437"/>
      <c r="E137" s="437"/>
      <c r="F137" s="437"/>
      <c r="G137" s="437"/>
      <c r="H137" s="437"/>
      <c r="I137" s="437"/>
      <c r="J137" s="437"/>
      <c r="K137" s="437"/>
      <c r="L137" s="437"/>
      <c r="M137" s="437"/>
      <c r="N137" s="438"/>
    </row>
    <row r="138" spans="2:14" s="93" customFormat="1" ht="24.95" customHeight="1">
      <c r="B138" s="412">
        <v>1</v>
      </c>
      <c r="C138" s="413"/>
      <c r="D138" s="414" t="s">
        <v>147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2</v>
      </c>
      <c r="C139" s="413"/>
      <c r="D139" s="414" t="s">
        <v>403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3</v>
      </c>
      <c r="C140" s="413"/>
      <c r="D140" s="414" t="s">
        <v>148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4</v>
      </c>
      <c r="C141" s="413"/>
      <c r="D141" s="414" t="s">
        <v>149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5</v>
      </c>
      <c r="C142" s="413"/>
      <c r="D142" s="414" t="s">
        <v>150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24.95" customHeight="1">
      <c r="B143" s="412">
        <v>6</v>
      </c>
      <c r="C143" s="413"/>
      <c r="D143" s="414" t="s">
        <v>151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140" customFormat="1" ht="30" customHeight="1">
      <c r="B144" s="416" t="s">
        <v>152</v>
      </c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8"/>
    </row>
    <row r="145" spans="2:14" s="93" customFormat="1" ht="24.95" customHeight="1">
      <c r="B145" s="412">
        <v>1</v>
      </c>
      <c r="C145" s="413"/>
      <c r="D145" s="414" t="s">
        <v>153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135" customHeight="1">
      <c r="B146" s="412">
        <v>2</v>
      </c>
      <c r="C146" s="413"/>
      <c r="D146" s="422" t="s">
        <v>154</v>
      </c>
      <c r="E146" s="423"/>
      <c r="F146" s="423"/>
      <c r="G146" s="423"/>
      <c r="H146" s="423"/>
      <c r="I146" s="423"/>
      <c r="J146" s="423"/>
      <c r="K146" s="423"/>
      <c r="L146" s="423"/>
      <c r="M146" s="423"/>
      <c r="N146" s="424"/>
    </row>
    <row r="147" spans="2:14" s="93" customFormat="1" ht="24.95" customHeight="1">
      <c r="B147" s="412">
        <v>3</v>
      </c>
      <c r="C147" s="413"/>
      <c r="D147" s="414" t="s">
        <v>155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24.95" customHeight="1">
      <c r="B148" s="412">
        <v>4</v>
      </c>
      <c r="C148" s="413"/>
      <c r="D148" s="414" t="s">
        <v>156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140" customFormat="1" ht="30" customHeight="1">
      <c r="B149" s="416" t="s">
        <v>157</v>
      </c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93" customFormat="1" ht="24.95" customHeight="1">
      <c r="B150" s="412">
        <v>1</v>
      </c>
      <c r="C150" s="413"/>
      <c r="D150" s="414" t="s">
        <v>158</v>
      </c>
      <c r="E150" s="414"/>
      <c r="F150" s="414"/>
      <c r="G150" s="414"/>
      <c r="H150" s="414"/>
      <c r="I150" s="414"/>
      <c r="J150" s="414"/>
      <c r="K150" s="414"/>
      <c r="L150" s="414"/>
      <c r="M150" s="414"/>
      <c r="N150" s="415"/>
    </row>
    <row r="151" spans="2:14" s="93" customFormat="1" ht="55.9" customHeight="1">
      <c r="B151" s="412">
        <v>2</v>
      </c>
      <c r="C151" s="413"/>
      <c r="D151" s="422" t="s">
        <v>159</v>
      </c>
      <c r="E151" s="423"/>
      <c r="F151" s="423"/>
      <c r="G151" s="423"/>
      <c r="H151" s="423"/>
      <c r="I151" s="423"/>
      <c r="J151" s="423"/>
      <c r="K151" s="423"/>
      <c r="L151" s="423"/>
      <c r="M151" s="423"/>
      <c r="N151" s="424"/>
    </row>
    <row r="152" spans="2:14" s="140" customFormat="1" ht="30" customHeight="1">
      <c r="B152" s="416" t="s">
        <v>160</v>
      </c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8"/>
    </row>
    <row r="153" spans="2:14" s="93" customFormat="1" ht="24.95" customHeight="1">
      <c r="B153" s="412">
        <v>1</v>
      </c>
      <c r="C153" s="413"/>
      <c r="D153" s="441" t="s">
        <v>161</v>
      </c>
      <c r="E153" s="441"/>
      <c r="F153" s="441"/>
      <c r="G153" s="441"/>
      <c r="H153" s="441"/>
      <c r="I153" s="441"/>
      <c r="J153" s="441"/>
      <c r="K153" s="441"/>
      <c r="L153" s="441"/>
      <c r="M153" s="441"/>
      <c r="N153" s="442"/>
    </row>
    <row r="154" spans="2:14" s="93" customFormat="1" ht="24.95" customHeight="1">
      <c r="B154" s="412">
        <v>2</v>
      </c>
      <c r="C154" s="413"/>
      <c r="D154" s="441" t="s">
        <v>162</v>
      </c>
      <c r="E154" s="441"/>
      <c r="F154" s="441"/>
      <c r="G154" s="441"/>
      <c r="H154" s="441"/>
      <c r="I154" s="441"/>
      <c r="J154" s="441"/>
      <c r="K154" s="441"/>
      <c r="L154" s="441"/>
      <c r="M154" s="441"/>
      <c r="N154" s="442"/>
    </row>
    <row r="155" spans="2:14" s="93" customFormat="1" ht="49.9" customHeight="1">
      <c r="B155" s="412">
        <v>3</v>
      </c>
      <c r="C155" s="413"/>
      <c r="D155" s="446" t="s">
        <v>163</v>
      </c>
      <c r="E155" s="447"/>
      <c r="F155" s="447"/>
      <c r="G155" s="447"/>
      <c r="H155" s="447"/>
      <c r="I155" s="447"/>
      <c r="J155" s="447"/>
      <c r="K155" s="447"/>
      <c r="L155" s="447"/>
      <c r="M155" s="447"/>
      <c r="N155" s="448"/>
    </row>
    <row r="156" spans="2:14" s="93" customFormat="1" ht="24.95" customHeight="1">
      <c r="B156" s="412">
        <v>4</v>
      </c>
      <c r="C156" s="413"/>
      <c r="D156" s="441" t="s">
        <v>164</v>
      </c>
      <c r="E156" s="441"/>
      <c r="F156" s="441"/>
      <c r="G156" s="441"/>
      <c r="H156" s="441"/>
      <c r="I156" s="441"/>
      <c r="J156" s="441"/>
      <c r="K156" s="441"/>
      <c r="L156" s="441"/>
      <c r="M156" s="441"/>
      <c r="N156" s="442"/>
    </row>
    <row r="157" spans="2:14" s="140" customFormat="1" ht="30" customHeight="1">
      <c r="B157" s="416" t="s">
        <v>165</v>
      </c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8"/>
    </row>
    <row r="158" spans="2:14" s="93" customFormat="1" ht="24.95" customHeight="1">
      <c r="B158" s="412">
        <v>1</v>
      </c>
      <c r="C158" s="413"/>
      <c r="D158" s="441" t="s">
        <v>166</v>
      </c>
      <c r="E158" s="441"/>
      <c r="F158" s="441"/>
      <c r="G158" s="441"/>
      <c r="H158" s="441"/>
      <c r="I158" s="441"/>
      <c r="J158" s="441"/>
      <c r="K158" s="441"/>
      <c r="L158" s="441"/>
      <c r="M158" s="441"/>
      <c r="N158" s="442"/>
    </row>
    <row r="159" spans="2:14" s="93" customFormat="1" ht="24.95" customHeight="1">
      <c r="B159" s="412">
        <v>2</v>
      </c>
      <c r="C159" s="413"/>
      <c r="D159" s="441" t="s">
        <v>167</v>
      </c>
      <c r="E159" s="441"/>
      <c r="F159" s="441"/>
      <c r="G159" s="441"/>
      <c r="H159" s="441"/>
      <c r="I159" s="441"/>
      <c r="J159" s="441"/>
      <c r="K159" s="441"/>
      <c r="L159" s="441"/>
      <c r="M159" s="441"/>
      <c r="N159" s="442"/>
    </row>
    <row r="160" spans="2:14" s="93" customFormat="1" ht="24.95" customHeight="1">
      <c r="B160" s="412">
        <v>3</v>
      </c>
      <c r="C160" s="413"/>
      <c r="D160" s="441" t="s">
        <v>168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12">
        <v>4</v>
      </c>
      <c r="C161" s="413"/>
      <c r="D161" s="441" t="s">
        <v>402</v>
      </c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24.95" customHeight="1">
      <c r="B162" s="443" t="s">
        <v>240</v>
      </c>
      <c r="C162" s="444"/>
      <c r="D162" s="444"/>
      <c r="E162" s="444"/>
      <c r="F162" s="444"/>
      <c r="G162" s="444"/>
      <c r="H162" s="444"/>
      <c r="I162" s="444"/>
      <c r="J162" s="444"/>
      <c r="K162" s="444"/>
      <c r="L162" s="444"/>
      <c r="M162" s="444"/>
      <c r="N162" s="445"/>
    </row>
    <row r="163" spans="2:14" s="93" customFormat="1" ht="24.95" customHeight="1">
      <c r="B163" s="443" t="s">
        <v>241</v>
      </c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5"/>
    </row>
    <row r="164" spans="2:14" s="93" customFormat="1" ht="41.25" customHeight="1">
      <c r="B164" s="461"/>
      <c r="C164" s="462"/>
      <c r="D164" s="462"/>
      <c r="E164" s="462"/>
      <c r="F164" s="462"/>
      <c r="G164" s="462"/>
      <c r="H164" s="462"/>
      <c r="I164" s="462"/>
      <c r="J164" s="462"/>
      <c r="K164" s="462"/>
      <c r="L164" s="462"/>
      <c r="M164" s="462"/>
      <c r="N164" s="463"/>
    </row>
    <row r="165" spans="2:14" s="93" customFormat="1" ht="39.950000000000003" customHeight="1">
      <c r="B165" s="464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</row>
    <row r="166" spans="2:14" s="93" customFormat="1" ht="41.25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39.950000000000003" customHeight="1" thickBot="1">
      <c r="B167" s="467"/>
      <c r="C167" s="468"/>
      <c r="D167" s="468"/>
      <c r="E167" s="468"/>
      <c r="F167" s="468"/>
      <c r="G167" s="468"/>
      <c r="H167" s="468"/>
      <c r="I167" s="468"/>
      <c r="J167" s="468"/>
      <c r="K167" s="468"/>
      <c r="L167" s="468"/>
      <c r="M167" s="468"/>
      <c r="N167" s="469"/>
    </row>
    <row r="168" spans="2:14" s="93" customFormat="1" ht="30" customHeight="1" thickTop="1">
      <c r="B168" s="451" t="s">
        <v>110</v>
      </c>
      <c r="C168" s="452"/>
      <c r="D168" s="452"/>
      <c r="E168" s="455"/>
      <c r="F168" s="456"/>
      <c r="G168" s="456"/>
      <c r="H168" s="456"/>
      <c r="I168" s="456"/>
      <c r="J168" s="456"/>
      <c r="K168" s="456"/>
      <c r="L168" s="457"/>
      <c r="M168" s="452" t="s">
        <v>205</v>
      </c>
      <c r="N168" s="453"/>
    </row>
    <row r="169" spans="2:14" s="93" customFormat="1" ht="33" customHeight="1" thickBot="1">
      <c r="B169" s="454" t="s">
        <v>107</v>
      </c>
      <c r="C169" s="449"/>
      <c r="D169" s="449"/>
      <c r="E169" s="458"/>
      <c r="F169" s="459"/>
      <c r="G169" s="459"/>
      <c r="H169" s="459"/>
      <c r="I169" s="459"/>
      <c r="J169" s="459"/>
      <c r="K169" s="459"/>
      <c r="L169" s="460"/>
      <c r="M169" s="449" t="s">
        <v>108</v>
      </c>
      <c r="N169" s="450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29:C129"/>
    <mergeCell ref="D129:N129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2:N132"/>
    <mergeCell ref="B127:N127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43673</v>
      </c>
      <c r="F2" s="517" t="s">
        <v>245</v>
      </c>
      <c r="G2" s="517"/>
    </row>
    <row r="3" spans="3:13">
      <c r="C3" s="297" t="s">
        <v>126</v>
      </c>
      <c r="D3" s="518" t="str">
        <f>QUOTATION!F7</f>
        <v>Rajpushpa (Villa 11)</v>
      </c>
      <c r="E3" s="518"/>
      <c r="F3" s="521" t="s">
        <v>246</v>
      </c>
      <c r="G3" s="522">
        <f>QUOTATION!N8</f>
        <v>43673</v>
      </c>
    </row>
    <row r="4" spans="3:13">
      <c r="C4" s="297" t="s">
        <v>243</v>
      </c>
      <c r="D4" s="519" t="str">
        <f>QUOTATION!M6</f>
        <v>ABPL-DE-19.20-2130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Mr. Bramhanandam : 9963925599</v>
      </c>
      <c r="E6" s="518"/>
      <c r="F6" s="521"/>
      <c r="G6" s="523"/>
    </row>
    <row r="7" spans="3:13">
      <c r="C7" s="297" t="s">
        <v>377</v>
      </c>
      <c r="D7" s="518" t="str">
        <f>QUOTATION!M10</f>
        <v>Ar. Rajesh</v>
      </c>
      <c r="E7" s="518"/>
      <c r="F7" s="521"/>
      <c r="G7" s="523"/>
    </row>
    <row r="8" spans="3:13">
      <c r="C8" s="297" t="s">
        <v>177</v>
      </c>
      <c r="D8" s="518" t="str">
        <f>QUOTATION!F10</f>
        <v>White Powder Coating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1Kpa</v>
      </c>
      <c r="E10" s="518"/>
      <c r="F10" s="521"/>
      <c r="G10" s="523"/>
    </row>
    <row r="11" spans="3:13">
      <c r="C11" s="297" t="s">
        <v>242</v>
      </c>
      <c r="D11" s="518" t="str">
        <f>QUOTATION!M9</f>
        <v>Mahesh</v>
      </c>
      <c r="E11" s="518"/>
      <c r="F11" s="521"/>
      <c r="G11" s="523"/>
    </row>
    <row r="12" spans="3:13">
      <c r="C12" s="297" t="s">
        <v>244</v>
      </c>
      <c r="D12" s="520">
        <f>QUOTATION!M7</f>
        <v>43673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2125.61</v>
      </c>
      <c r="F14" s="205"/>
      <c r="G14" s="206">
        <f>E14</f>
        <v>2125.61</v>
      </c>
    </row>
    <row r="15" spans="3:13">
      <c r="C15" s="194" t="s">
        <v>235</v>
      </c>
      <c r="D15" s="296">
        <f>'Changable Values'!D4</f>
        <v>83</v>
      </c>
      <c r="E15" s="199">
        <f>E14*D15</f>
        <v>176425.63</v>
      </c>
      <c r="F15" s="205"/>
      <c r="G15" s="207">
        <f>E15</f>
        <v>176425.63</v>
      </c>
    </row>
    <row r="16" spans="3:13">
      <c r="C16" s="195" t="s">
        <v>97</v>
      </c>
      <c r="D16" s="200">
        <f>'Changable Values'!D5</f>
        <v>0.1</v>
      </c>
      <c r="E16" s="199">
        <f>E15*D16</f>
        <v>17642.563000000002</v>
      </c>
      <c r="F16" s="208">
        <f>'Changable Values'!D5</f>
        <v>0.1</v>
      </c>
      <c r="G16" s="207">
        <f>G15*F16</f>
        <v>17642.563000000002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21347.501230000002</v>
      </c>
      <c r="F17" s="208">
        <f>'Changable Values'!D6</f>
        <v>0.11</v>
      </c>
      <c r="G17" s="207">
        <f>SUM(G15:G16)*F17</f>
        <v>21347.501230000002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1077.07847115</v>
      </c>
      <c r="F18" s="208">
        <f>'Changable Values'!D7</f>
        <v>5.0000000000000001E-3</v>
      </c>
      <c r="G18" s="207">
        <f>SUM(G15:G17)*F18</f>
        <v>1077.07847115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2164.9277270114999</v>
      </c>
      <c r="F19" s="208">
        <f>'Changable Values'!D8</f>
        <v>0.01</v>
      </c>
      <c r="G19" s="207">
        <f>SUM(G15:G18)*F19</f>
        <v>2164.9277270114999</v>
      </c>
    </row>
    <row r="20" spans="3:7">
      <c r="C20" s="195" t="s">
        <v>99</v>
      </c>
      <c r="D20" s="201"/>
      <c r="E20" s="199">
        <f>SUM(E15:E19)</f>
        <v>218657.70042816148</v>
      </c>
      <c r="F20" s="208"/>
      <c r="G20" s="207">
        <f>SUM(G15:G19)</f>
        <v>218657.70042816148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3279.8655064224222</v>
      </c>
      <c r="F21" s="208">
        <f>'Changable Values'!D9</f>
        <v>1.4999999999999999E-2</v>
      </c>
      <c r="G21" s="207">
        <f>G20*F21</f>
        <v>3279.8655064224222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34945.363404000003</v>
      </c>
      <c r="F23" s="209"/>
      <c r="G23" s="207">
        <f t="shared" si="0"/>
        <v>34945.363404000003</v>
      </c>
    </row>
    <row r="24" spans="3:7">
      <c r="C24" s="195" t="s">
        <v>230</v>
      </c>
      <c r="D24" s="198"/>
      <c r="E24" s="199">
        <f>'Cost Calculation'!AH111</f>
        <v>4087.4867213114762</v>
      </c>
      <c r="F24" s="209"/>
      <c r="G24" s="207">
        <f t="shared" si="0"/>
        <v>4087.4867213114762</v>
      </c>
    </row>
    <row r="25" spans="3:7">
      <c r="C25" s="196" t="s">
        <v>238</v>
      </c>
      <c r="D25" s="198"/>
      <c r="E25" s="199">
        <f>'Cost Calculation'!AJ109</f>
        <v>4910.2773875999992</v>
      </c>
      <c r="F25" s="209"/>
      <c r="G25" s="207">
        <f t="shared" si="0"/>
        <v>4910.2773875999992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13846.083029999996</v>
      </c>
      <c r="F27" s="209"/>
      <c r="G27" s="207">
        <f t="shared" si="0"/>
        <v>13846.083029999996</v>
      </c>
    </row>
    <row r="28" spans="3:7">
      <c r="C28" s="195" t="s">
        <v>88</v>
      </c>
      <c r="D28" s="198"/>
      <c r="E28" s="199">
        <f>'Cost Calculation'!AN109</f>
        <v>11076.866424</v>
      </c>
      <c r="F28" s="209"/>
      <c r="G28" s="207">
        <f t="shared" si="0"/>
        <v>11076.866424</v>
      </c>
    </row>
    <row r="29" spans="3:7">
      <c r="C29" s="293" t="s">
        <v>380</v>
      </c>
      <c r="D29" s="294"/>
      <c r="E29" s="295">
        <f>SUM(E20:E28)</f>
        <v>290803.64290149533</v>
      </c>
      <c r="F29" s="209"/>
      <c r="G29" s="207">
        <f>SUM(G20:G21,G24)</f>
        <v>226025.05265589536</v>
      </c>
    </row>
    <row r="30" spans="3:7">
      <c r="C30" s="293" t="s">
        <v>381</v>
      </c>
      <c r="D30" s="294"/>
      <c r="E30" s="295">
        <f>E29/E33</f>
        <v>2100.2592738424119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282531.31581986917</v>
      </c>
      <c r="F31" s="214">
        <f>'Changable Values'!D23</f>
        <v>1.25</v>
      </c>
      <c r="G31" s="207">
        <f>G29*F31</f>
        <v>282531.31581986917</v>
      </c>
    </row>
    <row r="32" spans="3:7">
      <c r="C32" s="290" t="s">
        <v>5</v>
      </c>
      <c r="D32" s="291"/>
      <c r="E32" s="292">
        <f>E31+E29</f>
        <v>573334.9587213645</v>
      </c>
      <c r="F32" s="205"/>
      <c r="G32" s="207">
        <f>SUM(G25:G31,G22:G23)</f>
        <v>573334.95872136462</v>
      </c>
    </row>
    <row r="33" spans="3:7">
      <c r="C33" s="300" t="s">
        <v>231</v>
      </c>
      <c r="D33" s="301"/>
      <c r="E33" s="308">
        <f>'Cost Calculation'!K109</f>
        <v>138.46083029999997</v>
      </c>
      <c r="F33" s="210"/>
      <c r="G33" s="211">
        <f>E33</f>
        <v>138.46083029999997</v>
      </c>
    </row>
    <row r="34" spans="3:7">
      <c r="C34" s="302" t="s">
        <v>9</v>
      </c>
      <c r="D34" s="303"/>
      <c r="E34" s="304">
        <f>QUOTATION!L116</f>
        <v>5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4140.7736576411717</v>
      </c>
      <c r="F35" s="212"/>
      <c r="G35" s="213">
        <f>G32/(G33)</f>
        <v>4140.7736576411726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2019-07-29T06:36:46Z</cp:lastPrinted>
  <dcterms:created xsi:type="dcterms:W3CDTF">2010-12-18T06:34:46Z</dcterms:created>
  <dcterms:modified xsi:type="dcterms:W3CDTF">2019-07-29T09:51:22Z</dcterms:modified>
</cp:coreProperties>
</file>