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Drawings!$C$2:$O$194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8" i="158" l="1"/>
  <c r="Q16" i="158"/>
  <c r="Q9" i="158"/>
  <c r="Q8" i="158"/>
  <c r="Q7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AH26" i="159" s="1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50" i="160" l="1"/>
  <c r="M41" i="160"/>
  <c r="M35" i="160"/>
  <c r="AH29" i="159"/>
  <c r="AH40" i="159"/>
  <c r="AH45" i="159"/>
  <c r="AH50" i="159"/>
  <c r="M45" i="160"/>
  <c r="AH32" i="159"/>
  <c r="M34" i="160"/>
  <c r="AH53" i="159"/>
  <c r="AH47" i="159"/>
  <c r="AH27" i="159"/>
  <c r="AH42" i="159"/>
  <c r="AH37" i="159"/>
  <c r="AH56" i="159"/>
  <c r="AH10" i="159"/>
  <c r="AH30" i="159"/>
  <c r="AH35" i="159"/>
  <c r="AH38" i="159"/>
  <c r="AH43" i="159"/>
  <c r="AH46" i="159"/>
  <c r="AH54" i="159"/>
  <c r="AH57" i="159"/>
  <c r="AH51" i="159"/>
  <c r="AH25" i="159"/>
  <c r="AH28" i="159"/>
  <c r="AH33" i="159"/>
  <c r="AH36" i="159"/>
  <c r="AH41" i="159"/>
  <c r="AH44" i="159"/>
  <c r="AH48" i="159"/>
  <c r="AH9" i="159"/>
  <c r="AH31" i="159"/>
  <c r="AH52" i="159"/>
  <c r="AH55" i="159"/>
  <c r="AH24" i="159"/>
  <c r="M31" i="160"/>
  <c r="AH22" i="159"/>
  <c r="M30" i="160"/>
  <c r="AH21" i="159"/>
  <c r="AH20" i="159"/>
  <c r="AH19" i="159"/>
  <c r="M26" i="160"/>
  <c r="AH17" i="159"/>
  <c r="AH16" i="159"/>
  <c r="AH15" i="159"/>
  <c r="AH14" i="159"/>
  <c r="AH13" i="159"/>
  <c r="AH12" i="159"/>
  <c r="AH11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<sst xmlns="http://schemas.openxmlformats.org/spreadsheetml/2006/main" count="2018" uniqueCount="464">
  <si>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</si>
  <si>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</si>
  <si>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</si>
  <si>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</si>
  <si>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</si>
  <si>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</si>
  <si>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</si>
  <si>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</si>
  <si>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</si>
  <si>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</si>
  <si>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</si>
  <si>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</si>
  <si>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</si>
  <si>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</si>
  <si>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</si>
  <si>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</si>
  <si>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</si>
  <si>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</si>
  <si>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</si>
  <si>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</si>
  <si>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</si>
  <si>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</si>
  <si>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</si>
  <si>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</si>
  <si>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</si>
  <si>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</si>
  <si>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</si>
  <si>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</si>
  <si>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</si>
  <si>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</si>
  <si>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</si>
  <si>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</si>
  <si>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</si>
  <si>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</si>
  <si>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</si>
  <si>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</si>
  <si>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</si>
  <si>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</si>
  <si>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</si>
  <si>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</si>
  <si>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</si>
  <si>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</si>
  <si>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</si>
  <si>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</si>
  <si>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</si>
  <si>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</si>
  <si>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</si>
  <si>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</si>
  <si>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</si>
  <si>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</si>
  <si>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</si>
  <si>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</si>
  <si>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</si>
  <si>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</si>
  <si>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</si>
  <si>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</si>
  <si>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</si>
  <si>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</si>
  <si>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</si>
  <si>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</si>
  <si>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</si>
  <si>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</si>
  <si>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</si>
  <si>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</si>
  <si>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</si>
  <si>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</si>
  <si>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</si>
  <si>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</si>
  <si>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</si>
  <si>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</si>
  <si>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</si>
  <si>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</si>
  <si>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</si>
  <si>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</si>
  <si>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</si>
  <si>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</si>
  <si>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</si>
  <si>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</si>
  <si>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</si>
  <si>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</si>
  <si>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</si>
  <si>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</si>
  <si>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</si>
  <si>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</si>
  <si>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</si>
  <si>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</si>
  <si>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</si>
  <si>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</si>
  <si>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</si>
  <si>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</si>
  <si>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</si>
  <si>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</si>
  <si>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</si>
  <si>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</si>
  <si>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</si>
  <si>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</si>
  <si>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</si>
  <si>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</si>
  <si>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</si>
  <si>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</si>
  <si>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</si>
  <si>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</si>
  <si>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</si>
  <si>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</si>
  <si>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</si>
  <si>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</si>
  <si>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</si>
  <si>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</si>
  <si>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</si>
  <si>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</si>
  <si>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</si>
  <si>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</si>
  <si>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</si>
  <si>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</si>
  <si>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</si>
  <si>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</si>
  <si>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</si>
  <si>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</si>
  <si>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</si>
  <si>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</si>
  <si>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</si>
  <si>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</si>
  <si>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</si>
  <si>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</si>
  <si>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</si>
  <si>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</si>
  <si>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</si>
  <si>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</si>
  <si>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</si>
  <si>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</si>
  <si>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</si>
  <si>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</si>
  <si>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</si>
  <si>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</si>
  <si>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</si>
  <si>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</si>
  <si>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</si>
  <si>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</si>
  <si>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</si>
  <si>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</si>
  <si>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</si>
  <si>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</si>
  <si>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</si>
  <si>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</si>
  <si>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</si>
  <si>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</si>
  <si>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</si>
  <si>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</si>
  <si>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</si>
  <si>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</si>
  <si>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</si>
  <si>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</si>
  <si>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</si>
  <si>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</si>
  <si>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</si>
  <si>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</si>
  <si>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</si>
  <si>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</si>
  <si>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</si>
  <si>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</si>
  <si>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</si>
  <si>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</si>
  <si>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</si>
  <si>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</si>
  <si>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</si>
  <si>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</si>
  <si>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</si>
  <si>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</si>
  <si>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</si>
  <si>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</si>
  <si>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</si>
  <si>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</si>
  <si>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</si>
  <si>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</si>
  <si>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</si>
  <si>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</si>
  <si>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</si>
  <si>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</si>
  <si>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</si>
  <si>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</si>
  <si>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</si>
  <si>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</si>
  <si>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</si>
  <si>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</si>
  <si>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</si>
  <si>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</si>
  <si>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</si>
  <si>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</si>
  <si>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</si>
  <si>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</si>
  <si>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</si>
  <si>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</si>
  <si>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</si>
  <si>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</si>
  <si>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</si>
  <si>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</si>
  <si>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</si>
  <si>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</si>
  <si>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</si>
  <si>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</si>
  <si>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</si>
  <si>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</si>
  <si>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</si>
  <si>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</si>
  <si>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</si>
  <si>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</si>
  <si>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</si>
  <si>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</si>
  <si>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</si>
  <si>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</si>
  <si>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</si>
  <si>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</si>
  <si>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</si>
  <si>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</si>
  <si>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</si>
  <si>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</si>
  <si>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</si>
  <si>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</si>
  <si>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</si>
  <si>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</si>
  <si>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</si>
  <si>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</si>
  <si>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</si>
  <si>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</si>
  <si>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</si>
  <si>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</si>
  <si>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</si>
  <si>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</si>
  <si>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</si>
  <si>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</si>
  <si>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</si>
  <si>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</si>
  <si>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</si>
  <si>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</si>
  <si>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</si>
  <si>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</si>
  <si>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</si>
  <si>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</si>
  <si>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</si>
  <si>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</si>
  <si>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</si>
  <si>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</si>
  <si>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</si>
  <si>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</si>
  <si>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</si>
  <si>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</si>
  <si>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</si>
  <si>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</si>
  <si>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</si>
  <si>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</si>
  <si>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</si>
  <si>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</si>
  <si>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</si>
  <si>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</si>
  <si>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</si>
  <si>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</si>
  <si>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</si>
  <si>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</si>
  <si>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</si>
  <si>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</si>
  <si>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</si>
  <si>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</si>
  <si>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</si>
  <si>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</si>
  <si>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</si>
  <si>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</si>
  <si>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</si>
  <si>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</si>
  <si>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</si>
  <si>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</si>
  <si>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</si>
  <si>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</si>
  <si>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</si>
  <si>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</si>
  <si>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</si>
  <si>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</si>
  <si>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</si>
  <si>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</si>
  <si>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</si>
  <si>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</si>
  <si>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</si>
  <si>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</si>
  <si>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</si>
  <si>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</si>
  <si>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</si>
  <si>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</si>
  <si>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</si>
  <si>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</si>
  <si>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</si>
  <si>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</si>
  <si>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</si>
  <si>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</si>
  <si>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</si>
  <si>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</si>
  <si>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</si>
  <si>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</si>
  <si>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</si>
  <si>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</si>
  <si>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</si>
  <si>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</si>
  <si>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</si>
  <si>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</si>
  <si>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</si>
  <si>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</si>
  <si>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</si>
  <si>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</si>
  <si>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</si>
  <si>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</si>
  <si>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</si>
  <si>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</si>
  <si>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</si>
  <si>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</si>
  <si>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</si>
  <si>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</si>
  <si>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</si>
  <si>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</si>
  <si>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</si>
  <si>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</si>
  <si>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</si>
  <si>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</si>
  <si>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</si>
  <si>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</si>
  <si>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</si>
  <si>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</si>
  <si>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</si>
  <si>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</si>
  <si>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</si>
  <si>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</si>
  <si>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</si>
  <si>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</si>
  <si>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</si>
  <si>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</si>
  <si>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</si>
  <si>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</si>
  <si>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</si>
  <si>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</si>
  <si>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</si>
  <si>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</si>
  <si>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</si>
  <si>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</si>
  <si>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</si>
  <si>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</si>
  <si>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</si>
  <si>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</si>
  <si>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</si>
  <si>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</si>
  <si>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</si>
  <si>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</si>
  <si>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</si>
  <si>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</si>
  <si>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</si>
  <si>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</si>
  <si>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</si>
  <si>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</si>
  <si>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</si>
  <si>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</si>
  <si>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</si>
  <si>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</si>
  <si>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</si>
  <si>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</si>
  <si>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</si>
  <si>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</si>
  <si>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</si>
  <si>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</si>
  <si>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</si>
  <si>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</si>
  <si>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</si>
  <si>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</si>
  <si>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</si>
  <si>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</si>
  <si>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</si>
  <si>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</si>
  <si>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</si>
  <si>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</si>
  <si>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</si>
  <si>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</si>
  <si>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</si>
  <si>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</si>
  <si>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</si>
  <si>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</si>
  <si>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</si>
  <si>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</si>
  <si>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</si>
  <si>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</si>
  <si>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</si>
  <si>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</si>
  <si>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</si>
  <si>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</si>
  <si>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</si>
  <si>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</si>
  <si>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</si>
  <si>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</si>
  <si>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</si>
  <si>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</si>
  <si>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</si>
  <si>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</si>
  <si>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</si>
  <si>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</si>
  <si>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</si>
  <si>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</si>
  <si>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</si>
  <si>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</si>
  <si>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</si>
  <si>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</si>
  <si>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</si>
  <si>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</si>
  <si>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</si>
  <si>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</si>
  <si>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</si>
  <si>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</si>
  <si>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</si>
  <si>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</si>
  <si>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</si>
  <si>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</si>
  <si>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</si>
  <si>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</si>
  <si>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</si>
  <si>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</si>
  <si>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Prashanth</t>
  </si>
  <si>
    <t>Hyderabad</t>
  </si>
  <si>
    <t>Ms. Rachana: 9154030271</t>
  </si>
  <si>
    <t>Wood Effect</t>
  </si>
  <si>
    <t>ABPL-DE-19.20-2131</t>
  </si>
  <si>
    <t>M15000</t>
  </si>
  <si>
    <t>FIXED GLASS</t>
  </si>
  <si>
    <t>NO</t>
  </si>
  <si>
    <t>GF - FRONT HALL</t>
  </si>
  <si>
    <t>W1</t>
  </si>
  <si>
    <t>W2</t>
  </si>
  <si>
    <t>FIXED GLASS 2 NO'S</t>
  </si>
  <si>
    <t>GF - SITTING HALL</t>
  </si>
  <si>
    <t>W3</t>
  </si>
  <si>
    <t>M14600</t>
  </si>
  <si>
    <t>3 TRACK 4 SHUTTER SLIDING DOOR</t>
  </si>
  <si>
    <t>SS</t>
  </si>
  <si>
    <t>W4</t>
  </si>
  <si>
    <t>1F - MASTER BEDROOM</t>
  </si>
  <si>
    <t>W5</t>
  </si>
  <si>
    <t>3 TRACK 2 SHUTTER SLIDING DOOR</t>
  </si>
  <si>
    <t>W6</t>
  </si>
  <si>
    <t>1F - MASTER BEDROOM BALCONY</t>
  </si>
  <si>
    <t>W7</t>
  </si>
  <si>
    <t>FRENCH WINDOW WITH 5 FIXED</t>
  </si>
  <si>
    <t>8MM</t>
  </si>
  <si>
    <t>W8</t>
  </si>
  <si>
    <t>1F - KIDS BEDROOM</t>
  </si>
  <si>
    <t>W9</t>
  </si>
  <si>
    <t>1F - ELEVATION</t>
  </si>
  <si>
    <t>W10</t>
  </si>
  <si>
    <t>FIXED GLASS 4 NO'S</t>
  </si>
  <si>
    <t>W11</t>
  </si>
  <si>
    <t>2F - GUEST BEDROOM</t>
  </si>
  <si>
    <t>W12</t>
  </si>
  <si>
    <t>W13</t>
  </si>
  <si>
    <t>FIXED GLASS IN SHAPE</t>
  </si>
  <si>
    <t>W14</t>
  </si>
  <si>
    <t>2F - PLAYROOM</t>
  </si>
  <si>
    <t>W15</t>
  </si>
  <si>
    <t>W16</t>
  </si>
  <si>
    <t>12mm :- 12mm Clear Toughened Glass</t>
  </si>
  <si>
    <t>8mm :- 8mm Clear Toughened Glass</t>
  </si>
  <si>
    <t>17.52MM</t>
  </si>
  <si>
    <t>17.52mm :- 8mm Clear Toughened Glass + 1.52mm Acoustic PVB + 8mm Clear Toughened Glass</t>
  </si>
  <si>
    <t>21.52mm :- 10mm Clear Toughened Glass + 1.52mm Acoustic PVB + 10mm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</si>
</sst>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612913</xdr:colOff>
      <xdr:row>9</xdr:row>
      <xdr:rowOff>57978</xdr:rowOff>
    </xdr:from>
    <xdr:to>
      <xdr:col>7</xdr:col>
      <xdr:colOff>256761</xdr:colOff>
      <xdr:row>15</xdr:row>
      <xdr:rowOff>161402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4" y="1847021"/>
          <a:ext cx="2708413" cy="1991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19</xdr:row>
      <xdr:rowOff>273326</xdr:rowOff>
    </xdr:from>
    <xdr:to>
      <xdr:col>7</xdr:col>
      <xdr:colOff>99391</xdr:colOff>
      <xdr:row>26</xdr:row>
      <xdr:rowOff>268716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5060674"/>
          <a:ext cx="2501348" cy="2198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82825</xdr:colOff>
      <xdr:row>30</xdr:row>
      <xdr:rowOff>207065</xdr:rowOff>
    </xdr:from>
    <xdr:to>
      <xdr:col>8</xdr:col>
      <xdr:colOff>579782</xdr:colOff>
      <xdr:row>38</xdr:row>
      <xdr:rowOff>65929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086" y="8307456"/>
          <a:ext cx="3826566" cy="2376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173934</xdr:colOff>
      <xdr:row>41</xdr:row>
      <xdr:rowOff>182218</xdr:rowOff>
    </xdr:from>
    <xdr:to>
      <xdr:col>8</xdr:col>
      <xdr:colOff>563217</xdr:colOff>
      <xdr:row>49</xdr:row>
      <xdr:rowOff>201500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5" y="11595653"/>
          <a:ext cx="3718892" cy="2537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52</xdr:row>
      <xdr:rowOff>132521</xdr:rowOff>
    </xdr:from>
    <xdr:to>
      <xdr:col>9</xdr:col>
      <xdr:colOff>115956</xdr:colOff>
      <xdr:row>60</xdr:row>
      <xdr:rowOff>128103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14858999"/>
          <a:ext cx="3851413" cy="251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314737</xdr:colOff>
      <xdr:row>63</xdr:row>
      <xdr:rowOff>231913</xdr:rowOff>
    </xdr:from>
    <xdr:to>
      <xdr:col>6</xdr:col>
      <xdr:colOff>223629</xdr:colOff>
      <xdr:row>70</xdr:row>
      <xdr:rowOff>290000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7" y="18271435"/>
          <a:ext cx="1888435" cy="2261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74</xdr:row>
      <xdr:rowOff>190500</xdr:rowOff>
    </xdr:from>
    <xdr:to>
      <xdr:col>6</xdr:col>
      <xdr:colOff>223630</xdr:colOff>
      <xdr:row>82</xdr:row>
      <xdr:rowOff>101985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21543065"/>
          <a:ext cx="1971261" cy="2429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85</xdr:row>
      <xdr:rowOff>165651</xdr:rowOff>
    </xdr:from>
    <xdr:to>
      <xdr:col>7</xdr:col>
      <xdr:colOff>248478</xdr:colOff>
      <xdr:row>93</xdr:row>
      <xdr:rowOff>166569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24831260"/>
          <a:ext cx="2667000" cy="2518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96</xdr:row>
      <xdr:rowOff>173934</xdr:rowOff>
    </xdr:from>
    <xdr:to>
      <xdr:col>8</xdr:col>
      <xdr:colOff>389282</xdr:colOff>
      <xdr:row>104</xdr:row>
      <xdr:rowOff>109931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4" y="28152586"/>
          <a:ext cx="3230218" cy="2453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480390</xdr:colOff>
      <xdr:row>107</xdr:row>
      <xdr:rowOff>231912</xdr:rowOff>
    </xdr:from>
    <xdr:to>
      <xdr:col>7</xdr:col>
      <xdr:colOff>140804</xdr:colOff>
      <xdr:row>115</xdr:row>
      <xdr:rowOff>158060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1" y="31523608"/>
          <a:ext cx="2724979" cy="2444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430694</xdr:colOff>
      <xdr:row>130</xdr:row>
      <xdr:rowOff>16566</xdr:rowOff>
    </xdr:from>
    <xdr:to>
      <xdr:col>9</xdr:col>
      <xdr:colOff>24504</xdr:colOff>
      <xdr:row>137</xdr:row>
      <xdr:rowOff>49696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890" y="38249088"/>
          <a:ext cx="4099549" cy="2236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488672</xdr:colOff>
      <xdr:row>140</xdr:row>
      <xdr:rowOff>124239</xdr:rowOff>
    </xdr:from>
    <xdr:to>
      <xdr:col>6</xdr:col>
      <xdr:colOff>16564</xdr:colOff>
      <xdr:row>148</xdr:row>
      <xdr:rowOff>192840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2" y="41355065"/>
          <a:ext cx="1507435" cy="2586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223629</xdr:colOff>
      <xdr:row>152</xdr:row>
      <xdr:rowOff>99390</xdr:rowOff>
    </xdr:from>
    <xdr:to>
      <xdr:col>7</xdr:col>
      <xdr:colOff>140805</xdr:colOff>
      <xdr:row>158</xdr:row>
      <xdr:rowOff>306231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0" y="44957999"/>
          <a:ext cx="2981741" cy="20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563216</xdr:colOff>
      <xdr:row>162</xdr:row>
      <xdr:rowOff>207064</xdr:rowOff>
    </xdr:from>
    <xdr:to>
      <xdr:col>7</xdr:col>
      <xdr:colOff>124238</xdr:colOff>
      <xdr:row>170</xdr:row>
      <xdr:rowOff>87798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7" y="48063977"/>
          <a:ext cx="2625587" cy="2398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173</xdr:row>
      <xdr:rowOff>140804</xdr:rowOff>
    </xdr:from>
    <xdr:to>
      <xdr:col>5</xdr:col>
      <xdr:colOff>1888434</xdr:colOff>
      <xdr:row>181</xdr:row>
      <xdr:rowOff>213601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51310761"/>
          <a:ext cx="1507435" cy="2590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184</xdr:row>
      <xdr:rowOff>124239</xdr:rowOff>
    </xdr:from>
    <xdr:to>
      <xdr:col>6</xdr:col>
      <xdr:colOff>124239</xdr:colOff>
      <xdr:row>192</xdr:row>
      <xdr:rowOff>123375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54607239"/>
          <a:ext cx="1871870" cy="2517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74544</xdr:colOff>
      <xdr:row>119</xdr:row>
      <xdr:rowOff>198782</xdr:rowOff>
    </xdr:from>
    <xdr:to>
      <xdr:col>10</xdr:col>
      <xdr:colOff>521804</xdr:colOff>
      <xdr:row>126</xdr:row>
      <xdr:rowOff>49869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74" y="35118260"/>
          <a:ext cx="6129130" cy="2054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G14" sqref="G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175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126" sqref="P12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ABPL-DE-19.20-2131</v>
      </c>
      <c r="O2" s="541"/>
      <c r="P2" s="219" t="s">
        <v>257</v>
      </c>
    </row>
    <row r="3" spans="2:16">
      <c r="B3" s="218"/>
      <c r="C3" s="539" t="s">
        <v>126</v>
      </c>
      <c r="D3" s="539"/>
      <c r="E3" s="539"/>
      <c r="F3" s="541" t="str">
        <f>QUOTATION!F7</f>
        <v>Mr. Prashanth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43675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180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9" t="s">
        <v>169</v>
      </c>
      <c r="D5" s="539"/>
      <c r="E5" s="539"/>
      <c r="F5" s="541" t="str">
        <f>QUOTATION!F9</f>
        <v>Ms. Rachana: 9154030271</v>
      </c>
      <c r="G5" s="541"/>
      <c r="H5" s="541"/>
      <c r="I5" s="541"/>
      <c r="J5" s="541"/>
      <c r="K5" s="541"/>
      <c r="L5" s="541"/>
      <c r="M5" s="284" t="s">
        <v>179</v>
      </c>
      <c r="N5" s="541" t="str">
        <f>QUOTATION!M9</f>
        <v>Nikhil</v>
      </c>
      <c r="O5" s="541"/>
    </row>
    <row r="6" spans="2:16">
      <c r="B6" s="218"/>
      <c r="C6" s="539" t="s">
        <v>177</v>
      </c>
      <c r="D6" s="539"/>
      <c r="E6" s="539"/>
      <c r="F6" s="285" t="str">
        <f>QUOTATION!F10</f>
        <v>Wood Effect</v>
      </c>
      <c r="G6" s="539"/>
      <c r="H6" s="539"/>
      <c r="I6" s="542" t="s">
        <v>178</v>
      </c>
      <c r="J6" s="542"/>
      <c r="K6" s="541" t="str">
        <f>QUOTATION!I10</f>
        <v>Black</v>
      </c>
      <c r="L6" s="541"/>
      <c r="M6" s="284"/>
      <c r="N6" s="542"/>
      <c r="O6" s="542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254</v>
      </c>
      <c r="D8" s="539"/>
      <c r="E8" s="286" t="str">
        <f>'BD Team'!B9</f>
        <v>W</v>
      </c>
      <c r="F8" s="288" t="s">
        <v>255</v>
      </c>
      <c r="G8" s="541" t="str">
        <f>'BD Team'!D9</f>
        <v>FIXED GLASS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GF - FRONT HALL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247</v>
      </c>
      <c r="M10" s="539"/>
      <c r="N10" s="541" t="str">
        <f>$F$6</f>
        <v>Wood Effect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178</v>
      </c>
      <c r="M11" s="539"/>
      <c r="N11" s="541" t="str">
        <f>$K$6</f>
        <v>Black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248</v>
      </c>
      <c r="M12" s="539"/>
      <c r="N12" s="548" t="s">
        <v>256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249</v>
      </c>
      <c r="M13" s="539"/>
      <c r="N13" s="541" t="str">
        <f>CONCATENATE('BD Team'!H9," X ",'BD Team'!I9)</f>
        <v>2447 X 1722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250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251</v>
      </c>
      <c r="M15" s="539"/>
      <c r="N15" s="541" t="str">
        <f>'BD Team'!C9</f>
        <v>M15000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252</v>
      </c>
      <c r="M16" s="539"/>
      <c r="N16" s="541" t="str">
        <f>'BD Team'!E9</f>
        <v>17.52MM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253</v>
      </c>
      <c r="M17" s="539"/>
      <c r="N17" s="541" t="str">
        <f>'BD Team'!F9</f>
        <v>NO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254</v>
      </c>
      <c r="D19" s="539"/>
      <c r="E19" s="286" t="str">
        <f>'BD Team'!B10</f>
        <v>W1</v>
      </c>
      <c r="F19" s="288" t="s">
        <v>255</v>
      </c>
      <c r="G19" s="541" t="str">
        <f>'BD Team'!D10</f>
        <v>FIXED GLASS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GF - FRONT HALL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247</v>
      </c>
      <c r="M21" s="539"/>
      <c r="N21" s="541" t="str">
        <f>$F$6</f>
        <v>Wood Effect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178</v>
      </c>
      <c r="M22" s="539"/>
      <c r="N22" s="541" t="str">
        <f>$K$6</f>
        <v>Black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248</v>
      </c>
      <c r="M23" s="539"/>
      <c r="N23" s="544" t="s">
        <v>256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249</v>
      </c>
      <c r="M24" s="539"/>
      <c r="N24" s="541" t="str">
        <f>CONCATENATE('BD Team'!H10," X ",'BD Team'!I10)</f>
        <v>1884 X 1637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250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251</v>
      </c>
      <c r="M26" s="539"/>
      <c r="N26" s="541" t="str">
        <f>'BD Team'!C10</f>
        <v>M15000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252</v>
      </c>
      <c r="M27" s="539"/>
      <c r="N27" s="541" t="str">
        <f>'BD Team'!E10</f>
        <v>17.52MM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253</v>
      </c>
      <c r="M28" s="539"/>
      <c r="N28" s="541" t="str">
        <f>'BD Team'!F10</f>
        <v>NO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254</v>
      </c>
      <c r="D30" s="539"/>
      <c r="E30" s="286" t="str">
        <f>'BD Team'!B11</f>
        <v>W2</v>
      </c>
      <c r="F30" s="288" t="s">
        <v>255</v>
      </c>
      <c r="G30" s="541" t="str">
        <f>'BD Team'!D11</f>
        <v>FIXED GLASS 2 NO'S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GF - SITTING HALL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247</v>
      </c>
      <c r="M32" s="539"/>
      <c r="N32" s="541" t="str">
        <f>$F$6</f>
        <v>Wood Effect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178</v>
      </c>
      <c r="M33" s="539"/>
      <c r="N33" s="541" t="str">
        <f>$K$6</f>
        <v>Black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248</v>
      </c>
      <c r="M34" s="539"/>
      <c r="N34" s="544" t="s">
        <v>256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249</v>
      </c>
      <c r="M35" s="539"/>
      <c r="N35" s="541" t="str">
        <f>CONCATENATE('BD Team'!H11," X ",'BD Team'!I11)</f>
        <v>3787 X 2075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250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251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252</v>
      </c>
      <c r="M38" s="539"/>
      <c r="N38" s="541" t="str">
        <f>'BD Team'!E11</f>
        <v>17.52MM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253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254</v>
      </c>
      <c r="D41" s="539"/>
      <c r="E41" s="286" t="str">
        <f>'BD Team'!B12</f>
        <v>W3</v>
      </c>
      <c r="F41" s="288" t="s">
        <v>255</v>
      </c>
      <c r="G41" s="541" t="str">
        <f>'BD Team'!D12</f>
        <v>3 TRACK 4 SHUTTER SLIDING DOOR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GF - SITTING HALL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247</v>
      </c>
      <c r="M43" s="539"/>
      <c r="N43" s="541" t="str">
        <f>$F$6</f>
        <v>Wood Effect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178</v>
      </c>
      <c r="M44" s="539"/>
      <c r="N44" s="541" t="str">
        <f>$K$6</f>
        <v>Black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248</v>
      </c>
      <c r="M45" s="539"/>
      <c r="N45" s="544" t="s">
        <v>256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249</v>
      </c>
      <c r="M46" s="539"/>
      <c r="N46" s="541" t="str">
        <f>CONCATENATE('BD Team'!H12," X ",'BD Team'!I12)</f>
        <v>4556 X 2474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250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251</v>
      </c>
      <c r="M48" s="539"/>
      <c r="N48" s="541" t="str">
        <f>'BD Team'!C12</f>
        <v>M14600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252</v>
      </c>
      <c r="M49" s="539"/>
      <c r="N49" s="541" t="str">
        <f>'BD Team'!E12</f>
        <v>17.52MM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253</v>
      </c>
      <c r="M50" s="539"/>
      <c r="N50" s="541" t="str">
        <f>'BD Team'!F12</f>
        <v>SS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254</v>
      </c>
      <c r="D52" s="539"/>
      <c r="E52" s="286" t="str">
        <f>'BD Team'!B13</f>
        <v>W4</v>
      </c>
      <c r="F52" s="288" t="s">
        <v>255</v>
      </c>
      <c r="G52" s="541" t="str">
        <f>'BD Team'!D13</f>
        <v>3 TRACK 4 SHUTTER SLIDING DOOR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1F - MASTER BEDROOM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247</v>
      </c>
      <c r="M54" s="539"/>
      <c r="N54" s="541" t="str">
        <f>$F$6</f>
        <v>Wood Effect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178</v>
      </c>
      <c r="M55" s="539"/>
      <c r="N55" s="541" t="str">
        <f>$K$6</f>
        <v>Black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248</v>
      </c>
      <c r="M56" s="539"/>
      <c r="N56" s="544" t="s">
        <v>256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249</v>
      </c>
      <c r="M57" s="539"/>
      <c r="N57" s="541" t="str">
        <f>CONCATENATE('BD Team'!H13," X ",'BD Team'!I13)</f>
        <v>4544 X 2317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250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251</v>
      </c>
      <c r="M59" s="539"/>
      <c r="N59" s="541" t="str">
        <f>'BD Team'!C13</f>
        <v>M14600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252</v>
      </c>
      <c r="M60" s="539"/>
      <c r="N60" s="541" t="str">
        <f>'BD Team'!E13</f>
        <v>17.52MM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253</v>
      </c>
      <c r="M61" s="539"/>
      <c r="N61" s="541" t="str">
        <f>'BD Team'!F13</f>
        <v>SS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254</v>
      </c>
      <c r="D63" s="539"/>
      <c r="E63" s="286" t="str">
        <f>'BD Team'!B14</f>
        <v>W5</v>
      </c>
      <c r="F63" s="288" t="s">
        <v>255</v>
      </c>
      <c r="G63" s="541" t="str">
        <f>'BD Team'!D14</f>
        <v>3 TRACK 2 SHUTTER SLIDING DOOR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1F - MASTER BEDROOM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247</v>
      </c>
      <c r="M65" s="539"/>
      <c r="N65" s="541" t="str">
        <f>$F$6</f>
        <v>Wood Effect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178</v>
      </c>
      <c r="M66" s="539"/>
      <c r="N66" s="541" t="str">
        <f>$K$6</f>
        <v>Black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248</v>
      </c>
      <c r="M67" s="539"/>
      <c r="N67" s="544" t="s">
        <v>256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249</v>
      </c>
      <c r="M68" s="539"/>
      <c r="N68" s="541" t="str">
        <f>CONCATENATE('BD Team'!H14," X ",'BD Team'!I14)</f>
        <v>1847 X 1695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250</v>
      </c>
      <c r="M69" s="539"/>
      <c r="N69" s="540">
        <f>'BD Team'!J14</f>
        <v>1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251</v>
      </c>
      <c r="M70" s="539"/>
      <c r="N70" s="541" t="str">
        <f>'BD Team'!C14</f>
        <v>M14600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252</v>
      </c>
      <c r="M71" s="539"/>
      <c r="N71" s="541" t="str">
        <f>'BD Team'!E14</f>
        <v>17.52MM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253</v>
      </c>
      <c r="M72" s="539"/>
      <c r="N72" s="541" t="str">
        <f>'BD Team'!F14</f>
        <v>SS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254</v>
      </c>
      <c r="D74" s="539"/>
      <c r="E74" s="286" t="str">
        <f>'BD Team'!B15</f>
        <v>W6</v>
      </c>
      <c r="F74" s="288" t="s">
        <v>255</v>
      </c>
      <c r="G74" s="541" t="str">
        <f>'BD Team'!D15</f>
        <v>FIXED GLASS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1F - MASTER BEDROOM BALCONY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247</v>
      </c>
      <c r="M76" s="539"/>
      <c r="N76" s="541" t="str">
        <f>$F$6</f>
        <v>Wood Effect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178</v>
      </c>
      <c r="M77" s="539"/>
      <c r="N77" s="541" t="str">
        <f>$K$6</f>
        <v>Black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248</v>
      </c>
      <c r="M78" s="539"/>
      <c r="N78" s="544" t="s">
        <v>256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249</v>
      </c>
      <c r="M79" s="539"/>
      <c r="N79" s="541" t="str">
        <f>CONCATENATE('BD Team'!H15," X ",'BD Team'!I15)</f>
        <v>2089 X 2628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250</v>
      </c>
      <c r="M80" s="539"/>
      <c r="N80" s="540">
        <f>'BD Team'!J15</f>
        <v>1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251</v>
      </c>
      <c r="M81" s="539"/>
      <c r="N81" s="541" t="str">
        <f>'BD Team'!C15</f>
        <v>M15000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252</v>
      </c>
      <c r="M82" s="539"/>
      <c r="N82" s="541" t="str">
        <f>'BD Team'!E15</f>
        <v>12MM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253</v>
      </c>
      <c r="M83" s="539"/>
      <c r="N83" s="541" t="str">
        <f>'BD Team'!F15</f>
        <v>NO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254</v>
      </c>
      <c r="D85" s="539"/>
      <c r="E85" s="286" t="str">
        <f>'BD Team'!B16</f>
        <v>W7</v>
      </c>
      <c r="F85" s="288" t="s">
        <v>255</v>
      </c>
      <c r="G85" s="541" t="str">
        <f>'BD Team'!D16</f>
        <v>FRENCH WINDOW WITH 5 FIXED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1F - MASTER BEDROOM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247</v>
      </c>
      <c r="M87" s="539"/>
      <c r="N87" s="541" t="str">
        <f>$F$6</f>
        <v>Wood Effect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178</v>
      </c>
      <c r="M88" s="539"/>
      <c r="N88" s="541" t="str">
        <f>$K$6</f>
        <v>Black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248</v>
      </c>
      <c r="M89" s="539"/>
      <c r="N89" s="544" t="s">
        <v>256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249</v>
      </c>
      <c r="M90" s="539"/>
      <c r="N90" s="541" t="str">
        <f>CONCATENATE('BD Team'!H16," X ",'BD Team'!I16)</f>
        <v>2285 X 2121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250</v>
      </c>
      <c r="M91" s="539"/>
      <c r="N91" s="540">
        <f>'BD Team'!J16</f>
        <v>1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251</v>
      </c>
      <c r="M92" s="539"/>
      <c r="N92" s="541" t="str">
        <f>'BD Team'!C16</f>
        <v>M15000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252</v>
      </c>
      <c r="M93" s="539"/>
      <c r="N93" s="541" t="str">
        <f>'BD Team'!E16</f>
        <v>8MM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253</v>
      </c>
      <c r="M94" s="539"/>
      <c r="N94" s="541" t="str">
        <f>'BD Team'!F16</f>
        <v>NO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254</v>
      </c>
      <c r="D96" s="539"/>
      <c r="E96" s="286" t="str">
        <f>'BD Team'!B17</f>
        <v>W8</v>
      </c>
      <c r="F96" s="288" t="s">
        <v>255</v>
      </c>
      <c r="G96" s="541" t="str">
        <f>'BD Team'!D17</f>
        <v>FRENCH WINDOW WITH 5 FIXED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 t="str">
        <f>'BD Team'!G17</f>
        <v>1F - KIDS BEDROOM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247</v>
      </c>
      <c r="M98" s="539"/>
      <c r="N98" s="541" t="str">
        <f>$F$6</f>
        <v>Wood Effect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178</v>
      </c>
      <c r="M99" s="539"/>
      <c r="N99" s="541" t="str">
        <f>$K$6</f>
        <v>Black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248</v>
      </c>
      <c r="M100" s="539"/>
      <c r="N100" s="544" t="s">
        <v>256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249</v>
      </c>
      <c r="M101" s="539"/>
      <c r="N101" s="541" t="str">
        <f>CONCATENATE('BD Team'!H17," X ",'BD Team'!I17)</f>
        <v>2410 X 1738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250</v>
      </c>
      <c r="M102" s="539"/>
      <c r="N102" s="540">
        <f>'BD Team'!J17</f>
        <v>1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251</v>
      </c>
      <c r="M103" s="539"/>
      <c r="N103" s="541" t="str">
        <f>'BD Team'!C17</f>
        <v>M15000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252</v>
      </c>
      <c r="M104" s="539"/>
      <c r="N104" s="541" t="str">
        <f>'BD Team'!E17</f>
        <v>8MM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253</v>
      </c>
      <c r="M105" s="539"/>
      <c r="N105" s="541" t="str">
        <f>'BD Team'!F17</f>
        <v>NO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254</v>
      </c>
      <c r="D107" s="539"/>
      <c r="E107" s="286" t="str">
        <f>'BD Team'!B18</f>
        <v>W9</v>
      </c>
      <c r="F107" s="288" t="s">
        <v>255</v>
      </c>
      <c r="G107" s="541" t="str">
        <f>'BD Team'!D18</f>
        <v>FIXED GLASS 2 NO'S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 t="str">
        <f>'BD Team'!G18</f>
        <v>1F - ELEVATION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247</v>
      </c>
      <c r="M109" s="539"/>
      <c r="N109" s="541" t="str">
        <f>$F$6</f>
        <v>Wood Effect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178</v>
      </c>
      <c r="M110" s="539"/>
      <c r="N110" s="541" t="str">
        <f>$K$6</f>
        <v>Black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248</v>
      </c>
      <c r="M111" s="539"/>
      <c r="N111" s="544" t="s">
        <v>256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249</v>
      </c>
      <c r="M112" s="539"/>
      <c r="N112" s="541" t="str">
        <f>CONCATENATE('BD Team'!H18," X ",'BD Team'!I18)</f>
        <v>3200 X 2654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250</v>
      </c>
      <c r="M113" s="539"/>
      <c r="N113" s="540">
        <f>'BD Team'!J18</f>
        <v>1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251</v>
      </c>
      <c r="M114" s="539"/>
      <c r="N114" s="541" t="str">
        <f>'BD Team'!C18</f>
        <v>M15000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252</v>
      </c>
      <c r="M115" s="539"/>
      <c r="N115" s="541" t="str">
        <f>'BD Team'!E18</f>
        <v>17.52MM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253</v>
      </c>
      <c r="M116" s="539"/>
      <c r="N116" s="541" t="str">
        <f>'BD Team'!F18</f>
        <v>NO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254</v>
      </c>
      <c r="D118" s="539"/>
      <c r="E118" s="286" t="str">
        <f>'BD Team'!B19</f>
        <v>W10</v>
      </c>
      <c r="F118" s="288" t="s">
        <v>255</v>
      </c>
      <c r="G118" s="541" t="str">
        <f>'BD Team'!D19</f>
        <v>FIXED GLASS 4 NO'S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 t="str">
        <f>'BD Team'!G19</f>
        <v>1F - ELEVATION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247</v>
      </c>
      <c r="M120" s="539"/>
      <c r="N120" s="541" t="str">
        <f>$F$6</f>
        <v>Wood Effect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178</v>
      </c>
      <c r="M121" s="539"/>
      <c r="N121" s="541" t="str">
        <f>$K$6</f>
        <v>Black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248</v>
      </c>
      <c r="M122" s="539"/>
      <c r="N122" s="544" t="s">
        <v>256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249</v>
      </c>
      <c r="M123" s="539"/>
      <c r="N123" s="541" t="str">
        <f>CONCATENATE('BD Team'!H19," X ",'BD Team'!I19)</f>
        <v>8792 X 2600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250</v>
      </c>
      <c r="M124" s="539"/>
      <c r="N124" s="540">
        <f>'BD Team'!J19</f>
        <v>1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251</v>
      </c>
      <c r="M125" s="539"/>
      <c r="N125" s="541" t="str">
        <f>'BD Team'!C19</f>
        <v>M15000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252</v>
      </c>
      <c r="M126" s="539"/>
      <c r="N126" s="541" t="str">
        <f>'BD Team'!E19</f>
        <v>17.52MM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253</v>
      </c>
      <c r="M127" s="539"/>
      <c r="N127" s="541" t="str">
        <f>'BD Team'!F19</f>
        <v>NO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254</v>
      </c>
      <c r="D129" s="539"/>
      <c r="E129" s="286" t="str">
        <f>'BD Team'!B20</f>
        <v>W11</v>
      </c>
      <c r="F129" s="288" t="s">
        <v>255</v>
      </c>
      <c r="G129" s="541" t="str">
        <f>'BD Team'!D20</f>
        <v>FIXED GLASS 2 NO'S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 t="str">
        <f>'BD Team'!G20</f>
        <v>2F - GUEST BEDROOM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247</v>
      </c>
      <c r="M131" s="539"/>
      <c r="N131" s="541" t="str">
        <f>$F$6</f>
        <v>Wood Effect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178</v>
      </c>
      <c r="M132" s="539"/>
      <c r="N132" s="541" t="str">
        <f>$K$6</f>
        <v>Black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248</v>
      </c>
      <c r="M133" s="539"/>
      <c r="N133" s="544" t="s">
        <v>256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249</v>
      </c>
      <c r="M134" s="539"/>
      <c r="N134" s="541" t="str">
        <f>CONCATENATE('BD Team'!H20," X ",'BD Team'!I20)</f>
        <v>4356 X 2068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250</v>
      </c>
      <c r="M135" s="539"/>
      <c r="N135" s="540">
        <f>'BD Team'!J20</f>
        <v>1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251</v>
      </c>
      <c r="M136" s="539"/>
      <c r="N136" s="541" t="str">
        <f>'BD Team'!C20</f>
        <v>M15000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252</v>
      </c>
      <c r="M137" s="539"/>
      <c r="N137" s="541" t="str">
        <f>'BD Team'!E20</f>
        <v>17.52MM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253</v>
      </c>
      <c r="M138" s="539"/>
      <c r="N138" s="541" t="str">
        <f>'BD Team'!F20</f>
        <v>NO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254</v>
      </c>
      <c r="D140" s="539"/>
      <c r="E140" s="286" t="str">
        <f>'BD Team'!B21</f>
        <v>W12</v>
      </c>
      <c r="F140" s="288" t="s">
        <v>255</v>
      </c>
      <c r="G140" s="541" t="str">
        <f>'BD Team'!D21</f>
        <v>3 TRACK 2 SHUTTER SLIDING DOOR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 t="str">
        <f>'BD Team'!G21</f>
        <v>2F - GUEST BEDROOM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247</v>
      </c>
      <c r="M142" s="539"/>
      <c r="N142" s="541" t="str">
        <f>$F$6</f>
        <v>Wood Effect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178</v>
      </c>
      <c r="M143" s="539"/>
      <c r="N143" s="541" t="str">
        <f>$K$6</f>
        <v>Black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248</v>
      </c>
      <c r="M144" s="539"/>
      <c r="N144" s="544" t="s">
        <v>256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249</v>
      </c>
      <c r="M145" s="539"/>
      <c r="N145" s="541" t="str">
        <f>CONCATENATE('BD Team'!H21," X ",'BD Team'!I21)</f>
        <v>1245 X 1749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250</v>
      </c>
      <c r="M146" s="539"/>
      <c r="N146" s="540">
        <f>'BD Team'!J21</f>
        <v>2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251</v>
      </c>
      <c r="M147" s="539"/>
      <c r="N147" s="541" t="str">
        <f>'BD Team'!C21</f>
        <v>M14600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252</v>
      </c>
      <c r="M148" s="539"/>
      <c r="N148" s="541" t="str">
        <f>'BD Team'!E21</f>
        <v>17.52MM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253</v>
      </c>
      <c r="M149" s="539"/>
      <c r="N149" s="541" t="str">
        <f>'BD Team'!F21</f>
        <v>SS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254</v>
      </c>
      <c r="D151" s="539"/>
      <c r="E151" s="286" t="str">
        <f>'BD Team'!B22</f>
        <v>W13</v>
      </c>
      <c r="F151" s="288" t="s">
        <v>255</v>
      </c>
      <c r="G151" s="541" t="str">
        <f>'BD Team'!D22</f>
        <v>FIXED GLASS IN SHAPE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 t="str">
        <f>'BD Team'!G22</f>
        <v>2F - GUEST BEDROOM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247</v>
      </c>
      <c r="M153" s="539"/>
      <c r="N153" s="541" t="str">
        <f>$F$6</f>
        <v>Wood Effect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178</v>
      </c>
      <c r="M154" s="539"/>
      <c r="N154" s="541" t="str">
        <f>$K$6</f>
        <v>Black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248</v>
      </c>
      <c r="M155" s="539"/>
      <c r="N155" s="544" t="s">
        <v>256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249</v>
      </c>
      <c r="M156" s="539"/>
      <c r="N156" s="541" t="str">
        <f>CONCATENATE('BD Team'!H22," X ",'BD Team'!I22)</f>
        <v>2186 X 1627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250</v>
      </c>
      <c r="M157" s="539"/>
      <c r="N157" s="540">
        <f>'BD Team'!J22</f>
        <v>1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251</v>
      </c>
      <c r="M158" s="539"/>
      <c r="N158" s="541" t="str">
        <f>'BD Team'!C22</f>
        <v>M15000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252</v>
      </c>
      <c r="M159" s="539"/>
      <c r="N159" s="541" t="str">
        <f>'BD Team'!E22</f>
        <v>8MM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253</v>
      </c>
      <c r="M160" s="539"/>
      <c r="N160" s="541" t="str">
        <f>'BD Team'!F22</f>
        <v>NO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254</v>
      </c>
      <c r="D162" s="539"/>
      <c r="E162" s="286" t="str">
        <f>'BD Team'!B23</f>
        <v>W14</v>
      </c>
      <c r="F162" s="288" t="s">
        <v>255</v>
      </c>
      <c r="G162" s="541" t="str">
        <f>'BD Team'!D23</f>
        <v>3 TRACK 2 SHUTTER SLIDING DOOR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 t="str">
        <f>'BD Team'!G23</f>
        <v>2F - PLAYROOM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247</v>
      </c>
      <c r="M164" s="539"/>
      <c r="N164" s="541" t="str">
        <f>$F$6</f>
        <v>Wood Effect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178</v>
      </c>
      <c r="M165" s="539"/>
      <c r="N165" s="541" t="str">
        <f>$K$6</f>
        <v>Black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248</v>
      </c>
      <c r="M166" s="539"/>
      <c r="N166" s="544" t="s">
        <v>256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249</v>
      </c>
      <c r="M167" s="539"/>
      <c r="N167" s="541" t="str">
        <f>CONCATENATE('BD Team'!H23," X ",'BD Team'!I23)</f>
        <v>3015 X 2193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250</v>
      </c>
      <c r="M168" s="539"/>
      <c r="N168" s="540">
        <f>'BD Team'!J23</f>
        <v>1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251</v>
      </c>
      <c r="M169" s="539"/>
      <c r="N169" s="541" t="str">
        <f>'BD Team'!C23</f>
        <v>M14600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252</v>
      </c>
      <c r="M170" s="539"/>
      <c r="N170" s="541" t="str">
        <f>'BD Team'!E23</f>
        <v>17.52MM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253</v>
      </c>
      <c r="M171" s="539"/>
      <c r="N171" s="541" t="str">
        <f>'BD Team'!F23</f>
        <v>SS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254</v>
      </c>
      <c r="D173" s="539"/>
      <c r="E173" s="286" t="str">
        <f>'BD Team'!B24</f>
        <v>W15</v>
      </c>
      <c r="F173" s="288" t="s">
        <v>255</v>
      </c>
      <c r="G173" s="541" t="str">
        <f>'BD Team'!D24</f>
        <v>FIXED GLASS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 t="str">
        <f>'BD Team'!G24</f>
        <v>2F - PLAYROOM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247</v>
      </c>
      <c r="M175" s="539"/>
      <c r="N175" s="541" t="str">
        <f>$F$6</f>
        <v>Wood Effect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178</v>
      </c>
      <c r="M176" s="539"/>
      <c r="N176" s="541" t="str">
        <f>$K$6</f>
        <v>Black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248</v>
      </c>
      <c r="M177" s="539"/>
      <c r="N177" s="544" t="s">
        <v>256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249</v>
      </c>
      <c r="M178" s="539"/>
      <c r="N178" s="541" t="str">
        <f>CONCATENATE('BD Team'!H24," X ",'BD Team'!I24)</f>
        <v>1174 X 2175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250</v>
      </c>
      <c r="M179" s="539"/>
      <c r="N179" s="540">
        <f>'BD Team'!J24</f>
        <v>1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251</v>
      </c>
      <c r="M180" s="539"/>
      <c r="N180" s="541" t="str">
        <f>'BD Team'!C24</f>
        <v>M15000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252</v>
      </c>
      <c r="M181" s="539"/>
      <c r="N181" s="541" t="str">
        <f>'BD Team'!E24</f>
        <v>17.52MM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253</v>
      </c>
      <c r="M182" s="539"/>
      <c r="N182" s="541" t="str">
        <f>'BD Team'!F24</f>
        <v>NO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254</v>
      </c>
      <c r="D184" s="539"/>
      <c r="E184" s="286" t="str">
        <f>'BD Team'!B25</f>
        <v>W16</v>
      </c>
      <c r="F184" s="288" t="s">
        <v>255</v>
      </c>
      <c r="G184" s="541" t="str">
        <f>'BD Team'!D25</f>
        <v>FIXED GLASS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 t="str">
        <f>'BD Team'!G25</f>
        <v>2F - PLAYROOM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247</v>
      </c>
      <c r="M186" s="539"/>
      <c r="N186" s="541" t="str">
        <f>$F$6</f>
        <v>Wood Effect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178</v>
      </c>
      <c r="M187" s="539"/>
      <c r="N187" s="541" t="str">
        <f>$K$6</f>
        <v>Black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248</v>
      </c>
      <c r="M188" s="539"/>
      <c r="N188" s="544" t="s">
        <v>256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249</v>
      </c>
      <c r="M189" s="539"/>
      <c r="N189" s="541" t="str">
        <f>CONCATENATE('BD Team'!H25," X ",'BD Team'!I25)</f>
        <v>1566 X 2182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250</v>
      </c>
      <c r="M190" s="539"/>
      <c r="N190" s="540">
        <f>'BD Team'!J25</f>
        <v>1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251</v>
      </c>
      <c r="M191" s="539"/>
      <c r="N191" s="541" t="str">
        <f>'BD Team'!C25</f>
        <v>M15000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252</v>
      </c>
      <c r="M192" s="539"/>
      <c r="N192" s="541" t="str">
        <f>'BD Team'!E25</f>
        <v>17.52MM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253</v>
      </c>
      <c r="M193" s="539"/>
      <c r="N193" s="541" t="str">
        <f>'BD Team'!F25</f>
        <v>NO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247</v>
      </c>
      <c r="M197" s="539"/>
      <c r="N197" s="541" t="str">
        <f>$F$6</f>
        <v>Wood Effect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178</v>
      </c>
      <c r="M198" s="539"/>
      <c r="N198" s="541" t="str">
        <f>$K$6</f>
        <v>Black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248</v>
      </c>
      <c r="M199" s="539"/>
      <c r="N199" s="544" t="s">
        <v>256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249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250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251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252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253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247</v>
      </c>
      <c r="M208" s="539"/>
      <c r="N208" s="541" t="str">
        <f>$F$6</f>
        <v>Wood Effect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178</v>
      </c>
      <c r="M209" s="539"/>
      <c r="N209" s="541" t="str">
        <f>$K$6</f>
        <v>Black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248</v>
      </c>
      <c r="M210" s="539"/>
      <c r="N210" s="544" t="s">
        <v>256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249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250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251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252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253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247</v>
      </c>
      <c r="M219" s="539"/>
      <c r="N219" s="541" t="str">
        <f>$F$6</f>
        <v>Wood Effect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178</v>
      </c>
      <c r="M220" s="539"/>
      <c r="N220" s="541" t="str">
        <f>$K$6</f>
        <v>Black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248</v>
      </c>
      <c r="M221" s="539"/>
      <c r="N221" s="544" t="s">
        <v>256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249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250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251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252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253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247</v>
      </c>
      <c r="M230" s="539"/>
      <c r="N230" s="541" t="str">
        <f>$F$6</f>
        <v>Wood Effect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178</v>
      </c>
      <c r="M231" s="539"/>
      <c r="N231" s="541" t="str">
        <f>$K$6</f>
        <v>Black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248</v>
      </c>
      <c r="M232" s="539"/>
      <c r="N232" s="544" t="s">
        <v>256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249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250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251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252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253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247</v>
      </c>
      <c r="M241" s="539"/>
      <c r="N241" s="541" t="str">
        <f>$F$6</f>
        <v>Wood Effect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178</v>
      </c>
      <c r="M242" s="539"/>
      <c r="N242" s="541" t="str">
        <f>$K$6</f>
        <v>Black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248</v>
      </c>
      <c r="M243" s="539"/>
      <c r="N243" s="544" t="s">
        <v>256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249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250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251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252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253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247</v>
      </c>
      <c r="M252" s="539"/>
      <c r="N252" s="541" t="str">
        <f>$F$6</f>
        <v>Wood Effect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178</v>
      </c>
      <c r="M253" s="539"/>
      <c r="N253" s="541" t="str">
        <f>$K$6</f>
        <v>Black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248</v>
      </c>
      <c r="M254" s="539"/>
      <c r="N254" s="544" t="s">
        <v>256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249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250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251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252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253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247</v>
      </c>
      <c r="M263" s="539"/>
      <c r="N263" s="541" t="str">
        <f>$F$6</f>
        <v>Wood Effect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178</v>
      </c>
      <c r="M264" s="539"/>
      <c r="N264" s="541" t="str">
        <f>$K$6</f>
        <v>Black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248</v>
      </c>
      <c r="M265" s="539"/>
      <c r="N265" s="544" t="s">
        <v>256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249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250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251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252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253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247</v>
      </c>
      <c r="M274" s="539"/>
      <c r="N274" s="541" t="str">
        <f>$F$6</f>
        <v>Wood Effect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178</v>
      </c>
      <c r="M275" s="539"/>
      <c r="N275" s="541" t="str">
        <f>$K$6</f>
        <v>Black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248</v>
      </c>
      <c r="M276" s="539"/>
      <c r="N276" s="544" t="s">
        <v>256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249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250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251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252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253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247</v>
      </c>
      <c r="M285" s="539"/>
      <c r="N285" s="541" t="str">
        <f>$F$6</f>
        <v>Wood Effect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178</v>
      </c>
      <c r="M286" s="539"/>
      <c r="N286" s="541" t="str">
        <f>$K$6</f>
        <v>Black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248</v>
      </c>
      <c r="M287" s="539"/>
      <c r="N287" s="544" t="s">
        <v>256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249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250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251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252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253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247</v>
      </c>
      <c r="M296" s="539"/>
      <c r="N296" s="541" t="str">
        <f>$F$6</f>
        <v>Wood Effect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178</v>
      </c>
      <c r="M297" s="539"/>
      <c r="N297" s="541" t="str">
        <f>$K$6</f>
        <v>Black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248</v>
      </c>
      <c r="M298" s="539"/>
      <c r="N298" s="544" t="s">
        <v>256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249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250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251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252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253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247</v>
      </c>
      <c r="M307" s="539"/>
      <c r="N307" s="541" t="str">
        <f>$F$6</f>
        <v>Wood Effect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178</v>
      </c>
      <c r="M308" s="539"/>
      <c r="N308" s="541" t="str">
        <f>$K$6</f>
        <v>Black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248</v>
      </c>
      <c r="M309" s="539"/>
      <c r="N309" s="544" t="s">
        <v>256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249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250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251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252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253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247</v>
      </c>
      <c r="M318" s="539"/>
      <c r="N318" s="541" t="str">
        <f>$F$6</f>
        <v>Wood Effect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178</v>
      </c>
      <c r="M319" s="539"/>
      <c r="N319" s="541" t="str">
        <f>$K$6</f>
        <v>Black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248</v>
      </c>
      <c r="M320" s="539"/>
      <c r="N320" s="544" t="s">
        <v>256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249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250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251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252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253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247</v>
      </c>
      <c r="M329" s="539"/>
      <c r="N329" s="541" t="str">
        <f>$F$6</f>
        <v>Wood Effect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178</v>
      </c>
      <c r="M330" s="539"/>
      <c r="N330" s="541" t="str">
        <f>$K$6</f>
        <v>Black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248</v>
      </c>
      <c r="M331" s="539"/>
      <c r="N331" s="544" t="s">
        <v>256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249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250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251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252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253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247</v>
      </c>
      <c r="M340" s="539"/>
      <c r="N340" s="541" t="str">
        <f>$F$6</f>
        <v>Wood Effect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178</v>
      </c>
      <c r="M341" s="539"/>
      <c r="N341" s="541" t="str">
        <f>$K$6</f>
        <v>Black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248</v>
      </c>
      <c r="M342" s="539"/>
      <c r="N342" s="544" t="s">
        <v>256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249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250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251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252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253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247</v>
      </c>
      <c r="M351" s="539"/>
      <c r="N351" s="541" t="str">
        <f>$F$6</f>
        <v>Wood Effect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178</v>
      </c>
      <c r="M352" s="539"/>
      <c r="N352" s="541" t="str">
        <f>$K$6</f>
        <v>Black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248</v>
      </c>
      <c r="M353" s="539"/>
      <c r="N353" s="544" t="s">
        <v>256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249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250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251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252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253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247</v>
      </c>
      <c r="M362" s="539"/>
      <c r="N362" s="541" t="str">
        <f>$F$6</f>
        <v>Wood Effect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178</v>
      </c>
      <c r="M363" s="539"/>
      <c r="N363" s="541" t="str">
        <f>$K$6</f>
        <v>Black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248</v>
      </c>
      <c r="M364" s="539"/>
      <c r="N364" s="544" t="s">
        <v>256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249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250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251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252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253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247</v>
      </c>
      <c r="M373" s="539"/>
      <c r="N373" s="541" t="str">
        <f>$F$6</f>
        <v>Wood Effect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178</v>
      </c>
      <c r="M374" s="539"/>
      <c r="N374" s="541" t="str">
        <f>$K$6</f>
        <v>Black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248</v>
      </c>
      <c r="M375" s="539"/>
      <c r="N375" s="544" t="s">
        <v>256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249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250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251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252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253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247</v>
      </c>
      <c r="M384" s="539"/>
      <c r="N384" s="541" t="str">
        <f>$F$6</f>
        <v>Wood Effect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178</v>
      </c>
      <c r="M385" s="539"/>
      <c r="N385" s="541" t="str">
        <f>$K$6</f>
        <v>Black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248</v>
      </c>
      <c r="M386" s="539"/>
      <c r="N386" s="544" t="s">
        <v>256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249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250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251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252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253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247</v>
      </c>
      <c r="M395" s="539"/>
      <c r="N395" s="541" t="str">
        <f>$F$6</f>
        <v>Wood Effect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178</v>
      </c>
      <c r="M396" s="539"/>
      <c r="N396" s="541" t="str">
        <f>$K$6</f>
        <v>Black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248</v>
      </c>
      <c r="M397" s="539"/>
      <c r="N397" s="544" t="s">
        <v>256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249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250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251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252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253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247</v>
      </c>
      <c r="M406" s="539"/>
      <c r="N406" s="541" t="str">
        <f>$F$6</f>
        <v>Wood Effect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178</v>
      </c>
      <c r="M407" s="539"/>
      <c r="N407" s="541" t="str">
        <f>$K$6</f>
        <v>Black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248</v>
      </c>
      <c r="M408" s="539"/>
      <c r="N408" s="544" t="s">
        <v>256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249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250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251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252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253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247</v>
      </c>
      <c r="M417" s="539"/>
      <c r="N417" s="541" t="str">
        <f>$F$6</f>
        <v>Wood Effect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178</v>
      </c>
      <c r="M418" s="539"/>
      <c r="N418" s="541" t="str">
        <f>$K$6</f>
        <v>Black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248</v>
      </c>
      <c r="M419" s="539"/>
      <c r="N419" s="544" t="s">
        <v>256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249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250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251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252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253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247</v>
      </c>
      <c r="M428" s="539"/>
      <c r="N428" s="541" t="str">
        <f>$F$6</f>
        <v>Wood Effect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178</v>
      </c>
      <c r="M429" s="539"/>
      <c r="N429" s="541" t="str">
        <f>$K$6</f>
        <v>Black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248</v>
      </c>
      <c r="M430" s="539"/>
      <c r="N430" s="544" t="s">
        <v>256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249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250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251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252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253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247</v>
      </c>
      <c r="M439" s="539"/>
      <c r="N439" s="541" t="str">
        <f>$F$6</f>
        <v>Wood Effect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178</v>
      </c>
      <c r="M440" s="539"/>
      <c r="N440" s="541" t="str">
        <f>$K$6</f>
        <v>Black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248</v>
      </c>
      <c r="M441" s="539"/>
      <c r="N441" s="544" t="s">
        <v>256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249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250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251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252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253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247</v>
      </c>
      <c r="M450" s="539"/>
      <c r="N450" s="541" t="str">
        <f>$F$6</f>
        <v>Wood Effect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178</v>
      </c>
      <c r="M451" s="539"/>
      <c r="N451" s="541" t="str">
        <f>$K$6</f>
        <v>Black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248</v>
      </c>
      <c r="M452" s="539"/>
      <c r="N452" s="544" t="s">
        <v>256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249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250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251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252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253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247</v>
      </c>
      <c r="M461" s="539"/>
      <c r="N461" s="541" t="str">
        <f>$F$6</f>
        <v>Wood Effect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178</v>
      </c>
      <c r="M462" s="539"/>
      <c r="N462" s="541" t="str">
        <f>$K$6</f>
        <v>Black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248</v>
      </c>
      <c r="M463" s="539"/>
      <c r="N463" s="544" t="s">
        <v>256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249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250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251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252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253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247</v>
      </c>
      <c r="M472" s="539"/>
      <c r="N472" s="541" t="str">
        <f>$F$6</f>
        <v>Wood Effect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178</v>
      </c>
      <c r="M473" s="539"/>
      <c r="N473" s="541" t="str">
        <f>$K$6</f>
        <v>Black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248</v>
      </c>
      <c r="M474" s="539"/>
      <c r="N474" s="544" t="s">
        <v>256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249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250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251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252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253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247</v>
      </c>
      <c r="M483" s="539"/>
      <c r="N483" s="541" t="str">
        <f>$F$6</f>
        <v>Wood Effect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178</v>
      </c>
      <c r="M484" s="539"/>
      <c r="N484" s="541" t="str">
        <f>$K$6</f>
        <v>Black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248</v>
      </c>
      <c r="M485" s="539"/>
      <c r="N485" s="544" t="s">
        <v>256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249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250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251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252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253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247</v>
      </c>
      <c r="M494" s="539"/>
      <c r="N494" s="541" t="str">
        <f>$F$6</f>
        <v>Wood Effect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178</v>
      </c>
      <c r="M495" s="539"/>
      <c r="N495" s="541" t="str">
        <f>$K$6</f>
        <v>Black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248</v>
      </c>
      <c r="M496" s="539"/>
      <c r="N496" s="544" t="s">
        <v>256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249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250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251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252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253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247</v>
      </c>
      <c r="M505" s="539"/>
      <c r="N505" s="541" t="str">
        <f>$F$6</f>
        <v>Wood Effect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178</v>
      </c>
      <c r="M506" s="539"/>
      <c r="N506" s="541" t="str">
        <f>$K$6</f>
        <v>Black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248</v>
      </c>
      <c r="M507" s="539"/>
      <c r="N507" s="544" t="s">
        <v>256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249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250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251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252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253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247</v>
      </c>
      <c r="M516" s="539"/>
      <c r="N516" s="541" t="str">
        <f>$F$6</f>
        <v>Wood Effect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178</v>
      </c>
      <c r="M517" s="539"/>
      <c r="N517" s="541" t="str">
        <f>$K$6</f>
        <v>Black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248</v>
      </c>
      <c r="M518" s="539"/>
      <c r="N518" s="544" t="s">
        <v>256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249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250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251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252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253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247</v>
      </c>
      <c r="M527" s="539"/>
      <c r="N527" s="541" t="str">
        <f>$F$6</f>
        <v>Wood Effect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178</v>
      </c>
      <c r="M528" s="539"/>
      <c r="N528" s="541" t="str">
        <f>$K$6</f>
        <v>Black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248</v>
      </c>
      <c r="M529" s="539"/>
      <c r="N529" s="544" t="s">
        <v>256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249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250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251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252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253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247</v>
      </c>
      <c r="M538" s="539"/>
      <c r="N538" s="541" t="str">
        <f>$F$6</f>
        <v>Wood Effect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178</v>
      </c>
      <c r="M539" s="539"/>
      <c r="N539" s="541" t="str">
        <f>$K$6</f>
        <v>Black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248</v>
      </c>
      <c r="M540" s="539"/>
      <c r="N540" s="544" t="s">
        <v>256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249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250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251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252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253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247</v>
      </c>
      <c r="M549" s="539"/>
      <c r="N549" s="541" t="str">
        <f>$F$6</f>
        <v>Wood Effect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178</v>
      </c>
      <c r="M550" s="539"/>
      <c r="N550" s="541" t="str">
        <f>$K$6</f>
        <v>Black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248</v>
      </c>
      <c r="M551" s="539"/>
      <c r="N551" s="544" t="s">
        <v>256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249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250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251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252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253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247</v>
      </c>
      <c r="M560" s="539"/>
      <c r="N560" s="541" t="str">
        <f>$F$6</f>
        <v>Wood Effect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178</v>
      </c>
      <c r="M561" s="539"/>
      <c r="N561" s="541" t="str">
        <f>$K$6</f>
        <v>Black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248</v>
      </c>
      <c r="M562" s="539"/>
      <c r="N562" s="544" t="s">
        <v>256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249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250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251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252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253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247</v>
      </c>
      <c r="M571" s="539"/>
      <c r="N571" s="541" t="str">
        <f>$F$6</f>
        <v>Wood Effect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178</v>
      </c>
      <c r="M572" s="539"/>
      <c r="N572" s="541" t="str">
        <f>$K$6</f>
        <v>Black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248</v>
      </c>
      <c r="M573" s="539"/>
      <c r="N573" s="544" t="s">
        <v>256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249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250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251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252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253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247</v>
      </c>
      <c r="M582" s="539"/>
      <c r="N582" s="541" t="str">
        <f>$F$6</f>
        <v>Wood Effect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178</v>
      </c>
      <c r="M583" s="539"/>
      <c r="N583" s="541" t="str">
        <f>$K$6</f>
        <v>Black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248</v>
      </c>
      <c r="M584" s="539"/>
      <c r="N584" s="544" t="s">
        <v>256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249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250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251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252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253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247</v>
      </c>
      <c r="M593" s="539"/>
      <c r="N593" s="541" t="str">
        <f>$F$6</f>
        <v>Wood Effect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178</v>
      </c>
      <c r="M594" s="539"/>
      <c r="N594" s="541" t="str">
        <f>$K$6</f>
        <v>Black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248</v>
      </c>
      <c r="M595" s="539"/>
      <c r="N595" s="544" t="s">
        <v>256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249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250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251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252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253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247</v>
      </c>
      <c r="M604" s="539"/>
      <c r="N604" s="541" t="str">
        <f>$F$6</f>
        <v>Wood Effect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178</v>
      </c>
      <c r="M605" s="539"/>
      <c r="N605" s="541" t="str">
        <f>$K$6</f>
        <v>Black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248</v>
      </c>
      <c r="M606" s="539"/>
      <c r="N606" s="544" t="s">
        <v>256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249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250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251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252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253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247</v>
      </c>
      <c r="M615" s="539"/>
      <c r="N615" s="541" t="str">
        <f>$F$6</f>
        <v>Wood Effect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178</v>
      </c>
      <c r="M616" s="539"/>
      <c r="N616" s="541" t="str">
        <f>$K$6</f>
        <v>Black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248</v>
      </c>
      <c r="M617" s="539"/>
      <c r="N617" s="544" t="s">
        <v>256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249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250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251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252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253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247</v>
      </c>
      <c r="M626" s="539"/>
      <c r="N626" s="541" t="str">
        <f>$F$6</f>
        <v>Wood Effect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178</v>
      </c>
      <c r="M627" s="539"/>
      <c r="N627" s="541" t="str">
        <f>$K$6</f>
        <v>Black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248</v>
      </c>
      <c r="M628" s="539"/>
      <c r="N628" s="544" t="s">
        <v>256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249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250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251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252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253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247</v>
      </c>
      <c r="M637" s="539"/>
      <c r="N637" s="541" t="str">
        <f>$F$6</f>
        <v>Wood Effect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178</v>
      </c>
      <c r="M638" s="539"/>
      <c r="N638" s="541" t="str">
        <f>$K$6</f>
        <v>Black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248</v>
      </c>
      <c r="M639" s="539"/>
      <c r="N639" s="544" t="s">
        <v>256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249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250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251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252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253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247</v>
      </c>
      <c r="M648" s="539"/>
      <c r="N648" s="541" t="str">
        <f>$F$6</f>
        <v>Wood Effect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178</v>
      </c>
      <c r="M649" s="539"/>
      <c r="N649" s="541" t="str">
        <f>$K$6</f>
        <v>Black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248</v>
      </c>
      <c r="M650" s="539"/>
      <c r="N650" s="544" t="s">
        <v>256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249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250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251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252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253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247</v>
      </c>
      <c r="M659" s="539"/>
      <c r="N659" s="541" t="str">
        <f>$F$6</f>
        <v>Wood Effect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178</v>
      </c>
      <c r="M660" s="539"/>
      <c r="N660" s="541" t="str">
        <f>$K$6</f>
        <v>Black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248</v>
      </c>
      <c r="M661" s="539"/>
      <c r="N661" s="544" t="s">
        <v>256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249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250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251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252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253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247</v>
      </c>
      <c r="M670" s="539"/>
      <c r="N670" s="541" t="str">
        <f>$F$6</f>
        <v>Wood Effect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178</v>
      </c>
      <c r="M671" s="539"/>
      <c r="N671" s="541" t="str">
        <f>$K$6</f>
        <v>Black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248</v>
      </c>
      <c r="M672" s="539"/>
      <c r="N672" s="544" t="s">
        <v>256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249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250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251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252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253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247</v>
      </c>
      <c r="M681" s="539"/>
      <c r="N681" s="541" t="str">
        <f>$F$6</f>
        <v>Wood Effect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178</v>
      </c>
      <c r="M682" s="539"/>
      <c r="N682" s="541" t="str">
        <f>$K$6</f>
        <v>Black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248</v>
      </c>
      <c r="M683" s="539"/>
      <c r="N683" s="544" t="s">
        <v>256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249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250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251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252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253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247</v>
      </c>
      <c r="M692" s="539"/>
      <c r="N692" s="541" t="str">
        <f>$F$6</f>
        <v>Wood Effect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178</v>
      </c>
      <c r="M693" s="539"/>
      <c r="N693" s="541" t="str">
        <f>$K$6</f>
        <v>Black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248</v>
      </c>
      <c r="M694" s="539"/>
      <c r="N694" s="544" t="s">
        <v>256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249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250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251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252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253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247</v>
      </c>
      <c r="M703" s="539"/>
      <c r="N703" s="541" t="str">
        <f>$F$6</f>
        <v>Wood Effect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178</v>
      </c>
      <c r="M704" s="539"/>
      <c r="N704" s="541" t="str">
        <f>$K$6</f>
        <v>Black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248</v>
      </c>
      <c r="M705" s="539"/>
      <c r="N705" s="544" t="s">
        <v>256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249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250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251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252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253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247</v>
      </c>
      <c r="M714" s="539"/>
      <c r="N714" s="541" t="str">
        <f>$F$6</f>
        <v>Wood Effect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178</v>
      </c>
      <c r="M715" s="539"/>
      <c r="N715" s="541" t="str">
        <f>$K$6</f>
        <v>Black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248</v>
      </c>
      <c r="M716" s="539"/>
      <c r="N716" s="544" t="s">
        <v>256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249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250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251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252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253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247</v>
      </c>
      <c r="M725" s="539"/>
      <c r="N725" s="541" t="str">
        <f>$F$6</f>
        <v>Wood Effect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178</v>
      </c>
      <c r="M726" s="539"/>
      <c r="N726" s="541" t="str">
        <f>$K$6</f>
        <v>Black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248</v>
      </c>
      <c r="M727" s="539"/>
      <c r="N727" s="544" t="s">
        <v>256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249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250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251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252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253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247</v>
      </c>
      <c r="M736" s="539"/>
      <c r="N736" s="541" t="str">
        <f>$F$6</f>
        <v>Wood Effect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178</v>
      </c>
      <c r="M737" s="539"/>
      <c r="N737" s="541" t="str">
        <f>$K$6</f>
        <v>Black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248</v>
      </c>
      <c r="M738" s="539"/>
      <c r="N738" s="544" t="s">
        <v>256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249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250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251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252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253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247</v>
      </c>
      <c r="M747" s="539"/>
      <c r="N747" s="541" t="str">
        <f>$F$6</f>
        <v>Wood Effect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178</v>
      </c>
      <c r="M748" s="539"/>
      <c r="N748" s="541" t="str">
        <f>$K$6</f>
        <v>Black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248</v>
      </c>
      <c r="M749" s="539"/>
      <c r="N749" s="544" t="s">
        <v>256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249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250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251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252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253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247</v>
      </c>
      <c r="M758" s="539"/>
      <c r="N758" s="541" t="str">
        <f>$F$6</f>
        <v>Wood Effect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178</v>
      </c>
      <c r="M759" s="539"/>
      <c r="N759" s="541" t="str">
        <f>$K$6</f>
        <v>Black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248</v>
      </c>
      <c r="M760" s="539"/>
      <c r="N760" s="544" t="s">
        <v>256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249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250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251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252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253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247</v>
      </c>
      <c r="M769" s="539"/>
      <c r="N769" s="541" t="str">
        <f>$F$6</f>
        <v>Wood Effect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178</v>
      </c>
      <c r="M770" s="539"/>
      <c r="N770" s="541" t="str">
        <f>$K$6</f>
        <v>Black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248</v>
      </c>
      <c r="M771" s="539"/>
      <c r="N771" s="544" t="s">
        <v>256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249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250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251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252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253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247</v>
      </c>
      <c r="M780" s="539"/>
      <c r="N780" s="541" t="str">
        <f>$F$6</f>
        <v>Wood Effect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178</v>
      </c>
      <c r="M781" s="539"/>
      <c r="N781" s="541" t="str">
        <f>$K$6</f>
        <v>Black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248</v>
      </c>
      <c r="M782" s="539"/>
      <c r="N782" s="544" t="s">
        <v>256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249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250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251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252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253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247</v>
      </c>
      <c r="M791" s="539"/>
      <c r="N791" s="541" t="str">
        <f>$F$6</f>
        <v>Wood Effect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178</v>
      </c>
      <c r="M792" s="539"/>
      <c r="N792" s="541" t="str">
        <f>$K$6</f>
        <v>Black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248</v>
      </c>
      <c r="M793" s="539"/>
      <c r="N793" s="544" t="s">
        <v>256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249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250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251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252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253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247</v>
      </c>
      <c r="M802" s="539"/>
      <c r="N802" s="541" t="str">
        <f>$F$6</f>
        <v>Wood Effect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178</v>
      </c>
      <c r="M803" s="539"/>
      <c r="N803" s="541" t="str">
        <f>$K$6</f>
        <v>Black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248</v>
      </c>
      <c r="M804" s="539"/>
      <c r="N804" s="544" t="s">
        <v>256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249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250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251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252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253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247</v>
      </c>
      <c r="M813" s="539"/>
      <c r="N813" s="541" t="str">
        <f>$F$6</f>
        <v>Wood Effect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178</v>
      </c>
      <c r="M814" s="539"/>
      <c r="N814" s="541" t="str">
        <f>$K$6</f>
        <v>Black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248</v>
      </c>
      <c r="M815" s="539"/>
      <c r="N815" s="544" t="s">
        <v>256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249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250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251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252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253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247</v>
      </c>
      <c r="M824" s="539"/>
      <c r="N824" s="541" t="str">
        <f>$F$6</f>
        <v>Wood Effect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178</v>
      </c>
      <c r="M825" s="539"/>
      <c r="N825" s="541" t="str">
        <f>$K$6</f>
        <v>Black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248</v>
      </c>
      <c r="M826" s="539"/>
      <c r="N826" s="544" t="s">
        <v>256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249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250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251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252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253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247</v>
      </c>
      <c r="M835" s="539"/>
      <c r="N835" s="541" t="str">
        <f>$F$6</f>
        <v>Wood Effect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178</v>
      </c>
      <c r="M836" s="539"/>
      <c r="N836" s="541" t="str">
        <f>$K$6</f>
        <v>Black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248</v>
      </c>
      <c r="M837" s="539"/>
      <c r="N837" s="544" t="s">
        <v>256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249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250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251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252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253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247</v>
      </c>
      <c r="M846" s="539"/>
      <c r="N846" s="541" t="str">
        <f>$F$6</f>
        <v>Wood Effect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178</v>
      </c>
      <c r="M847" s="539"/>
      <c r="N847" s="541" t="str">
        <f>$K$6</f>
        <v>Black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248</v>
      </c>
      <c r="M848" s="539"/>
      <c r="N848" s="544" t="s">
        <v>256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249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250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251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252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253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247</v>
      </c>
      <c r="M857" s="539"/>
      <c r="N857" s="541" t="str">
        <f>$F$6</f>
        <v>Wood Effect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178</v>
      </c>
      <c r="M858" s="539"/>
      <c r="N858" s="541" t="str">
        <f>$K$6</f>
        <v>Black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248</v>
      </c>
      <c r="M859" s="539"/>
      <c r="N859" s="544" t="s">
        <v>256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249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250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251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252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253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247</v>
      </c>
      <c r="M868" s="539"/>
      <c r="N868" s="541" t="str">
        <f>$F$6</f>
        <v>Wood Effect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178</v>
      </c>
      <c r="M869" s="539"/>
      <c r="N869" s="541" t="str">
        <f>$K$6</f>
        <v>Black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248</v>
      </c>
      <c r="M870" s="539"/>
      <c r="N870" s="544" t="s">
        <v>256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249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250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251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252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253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247</v>
      </c>
      <c r="M879" s="539"/>
      <c r="N879" s="541" t="str">
        <f>$F$6</f>
        <v>Wood Effect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178</v>
      </c>
      <c r="M880" s="539"/>
      <c r="N880" s="541" t="str">
        <f>$K$6</f>
        <v>Black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248</v>
      </c>
      <c r="M881" s="539"/>
      <c r="N881" s="544" t="s">
        <v>256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249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250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251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252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253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247</v>
      </c>
      <c r="M890" s="539"/>
      <c r="N890" s="541" t="str">
        <f>$F$6</f>
        <v>Wood Effect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178</v>
      </c>
      <c r="M891" s="539"/>
      <c r="N891" s="541" t="str">
        <f>$K$6</f>
        <v>Black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248</v>
      </c>
      <c r="M892" s="539"/>
      <c r="N892" s="544" t="s">
        <v>256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249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250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251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252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253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247</v>
      </c>
      <c r="M901" s="539"/>
      <c r="N901" s="541" t="str">
        <f>$F$6</f>
        <v>Wood Effect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178</v>
      </c>
      <c r="M902" s="539"/>
      <c r="N902" s="541" t="str">
        <f>$K$6</f>
        <v>Black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248</v>
      </c>
      <c r="M903" s="539"/>
      <c r="N903" s="544" t="s">
        <v>256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249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250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251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252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253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247</v>
      </c>
      <c r="M912" s="539"/>
      <c r="N912" s="541" t="str">
        <f>$F$6</f>
        <v>Wood Effect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178</v>
      </c>
      <c r="M913" s="539"/>
      <c r="N913" s="541" t="str">
        <f>$K$6</f>
        <v>Black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248</v>
      </c>
      <c r="M914" s="539"/>
      <c r="N914" s="544" t="s">
        <v>256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249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250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251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252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253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247</v>
      </c>
      <c r="M923" s="539"/>
      <c r="N923" s="541" t="str">
        <f>$F$6</f>
        <v>Wood Effect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178</v>
      </c>
      <c r="M924" s="539"/>
      <c r="N924" s="541" t="str">
        <f>$K$6</f>
        <v>Black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248</v>
      </c>
      <c r="M925" s="539"/>
      <c r="N925" s="544" t="s">
        <v>256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249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250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251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252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253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247</v>
      </c>
      <c r="M934" s="539"/>
      <c r="N934" s="541" t="str">
        <f>$F$6</f>
        <v>Wood Effect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178</v>
      </c>
      <c r="M935" s="539"/>
      <c r="N935" s="541" t="str">
        <f>$K$6</f>
        <v>Black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248</v>
      </c>
      <c r="M936" s="539"/>
      <c r="N936" s="544" t="s">
        <v>256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249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250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251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252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253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247</v>
      </c>
      <c r="M945" s="539"/>
      <c r="N945" s="541" t="str">
        <f>$F$6</f>
        <v>Wood Effect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178</v>
      </c>
      <c r="M946" s="539"/>
      <c r="N946" s="541" t="str">
        <f>$K$6</f>
        <v>Black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248</v>
      </c>
      <c r="M947" s="539"/>
      <c r="N947" s="544" t="s">
        <v>256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249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250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251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252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253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247</v>
      </c>
      <c r="M956" s="539"/>
      <c r="N956" s="541" t="str">
        <f>$F$6</f>
        <v>Wood Effect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178</v>
      </c>
      <c r="M957" s="539"/>
      <c r="N957" s="541" t="str">
        <f>$K$6</f>
        <v>Black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248</v>
      </c>
      <c r="M958" s="539"/>
      <c r="N958" s="544" t="s">
        <v>256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249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250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251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252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253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247</v>
      </c>
      <c r="M967" s="539"/>
      <c r="N967" s="541" t="str">
        <f>$F$6</f>
        <v>Wood Effect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178</v>
      </c>
      <c r="M968" s="539"/>
      <c r="N968" s="541" t="str">
        <f>$K$6</f>
        <v>Black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248</v>
      </c>
      <c r="M969" s="539"/>
      <c r="N969" s="544" t="s">
        <v>256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249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250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251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252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253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247</v>
      </c>
      <c r="M978" s="539"/>
      <c r="N978" s="541" t="str">
        <f>$F$6</f>
        <v>Wood Effect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178</v>
      </c>
      <c r="M979" s="539"/>
      <c r="N979" s="541" t="str">
        <f>$K$6</f>
        <v>Black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248</v>
      </c>
      <c r="M980" s="539"/>
      <c r="N980" s="544" t="s">
        <v>256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249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250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251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252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253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247</v>
      </c>
      <c r="M989" s="539"/>
      <c r="N989" s="541" t="str">
        <f>$F$6</f>
        <v>Wood Effect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178</v>
      </c>
      <c r="M990" s="539"/>
      <c r="N990" s="541" t="str">
        <f>$K$6</f>
        <v>Black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248</v>
      </c>
      <c r="M991" s="539"/>
      <c r="N991" s="544" t="s">
        <v>256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249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250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251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252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253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247</v>
      </c>
      <c r="M1000" s="539"/>
      <c r="N1000" s="541" t="str">
        <f>$F$6</f>
        <v>Wood Effect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178</v>
      </c>
      <c r="M1001" s="539"/>
      <c r="N1001" s="541" t="str">
        <f>$K$6</f>
        <v>Black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248</v>
      </c>
      <c r="M1002" s="539"/>
      <c r="N1002" s="544" t="s">
        <v>256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249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250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251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252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253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247</v>
      </c>
      <c r="M1011" s="539"/>
      <c r="N1011" s="541" t="str">
        <f>$F$6</f>
        <v>Wood Effect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178</v>
      </c>
      <c r="M1012" s="539"/>
      <c r="N1012" s="541" t="str">
        <f>$K$6</f>
        <v>Black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248</v>
      </c>
      <c r="M1013" s="539"/>
      <c r="N1013" s="544" t="s">
        <v>256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249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250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251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252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253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247</v>
      </c>
      <c r="M1022" s="539"/>
      <c r="N1022" s="541" t="str">
        <f>$F$6</f>
        <v>Wood Effect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178</v>
      </c>
      <c r="M1023" s="539"/>
      <c r="N1023" s="541" t="str">
        <f>$K$6</f>
        <v>Black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248</v>
      </c>
      <c r="M1024" s="539"/>
      <c r="N1024" s="544" t="s">
        <v>256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249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250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251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252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253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247</v>
      </c>
      <c r="M1033" s="539"/>
      <c r="N1033" s="541" t="str">
        <f>$F$6</f>
        <v>Wood Effect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178</v>
      </c>
      <c r="M1034" s="539"/>
      <c r="N1034" s="541" t="str">
        <f>$K$6</f>
        <v>Black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248</v>
      </c>
      <c r="M1035" s="539"/>
      <c r="N1035" s="544" t="s">
        <v>256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249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250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251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252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253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247</v>
      </c>
      <c r="M1044" s="539"/>
      <c r="N1044" s="541" t="str">
        <f>$F$6</f>
        <v>Wood Effect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178</v>
      </c>
      <c r="M1045" s="539"/>
      <c r="N1045" s="541" t="str">
        <f>$K$6</f>
        <v>Black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248</v>
      </c>
      <c r="M1046" s="539"/>
      <c r="N1046" s="544" t="s">
        <v>256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249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250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251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252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253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247</v>
      </c>
      <c r="M1055" s="539"/>
      <c r="N1055" s="541" t="str">
        <f>$F$6</f>
        <v>Wood Effect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178</v>
      </c>
      <c r="M1056" s="539"/>
      <c r="N1056" s="541" t="str">
        <f>$K$6</f>
        <v>Black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248</v>
      </c>
      <c r="M1057" s="539"/>
      <c r="N1057" s="544" t="s">
        <v>256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249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250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251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252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253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247</v>
      </c>
      <c r="M1066" s="539"/>
      <c r="N1066" s="541" t="str">
        <f>$F$6</f>
        <v>Wood Effect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178</v>
      </c>
      <c r="M1067" s="539"/>
      <c r="N1067" s="541" t="str">
        <f>$K$6</f>
        <v>Black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248</v>
      </c>
      <c r="M1068" s="539"/>
      <c r="N1068" s="544" t="s">
        <v>256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249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250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251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252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253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247</v>
      </c>
      <c r="M1077" s="539"/>
      <c r="N1077" s="541" t="str">
        <f>$F$6</f>
        <v>Wood Effect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178</v>
      </c>
      <c r="M1078" s="539"/>
      <c r="N1078" s="541" t="str">
        <f>$K$6</f>
        <v>Black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248</v>
      </c>
      <c r="M1079" s="539"/>
      <c r="N1079" s="544" t="s">
        <v>256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249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250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251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252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253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247</v>
      </c>
      <c r="M1088" s="539"/>
      <c r="N1088" s="541" t="str">
        <f>$F$6</f>
        <v>Wood Effect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178</v>
      </c>
      <c r="M1089" s="539"/>
      <c r="N1089" s="541" t="str">
        <f>$K$6</f>
        <v>Black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248</v>
      </c>
      <c r="M1090" s="539"/>
      <c r="N1090" s="544" t="s">
        <v>256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249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250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251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252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253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247</v>
      </c>
      <c r="M1099" s="539"/>
      <c r="N1099" s="541" t="str">
        <f>$F$6</f>
        <v>Wood Effect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178</v>
      </c>
      <c r="M1100" s="539"/>
      <c r="N1100" s="541" t="str">
        <f>$K$6</f>
        <v>Black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248</v>
      </c>
      <c r="M1101" s="539"/>
      <c r="N1101" s="544" t="s">
        <v>256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249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250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251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252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253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600</v>
      </c>
    </row>
    <row r="5" spans="3:5">
      <c r="C5" s="236" t="s">
        <v>396</v>
      </c>
      <c r="D5" s="236" t="s">
        <v>394</v>
      </c>
      <c r="E5" s="309">
        <f>ROUND(Pricing!U104,0.1)/40</f>
        <v>18</v>
      </c>
    </row>
    <row r="6" spans="3:5">
      <c r="C6" s="236" t="s">
        <v>83</v>
      </c>
      <c r="D6" s="236" t="s">
        <v>393</v>
      </c>
      <c r="E6" s="309">
        <f>ROUND(Pricing!V104,0.1)</f>
        <v>38</v>
      </c>
    </row>
    <row r="7" spans="3:5">
      <c r="C7" s="236" t="s">
        <v>400</v>
      </c>
      <c r="D7" s="236" t="s">
        <v>392</v>
      </c>
      <c r="E7" s="309">
        <f>ROUND(Pricing!W104,0.1)</f>
        <v>600</v>
      </c>
    </row>
    <row r="8" spans="3:5">
      <c r="C8" s="236" t="s">
        <v>397</v>
      </c>
      <c r="D8" s="236" t="s">
        <v>392</v>
      </c>
      <c r="E8" s="309">
        <f>ROUND(Pricing!X104,0.1)</f>
        <v>1200</v>
      </c>
    </row>
    <row r="9" spans="3:5">
      <c r="C9" t="s">
        <v>223</v>
      </c>
      <c r="D9" s="236" t="s">
        <v>395</v>
      </c>
      <c r="E9" s="309">
        <f>ROUND(Pricing!Y104,0.1)</f>
        <v>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8"/>
  <sheetViews>
    <sheetView tabSelected="1" workbookViewId="0">
      <selection activeCell="A19" sqref="A1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M15000</v>
      </c>
      <c r="C2" s="318" t="str">
        <f>'BD Team'!D9</f>
        <v>FIXED GLASS</v>
      </c>
      <c r="D2" s="318" t="str">
        <f>'BD Team'!E9</f>
        <v>17.52MM</v>
      </c>
      <c r="E2" s="318" t="str">
        <f>'BD Team'!G9</f>
        <v>GF - FRONT HALL</v>
      </c>
      <c r="F2" s="318" t="str">
        <f>'BD Team'!F9</f>
        <v>NO</v>
      </c>
      <c r="I2" s="318">
        <f>'BD Team'!H9</f>
        <v>2447</v>
      </c>
      <c r="J2" s="318">
        <f>'BD Team'!I9</f>
        <v>1722</v>
      </c>
      <c r="K2" s="318">
        <f>'BD Team'!J9</f>
        <v>1</v>
      </c>
      <c r="L2" s="319">
        <f>'BD Team'!K9</f>
        <v>100.73</v>
      </c>
      <c r="M2" s="318">
        <f>Pricing!O4</f>
        <v>8721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M15000</v>
      </c>
      <c r="C3" s="318" t="str">
        <f>'BD Team'!D10</f>
        <v>FIXED GLASS</v>
      </c>
      <c r="D3" s="318" t="str">
        <f>'BD Team'!E10</f>
        <v>17.52MM</v>
      </c>
      <c r="E3" s="318" t="str">
        <f>'BD Team'!G10</f>
        <v>GF - FRONT HALL</v>
      </c>
      <c r="F3" s="318" t="str">
        <f>'BD Team'!F10</f>
        <v>NO</v>
      </c>
      <c r="I3" s="318">
        <f>'BD Team'!H10</f>
        <v>1884</v>
      </c>
      <c r="J3" s="318">
        <f>'BD Team'!I10</f>
        <v>1637</v>
      </c>
      <c r="K3" s="318">
        <f>'BD Team'!J10</f>
        <v>1</v>
      </c>
      <c r="L3" s="319">
        <f>'BD Team'!K10</f>
        <v>87.03</v>
      </c>
      <c r="M3" s="318">
        <f>Pricing!O5</f>
        <v>8721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M15000</v>
      </c>
      <c r="C4" s="318" t="str">
        <f>'BD Team'!D11</f>
        <v>FIXED GLASS 2 NO'S</v>
      </c>
      <c r="D4" s="318" t="str">
        <f>'BD Team'!E11</f>
        <v>17.52MM</v>
      </c>
      <c r="E4" s="318" t="str">
        <f>'BD Team'!G11</f>
        <v>GF - SITTING HALL</v>
      </c>
      <c r="F4" s="318" t="str">
        <f>'BD Team'!F11</f>
        <v>NO</v>
      </c>
      <c r="I4" s="318">
        <f>'BD Team'!H11</f>
        <v>3787</v>
      </c>
      <c r="J4" s="318">
        <f>'BD Team'!I11</f>
        <v>2075</v>
      </c>
      <c r="K4" s="318">
        <f>'BD Team'!J11</f>
        <v>1</v>
      </c>
      <c r="L4" s="319">
        <f>'BD Team'!K11</f>
        <v>219.42</v>
      </c>
      <c r="M4" s="318">
        <f>Pricing!O6</f>
        <v>8721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</v>
      </c>
      <c r="B5" s="318" t="str">
        <f>'BD Team'!C12</f>
        <v>M14600</v>
      </c>
      <c r="C5" s="318" t="str">
        <f>'BD Team'!D12</f>
        <v>3 TRACK 4 SHUTTER SLIDING DOOR</v>
      </c>
      <c r="D5" s="318" t="str">
        <f>'BD Team'!E12</f>
        <v>17.52MM</v>
      </c>
      <c r="E5" s="318" t="str">
        <f>'BD Team'!G12</f>
        <v>GF - SITTING HALL</v>
      </c>
      <c r="F5" s="318" t="str">
        <f>'BD Team'!F12</f>
        <v>SS</v>
      </c>
      <c r="I5" s="318">
        <f>'BD Team'!H12</f>
        <v>4556</v>
      </c>
      <c r="J5" s="318">
        <f>'BD Team'!I12</f>
        <v>2474</v>
      </c>
      <c r="K5" s="318">
        <f>'BD Team'!J12</f>
        <v>1</v>
      </c>
      <c r="L5" s="319">
        <f>'BD Team'!K12</f>
        <v>1063.5</v>
      </c>
      <c r="M5" s="318">
        <f>Pricing!O7</f>
        <v>8721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</v>
      </c>
      <c r="B6" s="318" t="str">
        <f>'BD Team'!C13</f>
        <v>M14600</v>
      </c>
      <c r="C6" s="318" t="str">
        <f>'BD Team'!D13</f>
        <v>3 TRACK 4 SHUTTER SLIDING DOOR</v>
      </c>
      <c r="D6" s="318" t="str">
        <f>'BD Team'!E13</f>
        <v>17.52MM</v>
      </c>
      <c r="E6" s="318" t="str">
        <f>'BD Team'!G13</f>
        <v>1F - MASTER BEDROOM</v>
      </c>
      <c r="F6" s="318" t="str">
        <f>'BD Team'!F13</f>
        <v>SS</v>
      </c>
      <c r="I6" s="318">
        <f>'BD Team'!H13</f>
        <v>4544</v>
      </c>
      <c r="J6" s="318">
        <f>'BD Team'!I13</f>
        <v>2317</v>
      </c>
      <c r="K6" s="318">
        <f>'BD Team'!J13</f>
        <v>1</v>
      </c>
      <c r="L6" s="319">
        <f>'BD Team'!K13</f>
        <v>1032.8800000000001</v>
      </c>
      <c r="M6" s="318">
        <f>Pricing!O8</f>
        <v>8721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M14600</v>
      </c>
      <c r="C7" s="318" t="str">
        <f>'BD Team'!D14</f>
        <v>3 TRACK 2 SHUTTER SLIDING DOOR</v>
      </c>
      <c r="D7" s="318" t="str">
        <f>'BD Team'!E14</f>
        <v>17.52MM</v>
      </c>
      <c r="E7" s="318" t="str">
        <f>'BD Team'!G14</f>
        <v>1F - MASTER BEDROOM</v>
      </c>
      <c r="F7" s="318" t="str">
        <f>'BD Team'!F14</f>
        <v>SS</v>
      </c>
      <c r="I7" s="318">
        <f>'BD Team'!H14</f>
        <v>1847</v>
      </c>
      <c r="J7" s="318">
        <f>'BD Team'!I14</f>
        <v>1695</v>
      </c>
      <c r="K7" s="318">
        <f>'BD Team'!J14</f>
        <v>1</v>
      </c>
      <c r="L7" s="319">
        <f>'BD Team'!K14</f>
        <v>389.31</v>
      </c>
      <c r="M7" s="318">
        <f>Pricing!O9</f>
        <v>8721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</v>
      </c>
      <c r="B8" s="318" t="str">
        <f>'BD Team'!C15</f>
        <v>M15000</v>
      </c>
      <c r="C8" s="318" t="str">
        <f>'BD Team'!D15</f>
        <v>FIXED GLASS</v>
      </c>
      <c r="D8" s="318" t="str">
        <f>'BD Team'!E15</f>
        <v>12MM</v>
      </c>
      <c r="E8" s="318" t="str">
        <f>'BD Team'!G15</f>
        <v>1F - MASTER BEDROOM BALCONY</v>
      </c>
      <c r="F8" s="318" t="str">
        <f>'BD Team'!F15</f>
        <v>NO</v>
      </c>
      <c r="I8" s="318">
        <f>'BD Team'!H15</f>
        <v>2089</v>
      </c>
      <c r="J8" s="318">
        <f>'BD Team'!I15</f>
        <v>2628</v>
      </c>
      <c r="K8" s="318">
        <f>'BD Team'!J15</f>
        <v>1</v>
      </c>
      <c r="L8" s="319">
        <f>'BD Team'!K15</f>
        <v>122.01</v>
      </c>
      <c r="M8" s="318">
        <f>Pricing!O10</f>
        <v>1890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W7</v>
      </c>
      <c r="B9" s="318" t="str">
        <f>'BD Team'!C16</f>
        <v>M15000</v>
      </c>
      <c r="C9" s="318" t="str">
        <f>'BD Team'!D16</f>
        <v>FRENCH WINDOW WITH 5 FIXED</v>
      </c>
      <c r="D9" s="318" t="str">
        <f>'BD Team'!E16</f>
        <v>8MM</v>
      </c>
      <c r="E9" s="318" t="str">
        <f>'BD Team'!G16</f>
        <v>1F - MASTER BEDROOM</v>
      </c>
      <c r="F9" s="318" t="str">
        <f>'BD Team'!F16</f>
        <v>NO</v>
      </c>
      <c r="I9" s="318">
        <f>'BD Team'!H16</f>
        <v>2285</v>
      </c>
      <c r="J9" s="318">
        <f>'BD Team'!I16</f>
        <v>2121</v>
      </c>
      <c r="K9" s="318">
        <f>'BD Team'!J16</f>
        <v>1</v>
      </c>
      <c r="L9" s="319">
        <f>'BD Team'!K16</f>
        <v>769.07</v>
      </c>
      <c r="M9" s="318">
        <f>Pricing!O11</f>
        <v>1322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W8</v>
      </c>
      <c r="B10" s="318" t="str">
        <f>'BD Team'!C17</f>
        <v>M15000</v>
      </c>
      <c r="C10" s="318" t="str">
        <f>'BD Team'!D17</f>
        <v>FRENCH WINDOW WITH 5 FIXED</v>
      </c>
      <c r="D10" s="318" t="str">
        <f>'BD Team'!E17</f>
        <v>8MM</v>
      </c>
      <c r="E10" s="318" t="str">
        <f>'BD Team'!G17</f>
        <v>1F - KIDS BEDROOM</v>
      </c>
      <c r="F10" s="318" t="str">
        <f>'BD Team'!F17</f>
        <v>NO</v>
      </c>
      <c r="I10" s="318">
        <f>'BD Team'!H17</f>
        <v>2410</v>
      </c>
      <c r="J10" s="318">
        <f>'BD Team'!I17</f>
        <v>1738</v>
      </c>
      <c r="K10" s="318">
        <f>'BD Team'!J17</f>
        <v>1</v>
      </c>
      <c r="L10" s="319">
        <f>'BD Team'!K17</f>
        <v>688.96</v>
      </c>
      <c r="M10" s="318">
        <f>Pricing!O12</f>
        <v>1322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W9</v>
      </c>
      <c r="B11" s="318" t="str">
        <f>'BD Team'!C18</f>
        <v>M15000</v>
      </c>
      <c r="C11" s="318" t="str">
        <f>'BD Team'!D18</f>
        <v>FIXED GLASS 2 NO'S</v>
      </c>
      <c r="D11" s="318" t="str">
        <f>'BD Team'!E18</f>
        <v>17.52MM</v>
      </c>
      <c r="E11" s="318" t="str">
        <f>'BD Team'!G18</f>
        <v>1F - ELEVATION</v>
      </c>
      <c r="F11" s="318" t="str">
        <f>'BD Team'!F18</f>
        <v>NO</v>
      </c>
      <c r="I11" s="318">
        <f>'BD Team'!H18</f>
        <v>3200</v>
      </c>
      <c r="J11" s="318">
        <f>'BD Team'!I18</f>
        <v>2654</v>
      </c>
      <c r="K11" s="318">
        <f>'BD Team'!J18</f>
        <v>1</v>
      </c>
      <c r="L11" s="319">
        <f>'BD Team'!K18</f>
        <v>237.76</v>
      </c>
      <c r="M11" s="318">
        <f>Pricing!O13</f>
        <v>8721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W10</v>
      </c>
      <c r="B12" s="318" t="str">
        <f>'BD Team'!C19</f>
        <v>M15000</v>
      </c>
      <c r="C12" s="318" t="str">
        <f>'BD Team'!D19</f>
        <v>FIXED GLASS 4 NO'S</v>
      </c>
      <c r="D12" s="318" t="str">
        <f>'BD Team'!E19</f>
        <v>17.52MM</v>
      </c>
      <c r="E12" s="318" t="str">
        <f>'BD Team'!G19</f>
        <v>1F - ELEVATION</v>
      </c>
      <c r="F12" s="318" t="str">
        <f>'BD Team'!F19</f>
        <v>NO</v>
      </c>
      <c r="I12" s="318">
        <f>'BD Team'!H19</f>
        <v>8792</v>
      </c>
      <c r="J12" s="318">
        <f>'BD Team'!I19</f>
        <v>2600</v>
      </c>
      <c r="K12" s="318">
        <f>'BD Team'!J19</f>
        <v>1</v>
      </c>
      <c r="L12" s="319">
        <f>'BD Team'!K19</f>
        <v>643.59</v>
      </c>
      <c r="M12" s="318">
        <f>Pricing!O14</f>
        <v>8721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W11</v>
      </c>
      <c r="B13" s="318" t="str">
        <f>'BD Team'!C20</f>
        <v>M15000</v>
      </c>
      <c r="C13" s="318" t="str">
        <f>'BD Team'!D20</f>
        <v>FIXED GLASS 2 NO'S</v>
      </c>
      <c r="D13" s="318" t="str">
        <f>'BD Team'!E20</f>
        <v>17.52MM</v>
      </c>
      <c r="E13" s="318" t="str">
        <f>'BD Team'!G20</f>
        <v>2F - GUEST BEDROOM</v>
      </c>
      <c r="F13" s="318" t="str">
        <f>'BD Team'!F20</f>
        <v>NO</v>
      </c>
      <c r="I13" s="318">
        <f>'BD Team'!H20</f>
        <v>4356</v>
      </c>
      <c r="J13" s="318">
        <f>'BD Team'!I20</f>
        <v>2068</v>
      </c>
      <c r="K13" s="318">
        <f>'BD Team'!J20</f>
        <v>1</v>
      </c>
      <c r="L13" s="319">
        <f>'BD Team'!K20</f>
        <v>231.01</v>
      </c>
      <c r="M13" s="318">
        <f>Pricing!O15</f>
        <v>8721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W12</v>
      </c>
      <c r="B14" s="318" t="str">
        <f>'BD Team'!C21</f>
        <v>M14600</v>
      </c>
      <c r="C14" s="318" t="str">
        <f>'BD Team'!D21</f>
        <v>3 TRACK 2 SHUTTER SLIDING DOOR</v>
      </c>
      <c r="D14" s="318" t="str">
        <f>'BD Team'!E21</f>
        <v>17.52MM</v>
      </c>
      <c r="E14" s="318" t="str">
        <f>'BD Team'!G21</f>
        <v>2F - GUEST BEDROOM</v>
      </c>
      <c r="F14" s="318" t="str">
        <f>'BD Team'!F21</f>
        <v>SS</v>
      </c>
      <c r="I14" s="318">
        <f>'BD Team'!H21</f>
        <v>1245</v>
      </c>
      <c r="J14" s="318">
        <f>'BD Team'!I21</f>
        <v>1749</v>
      </c>
      <c r="K14" s="318">
        <f>'BD Team'!J21</f>
        <v>2</v>
      </c>
      <c r="L14" s="319">
        <f>'BD Team'!K21</f>
        <v>353.28</v>
      </c>
      <c r="M14" s="318">
        <f>Pricing!O16</f>
        <v>8721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W13</v>
      </c>
      <c r="B15" s="318" t="str">
        <f>'BD Team'!C22</f>
        <v>M15000</v>
      </c>
      <c r="C15" s="318" t="str">
        <f>'BD Team'!D22</f>
        <v>FIXED GLASS IN SHAPE</v>
      </c>
      <c r="D15" s="318" t="str">
        <f>'BD Team'!E22</f>
        <v>8MM</v>
      </c>
      <c r="E15" s="318" t="str">
        <f>'BD Team'!G22</f>
        <v>2F - GUEST BEDROOM</v>
      </c>
      <c r="F15" s="318" t="str">
        <f>'BD Team'!F22</f>
        <v>NO</v>
      </c>
      <c r="I15" s="318">
        <f>'BD Team'!H22</f>
        <v>2186</v>
      </c>
      <c r="J15" s="318">
        <f>'BD Team'!I22</f>
        <v>1627</v>
      </c>
      <c r="K15" s="318">
        <f>'BD Team'!J22</f>
        <v>1</v>
      </c>
      <c r="L15" s="319">
        <f>'BD Team'!K22</f>
        <v>83.83</v>
      </c>
      <c r="M15" s="318">
        <f>Pricing!O17</f>
        <v>1322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W14</v>
      </c>
      <c r="B16" s="318" t="str">
        <f>'BD Team'!C23</f>
        <v>M14600</v>
      </c>
      <c r="C16" s="318" t="str">
        <f>'BD Team'!D23</f>
        <v>3 TRACK 2 SHUTTER SLIDING DOOR</v>
      </c>
      <c r="D16" s="318" t="str">
        <f>'BD Team'!E23</f>
        <v>17.52MM</v>
      </c>
      <c r="E16" s="318" t="str">
        <f>'BD Team'!G23</f>
        <v>2F - PLAYROOM</v>
      </c>
      <c r="F16" s="318" t="str">
        <f>'BD Team'!F23</f>
        <v>SS</v>
      </c>
      <c r="I16" s="318">
        <f>'BD Team'!H23</f>
        <v>3015</v>
      </c>
      <c r="J16" s="318">
        <f>'BD Team'!I23</f>
        <v>2193</v>
      </c>
      <c r="K16" s="318">
        <f>'BD Team'!J23</f>
        <v>1</v>
      </c>
      <c r="L16" s="319">
        <f>'BD Team'!K23</f>
        <v>539.4</v>
      </c>
      <c r="M16" s="318">
        <f>Pricing!O18</f>
        <v>8721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W15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17.52MM</v>
      </c>
      <c r="E17" s="318" t="str">
        <f>'BD Team'!G24</f>
        <v>2F - PLAYROOM</v>
      </c>
      <c r="F17" s="318" t="str">
        <f>'BD Team'!F24</f>
        <v>NO</v>
      </c>
      <c r="I17" s="318">
        <f>'BD Team'!H24</f>
        <v>1174</v>
      </c>
      <c r="J17" s="318">
        <f>'BD Team'!I24</f>
        <v>2175</v>
      </c>
      <c r="K17" s="318">
        <f>'BD Team'!J24</f>
        <v>1</v>
      </c>
      <c r="L17" s="319">
        <f>'BD Team'!K24</f>
        <v>83.35</v>
      </c>
      <c r="M17" s="318">
        <f>Pricing!O19</f>
        <v>8721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W16</v>
      </c>
      <c r="B18" s="318" t="str">
        <f>'BD Team'!C25</f>
        <v>M15000</v>
      </c>
      <c r="C18" s="318" t="str">
        <f>'BD Team'!D25</f>
        <v>FIXED GLASS</v>
      </c>
      <c r="D18" s="318" t="str">
        <f>'BD Team'!E25</f>
        <v>17.52MM</v>
      </c>
      <c r="E18" s="318" t="str">
        <f>'BD Team'!G25</f>
        <v>2F - PLAYROOM</v>
      </c>
      <c r="F18" s="318" t="str">
        <f>'BD Team'!F25</f>
        <v>NO</v>
      </c>
      <c r="I18" s="318">
        <f>'BD Team'!H25</f>
        <v>1566</v>
      </c>
      <c r="J18" s="318">
        <f>'BD Team'!I25</f>
        <v>2182</v>
      </c>
      <c r="K18" s="318">
        <f>'BD Team'!J25</f>
        <v>1</v>
      </c>
      <c r="L18" s="319">
        <f>'BD Team'!K25</f>
        <v>91.81</v>
      </c>
      <c r="M18" s="318">
        <f>Pricing!O20</f>
        <v>8721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26" sqref="K2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418</v>
      </c>
      <c r="F2" s="137"/>
      <c r="G2" s="163"/>
      <c r="H2" s="330" t="s">
        <v>185</v>
      </c>
      <c r="I2" s="331"/>
      <c r="J2" s="165" t="s">
        <v>422</v>
      </c>
      <c r="K2" s="167"/>
      <c r="L2" s="104" t="s">
        <v>208</v>
      </c>
      <c r="M2" s="104" t="s">
        <v>381</v>
      </c>
    </row>
    <row r="3" spans="1:13" s="104" customFormat="1">
      <c r="A3" s="329" t="s">
        <v>127</v>
      </c>
      <c r="B3" s="329"/>
      <c r="C3" s="329"/>
      <c r="D3" s="329"/>
      <c r="E3" s="162" t="s">
        <v>419</v>
      </c>
      <c r="F3" s="136" t="s">
        <v>183</v>
      </c>
      <c r="G3" s="162" t="s">
        <v>417</v>
      </c>
      <c r="H3" s="330" t="s">
        <v>186</v>
      </c>
      <c r="I3" s="331"/>
      <c r="J3" s="166">
        <v>43675</v>
      </c>
      <c r="K3" s="167"/>
      <c r="L3" s="104" t="s">
        <v>258</v>
      </c>
      <c r="M3" s="104" t="s">
        <v>382</v>
      </c>
    </row>
    <row r="4" spans="1:13" s="104" customFormat="1" ht="18">
      <c r="A4" s="329" t="s">
        <v>169</v>
      </c>
      <c r="B4" s="329"/>
      <c r="C4" s="329"/>
      <c r="D4" s="329"/>
      <c r="E4" s="162" t="s">
        <v>420</v>
      </c>
      <c r="F4" s="135"/>
      <c r="G4" s="164"/>
      <c r="H4" s="330" t="s">
        <v>187</v>
      </c>
      <c r="I4" s="331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29" t="s">
        <v>177</v>
      </c>
      <c r="B5" s="329"/>
      <c r="C5" s="329"/>
      <c r="D5" s="329"/>
      <c r="E5" s="162" t="s">
        <v>421</v>
      </c>
      <c r="F5" s="136" t="s">
        <v>184</v>
      </c>
      <c r="G5" s="162" t="s">
        <v>261</v>
      </c>
      <c r="H5" s="330" t="s">
        <v>375</v>
      </c>
      <c r="I5" s="331"/>
      <c r="J5" s="165"/>
      <c r="K5" s="167"/>
      <c r="L5" s="104" t="s">
        <v>260</v>
      </c>
      <c r="M5" s="104" t="s">
        <v>384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261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262</v>
      </c>
      <c r="M7" s="47" t="s">
        <v>385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403</v>
      </c>
    </row>
    <row r="9" spans="1:13" ht="20.100000000000001" customHeight="1">
      <c r="A9" s="113">
        <v>1</v>
      </c>
      <c r="B9" s="113" t="s">
        <v>32</v>
      </c>
      <c r="C9" s="113" t="s">
        <v>423</v>
      </c>
      <c r="D9" s="113" t="s">
        <v>424</v>
      </c>
      <c r="E9" s="113" t="s">
        <v>461</v>
      </c>
      <c r="F9" s="113" t="s">
        <v>425</v>
      </c>
      <c r="G9" s="113" t="s">
        <v>426</v>
      </c>
      <c r="H9" s="113">
        <v>2447</v>
      </c>
      <c r="I9" s="113">
        <v>1722</v>
      </c>
      <c r="J9" s="113">
        <v>1</v>
      </c>
      <c r="K9" s="123">
        <v>100.73</v>
      </c>
    </row>
    <row r="10" spans="1:13" ht="20.100000000000001" customHeight="1">
      <c r="A10" s="113">
        <v>2</v>
      </c>
      <c r="B10" s="113" t="s">
        <v>427</v>
      </c>
      <c r="C10" s="113" t="s">
        <v>423</v>
      </c>
      <c r="D10" s="113" t="s">
        <v>424</v>
      </c>
      <c r="E10" s="113" t="s">
        <v>461</v>
      </c>
      <c r="F10" s="113" t="s">
        <v>425</v>
      </c>
      <c r="G10" s="113" t="s">
        <v>426</v>
      </c>
      <c r="H10" s="113">
        <v>1884</v>
      </c>
      <c r="I10" s="113">
        <v>1637</v>
      </c>
      <c r="J10" s="113">
        <v>1</v>
      </c>
      <c r="K10" s="123">
        <v>87.03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423</v>
      </c>
      <c r="D11" s="113" t="s">
        <v>429</v>
      </c>
      <c r="E11" s="113" t="s">
        <v>461</v>
      </c>
      <c r="F11" s="113" t="s">
        <v>425</v>
      </c>
      <c r="G11" s="113" t="s">
        <v>430</v>
      </c>
      <c r="H11" s="113">
        <v>3787</v>
      </c>
      <c r="I11" s="113">
        <v>2075</v>
      </c>
      <c r="J11" s="113">
        <v>1</v>
      </c>
      <c r="K11" s="123">
        <v>219.42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432</v>
      </c>
      <c r="D12" s="113" t="s">
        <v>433</v>
      </c>
      <c r="E12" s="113" t="s">
        <v>461</v>
      </c>
      <c r="F12" s="113" t="s">
        <v>434</v>
      </c>
      <c r="G12" s="113" t="s">
        <v>430</v>
      </c>
      <c r="H12" s="113">
        <v>4556</v>
      </c>
      <c r="I12" s="113">
        <v>2474</v>
      </c>
      <c r="J12" s="113">
        <v>1</v>
      </c>
      <c r="K12" s="123">
        <v>1063.5</v>
      </c>
      <c r="L12" s="47" t="s">
        <v>366</v>
      </c>
    </row>
    <row r="13" spans="1:13" ht="20.100000000000001" customHeight="1">
      <c r="A13" s="113">
        <v>5</v>
      </c>
      <c r="B13" s="113" t="s">
        <v>435</v>
      </c>
      <c r="C13" s="113" t="s">
        <v>432</v>
      </c>
      <c r="D13" s="113" t="s">
        <v>433</v>
      </c>
      <c r="E13" s="113" t="s">
        <v>461</v>
      </c>
      <c r="F13" s="113" t="s">
        <v>434</v>
      </c>
      <c r="G13" s="113" t="s">
        <v>436</v>
      </c>
      <c r="H13" s="113">
        <v>4544</v>
      </c>
      <c r="I13" s="113">
        <v>2317</v>
      </c>
      <c r="J13" s="113">
        <v>1</v>
      </c>
      <c r="K13" s="123">
        <v>1032.8800000000001</v>
      </c>
      <c r="L13" s="47" t="s">
        <v>367</v>
      </c>
    </row>
    <row r="14" spans="1:13">
      <c r="A14" s="113">
        <v>6</v>
      </c>
      <c r="B14" s="113" t="s">
        <v>437</v>
      </c>
      <c r="C14" s="113" t="s">
        <v>432</v>
      </c>
      <c r="D14" s="113" t="s">
        <v>438</v>
      </c>
      <c r="E14" s="113" t="s">
        <v>461</v>
      </c>
      <c r="F14" s="113" t="s">
        <v>434</v>
      </c>
      <c r="G14" s="113" t="s">
        <v>436</v>
      </c>
      <c r="H14" s="113">
        <v>1847</v>
      </c>
      <c r="I14" s="113">
        <v>1695</v>
      </c>
      <c r="J14" s="113">
        <v>1</v>
      </c>
      <c r="K14" s="123">
        <v>389.31</v>
      </c>
      <c r="L14" s="47" t="s">
        <v>368</v>
      </c>
    </row>
    <row r="15" spans="1:13" ht="20.100000000000001" customHeight="1">
      <c r="A15" s="113">
        <v>7</v>
      </c>
      <c r="B15" s="113" t="s">
        <v>439</v>
      </c>
      <c r="C15" s="113" t="s">
        <v>423</v>
      </c>
      <c r="D15" s="113" t="s">
        <v>424</v>
      </c>
      <c r="E15" s="113" t="s">
        <v>270</v>
      </c>
      <c r="F15" s="113" t="s">
        <v>425</v>
      </c>
      <c r="G15" s="113" t="s">
        <v>440</v>
      </c>
      <c r="H15" s="113">
        <v>2089</v>
      </c>
      <c r="I15" s="113">
        <v>2628</v>
      </c>
      <c r="J15" s="113">
        <v>1</v>
      </c>
      <c r="K15" s="123">
        <v>122.01</v>
      </c>
      <c r="L15" s="47" t="s">
        <v>369</v>
      </c>
    </row>
    <row r="16" spans="1:13" ht="20.100000000000001" customHeight="1">
      <c r="A16" s="113">
        <v>8</v>
      </c>
      <c r="B16" s="113" t="s">
        <v>441</v>
      </c>
      <c r="C16" s="113" t="s">
        <v>423</v>
      </c>
      <c r="D16" s="113" t="s">
        <v>442</v>
      </c>
      <c r="E16" s="113" t="s">
        <v>443</v>
      </c>
      <c r="F16" s="113" t="s">
        <v>425</v>
      </c>
      <c r="G16" s="113" t="s">
        <v>436</v>
      </c>
      <c r="H16" s="113">
        <v>2285</v>
      </c>
      <c r="I16" s="113">
        <v>2121</v>
      </c>
      <c r="J16" s="113">
        <v>1</v>
      </c>
      <c r="K16" s="123">
        <v>769.07</v>
      </c>
      <c r="L16" s="47" t="s">
        <v>370</v>
      </c>
    </row>
    <row r="17" spans="1:12" ht="20.100000000000001" customHeight="1">
      <c r="A17" s="113">
        <v>9</v>
      </c>
      <c r="B17" s="113" t="s">
        <v>444</v>
      </c>
      <c r="C17" s="113" t="s">
        <v>423</v>
      </c>
      <c r="D17" s="113" t="s">
        <v>442</v>
      </c>
      <c r="E17" s="113" t="s">
        <v>443</v>
      </c>
      <c r="F17" s="113" t="s">
        <v>425</v>
      </c>
      <c r="G17" s="113" t="s">
        <v>445</v>
      </c>
      <c r="H17" s="113">
        <v>2410</v>
      </c>
      <c r="I17" s="113">
        <v>1738</v>
      </c>
      <c r="J17" s="113">
        <v>1</v>
      </c>
      <c r="K17" s="123">
        <v>688.96</v>
      </c>
      <c r="L17" s="47" t="s">
        <v>371</v>
      </c>
    </row>
    <row r="18" spans="1:12" ht="20.100000000000001" customHeight="1">
      <c r="A18" s="113">
        <v>10</v>
      </c>
      <c r="B18" s="113" t="s">
        <v>446</v>
      </c>
      <c r="C18" s="113" t="s">
        <v>423</v>
      </c>
      <c r="D18" s="113" t="s">
        <v>429</v>
      </c>
      <c r="E18" s="113" t="s">
        <v>461</v>
      </c>
      <c r="F18" s="113" t="s">
        <v>425</v>
      </c>
      <c r="G18" s="113" t="s">
        <v>447</v>
      </c>
      <c r="H18" s="113">
        <v>3200</v>
      </c>
      <c r="I18" s="113">
        <v>2654</v>
      </c>
      <c r="J18" s="113">
        <v>1</v>
      </c>
      <c r="K18" s="123">
        <v>237.76</v>
      </c>
      <c r="L18" s="47" t="s">
        <v>372</v>
      </c>
    </row>
    <row r="19" spans="1:12" ht="20.100000000000001" customHeight="1">
      <c r="A19" s="113">
        <v>11</v>
      </c>
      <c r="B19" s="113" t="s">
        <v>448</v>
      </c>
      <c r="C19" s="113" t="s">
        <v>423</v>
      </c>
      <c r="D19" s="113" t="s">
        <v>449</v>
      </c>
      <c r="E19" s="113" t="s">
        <v>461</v>
      </c>
      <c r="F19" s="113" t="s">
        <v>425</v>
      </c>
      <c r="G19" s="113" t="s">
        <v>447</v>
      </c>
      <c r="H19" s="113">
        <v>8792</v>
      </c>
      <c r="I19" s="113">
        <v>2600</v>
      </c>
      <c r="J19" s="113">
        <v>1</v>
      </c>
      <c r="K19" s="123">
        <v>643.59</v>
      </c>
      <c r="L19" s="47" t="s">
        <v>373</v>
      </c>
    </row>
    <row r="20" spans="1:12">
      <c r="A20" s="113">
        <v>12</v>
      </c>
      <c r="B20" s="113" t="s">
        <v>450</v>
      </c>
      <c r="C20" s="113" t="s">
        <v>423</v>
      </c>
      <c r="D20" s="113" t="s">
        <v>429</v>
      </c>
      <c r="E20" s="113" t="s">
        <v>461</v>
      </c>
      <c r="F20" s="113" t="s">
        <v>425</v>
      </c>
      <c r="G20" s="113" t="s">
        <v>451</v>
      </c>
      <c r="H20" s="113">
        <v>4356</v>
      </c>
      <c r="I20" s="113">
        <v>2068</v>
      </c>
      <c r="J20" s="113">
        <v>1</v>
      </c>
      <c r="K20" s="123">
        <v>231.01</v>
      </c>
      <c r="L20" s="47" t="s">
        <v>386</v>
      </c>
    </row>
    <row r="21" spans="1:12" ht="20.100000000000001" customHeight="1">
      <c r="A21" s="113">
        <v>13</v>
      </c>
      <c r="B21" s="113" t="s">
        <v>452</v>
      </c>
      <c r="C21" s="113" t="s">
        <v>432</v>
      </c>
      <c r="D21" s="113" t="s">
        <v>438</v>
      </c>
      <c r="E21" s="113" t="s">
        <v>461</v>
      </c>
      <c r="F21" s="113" t="s">
        <v>434</v>
      </c>
      <c r="G21" s="113" t="s">
        <v>451</v>
      </c>
      <c r="H21" s="113">
        <v>1245</v>
      </c>
      <c r="I21" s="113">
        <v>1749</v>
      </c>
      <c r="J21" s="113">
        <v>2</v>
      </c>
      <c r="K21" s="123">
        <v>353.28</v>
      </c>
      <c r="L21" s="47" t="s">
        <v>387</v>
      </c>
    </row>
    <row r="22" spans="1:12" ht="20.100000000000001" customHeight="1">
      <c r="A22" s="113">
        <v>14</v>
      </c>
      <c r="B22" s="113" t="s">
        <v>453</v>
      </c>
      <c r="C22" s="113" t="s">
        <v>423</v>
      </c>
      <c r="D22" s="113" t="s">
        <v>454</v>
      </c>
      <c r="E22" s="113" t="s">
        <v>443</v>
      </c>
      <c r="F22" s="113" t="s">
        <v>425</v>
      </c>
      <c r="G22" s="113" t="s">
        <v>451</v>
      </c>
      <c r="H22" s="113">
        <v>2186</v>
      </c>
      <c r="I22" s="113">
        <v>1627</v>
      </c>
      <c r="J22" s="113">
        <v>1</v>
      </c>
      <c r="K22" s="123">
        <v>83.83</v>
      </c>
      <c r="L22" s="47" t="s">
        <v>388</v>
      </c>
    </row>
    <row r="23" spans="1:12" ht="20.100000000000001" customHeight="1">
      <c r="A23" s="113">
        <v>15</v>
      </c>
      <c r="B23" s="113" t="s">
        <v>455</v>
      </c>
      <c r="C23" s="113" t="s">
        <v>432</v>
      </c>
      <c r="D23" s="113" t="s">
        <v>438</v>
      </c>
      <c r="E23" s="113" t="s">
        <v>461</v>
      </c>
      <c r="F23" s="113" t="s">
        <v>434</v>
      </c>
      <c r="G23" s="113" t="s">
        <v>456</v>
      </c>
      <c r="H23" s="113">
        <v>3015</v>
      </c>
      <c r="I23" s="113">
        <v>2193</v>
      </c>
      <c r="J23" s="113">
        <v>1</v>
      </c>
      <c r="K23" s="123">
        <v>539.4</v>
      </c>
      <c r="L23" s="47" t="s">
        <v>404</v>
      </c>
    </row>
    <row r="24" spans="1:12" ht="20.100000000000001" customHeight="1">
      <c r="A24" s="113">
        <v>16</v>
      </c>
      <c r="B24" s="113" t="s">
        <v>457</v>
      </c>
      <c r="C24" s="113" t="s">
        <v>423</v>
      </c>
      <c r="D24" s="113" t="s">
        <v>424</v>
      </c>
      <c r="E24" s="113" t="s">
        <v>461</v>
      </c>
      <c r="F24" s="113" t="s">
        <v>425</v>
      </c>
      <c r="G24" s="113" t="s">
        <v>456</v>
      </c>
      <c r="H24" s="113">
        <v>1174</v>
      </c>
      <c r="I24" s="113">
        <v>2175</v>
      </c>
      <c r="J24" s="113">
        <v>1</v>
      </c>
      <c r="K24" s="123">
        <v>83.35</v>
      </c>
      <c r="L24" s="47" t="s">
        <v>420</v>
      </c>
    </row>
    <row r="25" spans="1:12" ht="20.100000000000001" customHeight="1">
      <c r="A25" s="113">
        <v>17</v>
      </c>
      <c r="B25" s="113" t="s">
        <v>458</v>
      </c>
      <c r="C25" s="113" t="s">
        <v>423</v>
      </c>
      <c r="D25" s="113" t="s">
        <v>424</v>
      </c>
      <c r="E25" s="113" t="s">
        <v>461</v>
      </c>
      <c r="F25" s="113" t="s">
        <v>425</v>
      </c>
      <c r="G25" s="113" t="s">
        <v>456</v>
      </c>
      <c r="H25" s="113">
        <v>1566</v>
      </c>
      <c r="I25" s="113">
        <v>2182</v>
      </c>
      <c r="J25" s="113">
        <v>1</v>
      </c>
      <c r="K25" s="123">
        <v>91.81</v>
      </c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5" sqref="Q2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M15000</v>
      </c>
      <c r="D4" s="118" t="str">
        <f>'BD Team'!D9</f>
        <v>FIXED GLASS</v>
      </c>
      <c r="E4" s="118" t="str">
        <f>'BD Team'!F9</f>
        <v>NO</v>
      </c>
      <c r="F4" s="121" t="str">
        <f>'BD Team'!G9</f>
        <v>GF - FRONT HALL</v>
      </c>
      <c r="G4" s="118">
        <f>'BD Team'!H9</f>
        <v>2447</v>
      </c>
      <c r="H4" s="118">
        <f>'BD Team'!I9</f>
        <v>1722</v>
      </c>
      <c r="I4" s="118">
        <f>'BD Team'!J9</f>
        <v>1</v>
      </c>
      <c r="J4" s="103">
        <f t="shared" ref="J4:J53" si="0">G4*H4*I4*10.764/1000000</f>
        <v>45.356632775999998</v>
      </c>
      <c r="K4" s="172">
        <f>'BD Team'!K9</f>
        <v>100.73</v>
      </c>
      <c r="L4" s="171">
        <f>K4*I4</f>
        <v>100.73</v>
      </c>
      <c r="M4" s="170">
        <f>L4*'Changable Values'!$D$4</f>
        <v>8360.59</v>
      </c>
      <c r="N4" s="170" t="str">
        <f>'BD Team'!E9</f>
        <v>17.52MM</v>
      </c>
      <c r="O4" s="172">
        <v>8721</v>
      </c>
      <c r="P4" s="241"/>
      <c r="Q4" s="173"/>
      <c r="R4" s="185"/>
      <c r="S4" s="312"/>
      <c r="T4" s="313">
        <f>(G4+H4)*I4*2/300</f>
        <v>27.793333333333333</v>
      </c>
      <c r="U4" s="313">
        <f>SUM(G4:H4)*I4*2*4/1000</f>
        <v>33.351999999999997</v>
      </c>
      <c r="V4" s="313">
        <f>SUM(G4:H4)*I4*5*5*4/(1000*240)</f>
        <v>1.7370833333333333</v>
      </c>
      <c r="W4" s="313">
        <f>T4</f>
        <v>27.793333333333333</v>
      </c>
      <c r="X4" s="313">
        <f>W4*2</f>
        <v>55.586666666666666</v>
      </c>
      <c r="Y4" s="313">
        <f>SUM(G4:H4)*I4*4/1000</f>
        <v>16.675999999999998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M15000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GF - FRONT HALL</v>
      </c>
      <c r="G5" s="118">
        <f>'BD Team'!H10</f>
        <v>1884</v>
      </c>
      <c r="H5" s="118">
        <f>'BD Team'!I10</f>
        <v>1637</v>
      </c>
      <c r="I5" s="118">
        <f>'BD Team'!J10</f>
        <v>1</v>
      </c>
      <c r="J5" s="103">
        <f t="shared" si="0"/>
        <v>33.197338512000002</v>
      </c>
      <c r="K5" s="172">
        <f>'BD Team'!K10</f>
        <v>87.03</v>
      </c>
      <c r="L5" s="171">
        <f t="shared" ref="L5:L53" si="1">K5*I5</f>
        <v>87.03</v>
      </c>
      <c r="M5" s="170">
        <f>L5*'Changable Values'!$D$4</f>
        <v>7223.49</v>
      </c>
      <c r="N5" s="170" t="str">
        <f>'BD Team'!E10</f>
        <v>17.52MM</v>
      </c>
      <c r="O5" s="172">
        <v>8721</v>
      </c>
      <c r="P5" s="241"/>
      <c r="Q5" s="173"/>
      <c r="R5" s="185"/>
      <c r="S5" s="312"/>
      <c r="T5" s="313">
        <f t="shared" ref="T5:T68" si="2">(G5+H5)*I5*2/300</f>
        <v>23.473333333333333</v>
      </c>
      <c r="U5" s="313">
        <f t="shared" ref="U5:U68" si="3">SUM(G5:H5)*I5*2*4/1000</f>
        <v>28.167999999999999</v>
      </c>
      <c r="V5" s="313">
        <f t="shared" ref="V5:V68" si="4">SUM(G5:H5)*I5*5*5*4/(1000*240)</f>
        <v>1.4670833333333333</v>
      </c>
      <c r="W5" s="313">
        <f t="shared" ref="W5:W68" si="5">T5</f>
        <v>23.473333333333333</v>
      </c>
      <c r="X5" s="313">
        <f t="shared" ref="X5:X68" si="6">W5*2</f>
        <v>46.946666666666665</v>
      </c>
      <c r="Y5" s="313">
        <f t="shared" ref="Y5:Y68" si="7">SUM(G5:H5)*I5*4/1000</f>
        <v>14.084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M15000</v>
      </c>
      <c r="D6" s="118" t="str">
        <f>'BD Team'!D11</f>
        <v>FIXED GLASS 2 NO'S</v>
      </c>
      <c r="E6" s="118" t="str">
        <f>'BD Team'!F11</f>
        <v>NO</v>
      </c>
      <c r="F6" s="121" t="str">
        <f>'BD Team'!G11</f>
        <v>GF - SITTING HALL</v>
      </c>
      <c r="G6" s="118">
        <f>'BD Team'!H11</f>
        <v>3787</v>
      </c>
      <c r="H6" s="118">
        <f>'BD Team'!I11</f>
        <v>2075</v>
      </c>
      <c r="I6" s="118">
        <f>'BD Team'!J11</f>
        <v>1</v>
      </c>
      <c r="J6" s="103">
        <f t="shared" si="0"/>
        <v>84.583781099999996</v>
      </c>
      <c r="K6" s="172">
        <f>'BD Team'!K11</f>
        <v>219.42</v>
      </c>
      <c r="L6" s="171">
        <f t="shared" si="1"/>
        <v>219.42</v>
      </c>
      <c r="M6" s="170">
        <f>L6*'Changable Values'!$D$4</f>
        <v>18211.86</v>
      </c>
      <c r="N6" s="170" t="str">
        <f>'BD Team'!E11</f>
        <v>17.52MM</v>
      </c>
      <c r="O6" s="172">
        <v>8721</v>
      </c>
      <c r="P6" s="241"/>
      <c r="Q6" s="173"/>
      <c r="R6" s="185"/>
      <c r="S6" s="312"/>
      <c r="T6" s="313">
        <f t="shared" si="2"/>
        <v>39.08</v>
      </c>
      <c r="U6" s="313">
        <f t="shared" si="3"/>
        <v>46.896000000000001</v>
      </c>
      <c r="V6" s="313">
        <f t="shared" si="4"/>
        <v>2.4424999999999999</v>
      </c>
      <c r="W6" s="313">
        <f t="shared" si="5"/>
        <v>39.08</v>
      </c>
      <c r="X6" s="313">
        <f t="shared" si="6"/>
        <v>78.16</v>
      </c>
      <c r="Y6" s="313">
        <f t="shared" si="7"/>
        <v>23.448</v>
      </c>
    </row>
    <row r="7" spans="1:25">
      <c r="A7" s="118">
        <f>'BD Team'!A12</f>
        <v>4</v>
      </c>
      <c r="B7" s="118" t="str">
        <f>'BD Team'!B12</f>
        <v>W3</v>
      </c>
      <c r="C7" s="118" t="str">
        <f>'BD Team'!C12</f>
        <v>M14600</v>
      </c>
      <c r="D7" s="118" t="str">
        <f>'BD Team'!D12</f>
        <v>3 TRACK 4 SHUTTER SLIDING DOOR</v>
      </c>
      <c r="E7" s="118" t="str">
        <f>'BD Team'!F12</f>
        <v>SS</v>
      </c>
      <c r="F7" s="121" t="str">
        <f>'BD Team'!G12</f>
        <v>GF - SITTING HALL</v>
      </c>
      <c r="G7" s="118">
        <f>'BD Team'!H12</f>
        <v>4556</v>
      </c>
      <c r="H7" s="118">
        <f>'BD Team'!I12</f>
        <v>2474</v>
      </c>
      <c r="I7" s="118">
        <f>'BD Team'!J12</f>
        <v>1</v>
      </c>
      <c r="J7" s="103">
        <f t="shared" si="0"/>
        <v>121.32689961599999</v>
      </c>
      <c r="K7" s="172">
        <f>'BD Team'!K12</f>
        <v>1063.5</v>
      </c>
      <c r="L7" s="171">
        <f t="shared" si="1"/>
        <v>1063.5</v>
      </c>
      <c r="M7" s="170">
        <f>L7*'Changable Values'!$D$4</f>
        <v>88270.5</v>
      </c>
      <c r="N7" s="170" t="str">
        <f>'BD Team'!E12</f>
        <v>17.52MM</v>
      </c>
      <c r="O7" s="172">
        <v>8721</v>
      </c>
      <c r="P7" s="241"/>
      <c r="Q7" s="173">
        <f>50*10.764</f>
        <v>538.19999999999993</v>
      </c>
      <c r="R7" s="185"/>
      <c r="S7" s="312"/>
      <c r="T7" s="313">
        <f t="shared" si="2"/>
        <v>46.866666666666667</v>
      </c>
      <c r="U7" s="313">
        <f t="shared" si="3"/>
        <v>56.24</v>
      </c>
      <c r="V7" s="313">
        <f t="shared" si="4"/>
        <v>2.9291666666666667</v>
      </c>
      <c r="W7" s="313">
        <f t="shared" si="5"/>
        <v>46.866666666666667</v>
      </c>
      <c r="X7" s="313">
        <f t="shared" si="6"/>
        <v>93.733333333333334</v>
      </c>
      <c r="Y7" s="313">
        <f t="shared" si="7"/>
        <v>28.12</v>
      </c>
    </row>
    <row r="8" spans="1:25">
      <c r="A8" s="118">
        <f>'BD Team'!A13</f>
        <v>5</v>
      </c>
      <c r="B8" s="118" t="str">
        <f>'BD Team'!B13</f>
        <v>W4</v>
      </c>
      <c r="C8" s="118" t="str">
        <f>'BD Team'!C13</f>
        <v>M14600</v>
      </c>
      <c r="D8" s="118" t="str">
        <f>'BD Team'!D13</f>
        <v>3 TRACK 4 SHUTTER SLIDING DOOR</v>
      </c>
      <c r="E8" s="118" t="str">
        <f>'BD Team'!F13</f>
        <v>SS</v>
      </c>
      <c r="F8" s="121" t="str">
        <f>'BD Team'!G13</f>
        <v>1F - MASTER BEDROOM</v>
      </c>
      <c r="G8" s="118">
        <f>'BD Team'!H13</f>
        <v>4544</v>
      </c>
      <c r="H8" s="118">
        <f>'BD Team'!I13</f>
        <v>2317</v>
      </c>
      <c r="I8" s="118">
        <f>'BD Team'!J13</f>
        <v>1</v>
      </c>
      <c r="J8" s="103">
        <f t="shared" si="0"/>
        <v>113.328214272</v>
      </c>
      <c r="K8" s="172">
        <f>'BD Team'!K13</f>
        <v>1032.8800000000001</v>
      </c>
      <c r="L8" s="171">
        <f t="shared" si="1"/>
        <v>1032.8800000000001</v>
      </c>
      <c r="M8" s="170">
        <f>L8*'Changable Values'!$D$4</f>
        <v>85729.040000000008</v>
      </c>
      <c r="N8" s="170" t="str">
        <f>'BD Team'!E13</f>
        <v>17.52MM</v>
      </c>
      <c r="O8" s="172">
        <v>8721</v>
      </c>
      <c r="P8" s="241"/>
      <c r="Q8" s="173">
        <f t="shared" ref="Q8:Q9" si="8">50*10.764</f>
        <v>538.19999999999993</v>
      </c>
      <c r="R8" s="185"/>
      <c r="S8" s="312"/>
      <c r="T8" s="313">
        <f t="shared" si="2"/>
        <v>45.74</v>
      </c>
      <c r="U8" s="313">
        <f t="shared" si="3"/>
        <v>54.887999999999998</v>
      </c>
      <c r="V8" s="313">
        <f t="shared" si="4"/>
        <v>2.8587500000000001</v>
      </c>
      <c r="W8" s="313">
        <f t="shared" si="5"/>
        <v>45.74</v>
      </c>
      <c r="X8" s="313">
        <f t="shared" si="6"/>
        <v>91.48</v>
      </c>
      <c r="Y8" s="313">
        <f t="shared" si="7"/>
        <v>27.443999999999999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1F - MASTER BEDROOM</v>
      </c>
      <c r="G9" s="118">
        <f>'BD Team'!H14</f>
        <v>1847</v>
      </c>
      <c r="H9" s="118">
        <f>'BD Team'!I14</f>
        <v>1695</v>
      </c>
      <c r="I9" s="118">
        <f>'BD Team'!J14</f>
        <v>1</v>
      </c>
      <c r="J9" s="103">
        <f t="shared" si="0"/>
        <v>33.698478059999992</v>
      </c>
      <c r="K9" s="172">
        <f>'BD Team'!K14</f>
        <v>389.31</v>
      </c>
      <c r="L9" s="171">
        <f t="shared" si="1"/>
        <v>389.31</v>
      </c>
      <c r="M9" s="170">
        <f>L9*'Changable Values'!$D$4</f>
        <v>32312.73</v>
      </c>
      <c r="N9" s="170" t="str">
        <f>'BD Team'!E14</f>
        <v>17.52MM</v>
      </c>
      <c r="O9" s="172">
        <v>8721</v>
      </c>
      <c r="P9" s="241"/>
      <c r="Q9" s="173">
        <f t="shared" si="8"/>
        <v>538.19999999999993</v>
      </c>
      <c r="R9" s="185"/>
      <c r="S9" s="312"/>
      <c r="T9" s="313">
        <f t="shared" si="2"/>
        <v>23.613333333333333</v>
      </c>
      <c r="U9" s="313">
        <f t="shared" si="3"/>
        <v>28.335999999999999</v>
      </c>
      <c r="V9" s="313">
        <f t="shared" si="4"/>
        <v>1.4758333333333333</v>
      </c>
      <c r="W9" s="313">
        <f t="shared" si="5"/>
        <v>23.613333333333333</v>
      </c>
      <c r="X9" s="313">
        <f t="shared" si="6"/>
        <v>47.226666666666667</v>
      </c>
      <c r="Y9" s="313">
        <f t="shared" si="7"/>
        <v>14.167999999999999</v>
      </c>
    </row>
    <row r="10" spans="1:25" ht="28.5">
      <c r="A10" s="118">
        <f>'BD Team'!A15</f>
        <v>7</v>
      </c>
      <c r="B10" s="118" t="str">
        <f>'BD Team'!B15</f>
        <v>W6</v>
      </c>
      <c r="C10" s="118" t="str">
        <f>'BD Team'!C15</f>
        <v>M15000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1F - MASTER BEDROOM BALCONY</v>
      </c>
      <c r="G10" s="118">
        <f>'BD Team'!H15</f>
        <v>2089</v>
      </c>
      <c r="H10" s="118">
        <f>'BD Team'!I15</f>
        <v>2628</v>
      </c>
      <c r="I10" s="118">
        <f>'BD Team'!J15</f>
        <v>1</v>
      </c>
      <c r="J10" s="103">
        <f t="shared" si="0"/>
        <v>59.093197488000001</v>
      </c>
      <c r="K10" s="172">
        <f>'BD Team'!K15</f>
        <v>122.01</v>
      </c>
      <c r="L10" s="171">
        <f t="shared" si="1"/>
        <v>122.01</v>
      </c>
      <c r="M10" s="170">
        <f>L10*'Changable Values'!$D$4</f>
        <v>10126.83</v>
      </c>
      <c r="N10" s="170" t="str">
        <f>'BD Team'!E15</f>
        <v>12MM</v>
      </c>
      <c r="O10" s="172">
        <v>1890</v>
      </c>
      <c r="P10" s="241"/>
      <c r="Q10" s="173"/>
      <c r="R10" s="185"/>
      <c r="S10" s="312"/>
      <c r="T10" s="313">
        <f t="shared" si="2"/>
        <v>31.446666666666665</v>
      </c>
      <c r="U10" s="313">
        <f t="shared" si="3"/>
        <v>37.735999999999997</v>
      </c>
      <c r="V10" s="313">
        <f t="shared" si="4"/>
        <v>1.9654166666666666</v>
      </c>
      <c r="W10" s="313">
        <f t="shared" si="5"/>
        <v>31.446666666666665</v>
      </c>
      <c r="X10" s="313">
        <f t="shared" si="6"/>
        <v>62.893333333333331</v>
      </c>
      <c r="Y10" s="313">
        <f t="shared" si="7"/>
        <v>18.867999999999999</v>
      </c>
    </row>
    <row r="11" spans="1:25">
      <c r="A11" s="118">
        <f>'BD Team'!A16</f>
        <v>8</v>
      </c>
      <c r="B11" s="118" t="str">
        <f>'BD Team'!B16</f>
        <v>W7</v>
      </c>
      <c r="C11" s="118" t="str">
        <f>'BD Team'!C16</f>
        <v>M15000</v>
      </c>
      <c r="D11" s="118" t="str">
        <f>'BD Team'!D16</f>
        <v>FRENCH WINDOW WITH 5 FIXED</v>
      </c>
      <c r="E11" s="118" t="str">
        <f>'BD Team'!F16</f>
        <v>NO</v>
      </c>
      <c r="F11" s="121" t="str">
        <f>'BD Team'!G16</f>
        <v>1F - MASTER BEDROOM</v>
      </c>
      <c r="G11" s="118">
        <f>'BD Team'!H16</f>
        <v>2285</v>
      </c>
      <c r="H11" s="118">
        <f>'BD Team'!I16</f>
        <v>2121</v>
      </c>
      <c r="I11" s="118">
        <f>'BD Team'!J16</f>
        <v>1</v>
      </c>
      <c r="J11" s="103">
        <f t="shared" si="0"/>
        <v>52.167564540000001</v>
      </c>
      <c r="K11" s="172">
        <f>'BD Team'!K16</f>
        <v>769.07</v>
      </c>
      <c r="L11" s="171">
        <f t="shared" si="1"/>
        <v>769.07</v>
      </c>
      <c r="M11" s="170">
        <f>L11*'Changable Values'!$D$4</f>
        <v>63832.810000000005</v>
      </c>
      <c r="N11" s="170" t="str">
        <f>'BD Team'!E16</f>
        <v>8MM</v>
      </c>
      <c r="O11" s="172">
        <v>1322</v>
      </c>
      <c r="P11" s="241"/>
      <c r="Q11" s="173"/>
      <c r="R11" s="185"/>
      <c r="S11" s="312"/>
      <c r="T11" s="313">
        <f t="shared" si="2"/>
        <v>29.373333333333335</v>
      </c>
      <c r="U11" s="313">
        <f t="shared" si="3"/>
        <v>35.247999999999998</v>
      </c>
      <c r="V11" s="313">
        <f t="shared" si="4"/>
        <v>1.8358333333333334</v>
      </c>
      <c r="W11" s="313">
        <f t="shared" si="5"/>
        <v>29.373333333333335</v>
      </c>
      <c r="X11" s="313">
        <f t="shared" si="6"/>
        <v>58.74666666666667</v>
      </c>
      <c r="Y11" s="313">
        <f t="shared" si="7"/>
        <v>17.623999999999999</v>
      </c>
    </row>
    <row r="12" spans="1:25">
      <c r="A12" s="118">
        <f>'BD Team'!A17</f>
        <v>9</v>
      </c>
      <c r="B12" s="118" t="str">
        <f>'BD Team'!B17</f>
        <v>W8</v>
      </c>
      <c r="C12" s="118" t="str">
        <f>'BD Team'!C17</f>
        <v>M15000</v>
      </c>
      <c r="D12" s="118" t="str">
        <f>'BD Team'!D17</f>
        <v>FRENCH WINDOW WITH 5 FIXED</v>
      </c>
      <c r="E12" s="118" t="str">
        <f>'BD Team'!F17</f>
        <v>NO</v>
      </c>
      <c r="F12" s="121" t="str">
        <f>'BD Team'!G17</f>
        <v>1F - KIDS BEDROOM</v>
      </c>
      <c r="G12" s="118">
        <f>'BD Team'!H17</f>
        <v>2410</v>
      </c>
      <c r="H12" s="118">
        <f>'BD Team'!I17</f>
        <v>1738</v>
      </c>
      <c r="I12" s="118">
        <f>'BD Team'!J17</f>
        <v>1</v>
      </c>
      <c r="J12" s="103">
        <f t="shared" si="0"/>
        <v>45.085875119999997</v>
      </c>
      <c r="K12" s="172">
        <f>'BD Team'!K17</f>
        <v>688.96</v>
      </c>
      <c r="L12" s="171">
        <f t="shared" si="1"/>
        <v>688.96</v>
      </c>
      <c r="M12" s="170">
        <f>L12*'Changable Values'!$D$4</f>
        <v>57183.68</v>
      </c>
      <c r="N12" s="170" t="str">
        <f>'BD Team'!E17</f>
        <v>8MM</v>
      </c>
      <c r="O12" s="172">
        <v>1322</v>
      </c>
      <c r="P12" s="241"/>
      <c r="Q12" s="173"/>
      <c r="R12" s="185"/>
      <c r="S12" s="312"/>
      <c r="T12" s="313">
        <f t="shared" si="2"/>
        <v>27.653333333333332</v>
      </c>
      <c r="U12" s="313">
        <f t="shared" si="3"/>
        <v>33.183999999999997</v>
      </c>
      <c r="V12" s="313">
        <f t="shared" si="4"/>
        <v>1.7283333333333333</v>
      </c>
      <c r="W12" s="313">
        <f t="shared" si="5"/>
        <v>27.653333333333332</v>
      </c>
      <c r="X12" s="313">
        <f t="shared" si="6"/>
        <v>55.306666666666665</v>
      </c>
      <c r="Y12" s="313">
        <f t="shared" si="7"/>
        <v>16.591999999999999</v>
      </c>
    </row>
    <row r="13" spans="1:25">
      <c r="A13" s="118">
        <f>'BD Team'!A18</f>
        <v>10</v>
      </c>
      <c r="B13" s="118" t="str">
        <f>'BD Team'!B18</f>
        <v>W9</v>
      </c>
      <c r="C13" s="118" t="str">
        <f>'BD Team'!C18</f>
        <v>M15000</v>
      </c>
      <c r="D13" s="118" t="str">
        <f>'BD Team'!D18</f>
        <v>FIXED GLASS 2 NO'S</v>
      </c>
      <c r="E13" s="118" t="str">
        <f>'BD Team'!F18</f>
        <v>NO</v>
      </c>
      <c r="F13" s="121" t="str">
        <f>'BD Team'!G18</f>
        <v>1F - ELEVATION</v>
      </c>
      <c r="G13" s="118">
        <f>'BD Team'!H18</f>
        <v>3200</v>
      </c>
      <c r="H13" s="118">
        <f>'BD Team'!I18</f>
        <v>2654</v>
      </c>
      <c r="I13" s="118">
        <f>'BD Team'!J18</f>
        <v>1</v>
      </c>
      <c r="J13" s="103">
        <f t="shared" si="0"/>
        <v>91.41649919999999</v>
      </c>
      <c r="K13" s="172">
        <f>'BD Team'!K18</f>
        <v>237.76</v>
      </c>
      <c r="L13" s="171">
        <f t="shared" si="1"/>
        <v>237.76</v>
      </c>
      <c r="M13" s="170">
        <f>L13*'Changable Values'!$D$4</f>
        <v>19734.079999999998</v>
      </c>
      <c r="N13" s="170" t="str">
        <f>'BD Team'!E18</f>
        <v>17.52MM</v>
      </c>
      <c r="O13" s="172">
        <v>8721</v>
      </c>
      <c r="P13" s="241"/>
      <c r="Q13" s="173"/>
      <c r="R13" s="185"/>
      <c r="S13" s="312"/>
      <c r="T13" s="313">
        <f t="shared" si="2"/>
        <v>39.026666666666664</v>
      </c>
      <c r="U13" s="313">
        <f t="shared" si="3"/>
        <v>46.832000000000001</v>
      </c>
      <c r="V13" s="313">
        <f t="shared" si="4"/>
        <v>2.4391666666666665</v>
      </c>
      <c r="W13" s="313">
        <f t="shared" si="5"/>
        <v>39.026666666666664</v>
      </c>
      <c r="X13" s="313">
        <f t="shared" si="6"/>
        <v>78.053333333333327</v>
      </c>
      <c r="Y13" s="313">
        <f t="shared" si="7"/>
        <v>23.416</v>
      </c>
    </row>
    <row r="14" spans="1:25">
      <c r="A14" s="118">
        <f>'BD Team'!A19</f>
        <v>11</v>
      </c>
      <c r="B14" s="118" t="str">
        <f>'BD Team'!B19</f>
        <v>W10</v>
      </c>
      <c r="C14" s="118" t="str">
        <f>'BD Team'!C19</f>
        <v>M15000</v>
      </c>
      <c r="D14" s="118" t="str">
        <f>'BD Team'!D19</f>
        <v>FIXED GLASS 4 NO'S</v>
      </c>
      <c r="E14" s="118" t="str">
        <f>'BD Team'!F19</f>
        <v>NO</v>
      </c>
      <c r="F14" s="121" t="str">
        <f>'BD Team'!G19</f>
        <v>1F - ELEVATION</v>
      </c>
      <c r="G14" s="118">
        <f>'BD Team'!H19</f>
        <v>8792</v>
      </c>
      <c r="H14" s="118">
        <f>'BD Team'!I19</f>
        <v>2600</v>
      </c>
      <c r="I14" s="118">
        <f>'BD Team'!J19</f>
        <v>1</v>
      </c>
      <c r="J14" s="103">
        <f t="shared" si="0"/>
        <v>246.05642879999999</v>
      </c>
      <c r="K14" s="172">
        <f>'BD Team'!K19</f>
        <v>643.59</v>
      </c>
      <c r="L14" s="171">
        <f t="shared" si="1"/>
        <v>643.59</v>
      </c>
      <c r="M14" s="170">
        <f>L14*'Changable Values'!$D$4</f>
        <v>53417.97</v>
      </c>
      <c r="N14" s="170" t="str">
        <f>'BD Team'!E19</f>
        <v>17.52MM</v>
      </c>
      <c r="O14" s="172">
        <v>8721</v>
      </c>
      <c r="P14" s="241"/>
      <c r="Q14" s="173"/>
      <c r="R14" s="185"/>
      <c r="S14" s="312"/>
      <c r="T14" s="313">
        <f t="shared" si="2"/>
        <v>75.946666666666673</v>
      </c>
      <c r="U14" s="313">
        <f t="shared" si="3"/>
        <v>91.135999999999996</v>
      </c>
      <c r="V14" s="313">
        <f t="shared" si="4"/>
        <v>4.746666666666667</v>
      </c>
      <c r="W14" s="313">
        <f t="shared" si="5"/>
        <v>75.946666666666673</v>
      </c>
      <c r="X14" s="313">
        <f t="shared" si="6"/>
        <v>151.89333333333335</v>
      </c>
      <c r="Y14" s="313">
        <f t="shared" si="7"/>
        <v>45.567999999999998</v>
      </c>
    </row>
    <row r="15" spans="1:25">
      <c r="A15" s="118">
        <f>'BD Team'!A20</f>
        <v>12</v>
      </c>
      <c r="B15" s="118" t="str">
        <f>'BD Team'!B20</f>
        <v>W11</v>
      </c>
      <c r="C15" s="118" t="str">
        <f>'BD Team'!C20</f>
        <v>M15000</v>
      </c>
      <c r="D15" s="118" t="str">
        <f>'BD Team'!D20</f>
        <v>FIXED GLASS 2 NO'S</v>
      </c>
      <c r="E15" s="118" t="str">
        <f>'BD Team'!F20</f>
        <v>NO</v>
      </c>
      <c r="F15" s="121" t="str">
        <f>'BD Team'!G20</f>
        <v>2F - GUEST BEDROOM</v>
      </c>
      <c r="G15" s="118">
        <f>'BD Team'!H20</f>
        <v>4356</v>
      </c>
      <c r="H15" s="118">
        <f>'BD Team'!I20</f>
        <v>2068</v>
      </c>
      <c r="I15" s="118">
        <f>'BD Team'!J20</f>
        <v>1</v>
      </c>
      <c r="J15" s="103">
        <f t="shared" si="0"/>
        <v>96.964350912</v>
      </c>
      <c r="K15" s="172">
        <f>'BD Team'!K20</f>
        <v>231.01</v>
      </c>
      <c r="L15" s="171">
        <f t="shared" si="1"/>
        <v>231.01</v>
      </c>
      <c r="M15" s="170">
        <f>L15*'Changable Values'!$D$4</f>
        <v>19173.829999999998</v>
      </c>
      <c r="N15" s="170" t="str">
        <f>'BD Team'!E20</f>
        <v>17.52MM</v>
      </c>
      <c r="O15" s="172">
        <v>8721</v>
      </c>
      <c r="P15" s="241"/>
      <c r="Q15" s="173"/>
      <c r="R15" s="185"/>
      <c r="S15" s="312"/>
      <c r="T15" s="313">
        <f t="shared" si="2"/>
        <v>42.826666666666668</v>
      </c>
      <c r="U15" s="313">
        <f t="shared" si="3"/>
        <v>51.392000000000003</v>
      </c>
      <c r="V15" s="313">
        <f t="shared" si="4"/>
        <v>2.6766666666666667</v>
      </c>
      <c r="W15" s="313">
        <f t="shared" si="5"/>
        <v>42.826666666666668</v>
      </c>
      <c r="X15" s="313">
        <f t="shared" si="6"/>
        <v>85.653333333333336</v>
      </c>
      <c r="Y15" s="313">
        <f t="shared" si="7"/>
        <v>25.696000000000002</v>
      </c>
    </row>
    <row r="16" spans="1:25">
      <c r="A16" s="118">
        <f>'BD Team'!A21</f>
        <v>13</v>
      </c>
      <c r="B16" s="118" t="str">
        <f>'BD Team'!B21</f>
        <v>W12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2F - GUEST BEDROOM</v>
      </c>
      <c r="G16" s="118">
        <f>'BD Team'!H21</f>
        <v>1245</v>
      </c>
      <c r="H16" s="118">
        <f>'BD Team'!I21</f>
        <v>1749</v>
      </c>
      <c r="I16" s="118">
        <f>'BD Team'!J21</f>
        <v>2</v>
      </c>
      <c r="J16" s="103">
        <f t="shared" si="0"/>
        <v>46.877327639999997</v>
      </c>
      <c r="K16" s="172">
        <f>'BD Team'!K21</f>
        <v>353.28</v>
      </c>
      <c r="L16" s="171">
        <f t="shared" si="1"/>
        <v>706.56</v>
      </c>
      <c r="M16" s="170">
        <f>L16*'Changable Values'!$D$4</f>
        <v>58644.479999999996</v>
      </c>
      <c r="N16" s="170" t="str">
        <f>'BD Team'!E21</f>
        <v>17.52MM</v>
      </c>
      <c r="O16" s="172">
        <v>8721</v>
      </c>
      <c r="P16" s="241"/>
      <c r="Q16" s="173">
        <f>50*10.764</f>
        <v>538.19999999999993</v>
      </c>
      <c r="R16" s="185"/>
      <c r="S16" s="312"/>
      <c r="T16" s="313">
        <f t="shared" si="2"/>
        <v>39.92</v>
      </c>
      <c r="U16" s="313">
        <f t="shared" si="3"/>
        <v>47.904000000000003</v>
      </c>
      <c r="V16" s="313">
        <f t="shared" si="4"/>
        <v>2.4950000000000001</v>
      </c>
      <c r="W16" s="313">
        <f t="shared" si="5"/>
        <v>39.92</v>
      </c>
      <c r="X16" s="313">
        <f t="shared" si="6"/>
        <v>79.84</v>
      </c>
      <c r="Y16" s="313">
        <f t="shared" si="7"/>
        <v>23.952000000000002</v>
      </c>
    </row>
    <row r="17" spans="1:25">
      <c r="A17" s="118">
        <f>'BD Team'!A22</f>
        <v>14</v>
      </c>
      <c r="B17" s="118" t="str">
        <f>'BD Team'!B22</f>
        <v>W13</v>
      </c>
      <c r="C17" s="118" t="str">
        <f>'BD Team'!C22</f>
        <v>M15000</v>
      </c>
      <c r="D17" s="118" t="str">
        <f>'BD Team'!D22</f>
        <v>FIXED GLASS IN SHAPE</v>
      </c>
      <c r="E17" s="118" t="str">
        <f>'BD Team'!F22</f>
        <v>NO</v>
      </c>
      <c r="F17" s="121" t="str">
        <f>'BD Team'!G22</f>
        <v>2F - GUEST BEDROOM</v>
      </c>
      <c r="G17" s="118">
        <f>'BD Team'!H22</f>
        <v>2186</v>
      </c>
      <c r="H17" s="118">
        <f>'BD Team'!I22</f>
        <v>1627</v>
      </c>
      <c r="I17" s="118">
        <f>'BD Team'!J22</f>
        <v>1</v>
      </c>
      <c r="J17" s="103">
        <f t="shared" si="0"/>
        <v>38.283479207999996</v>
      </c>
      <c r="K17" s="172">
        <f>'BD Team'!K22</f>
        <v>83.83</v>
      </c>
      <c r="L17" s="171">
        <f t="shared" si="1"/>
        <v>83.83</v>
      </c>
      <c r="M17" s="170">
        <f>L17*'Changable Values'!$D$4</f>
        <v>6957.8899999999994</v>
      </c>
      <c r="N17" s="170" t="str">
        <f>'BD Team'!E22</f>
        <v>8MM</v>
      </c>
      <c r="O17" s="172">
        <v>1322</v>
      </c>
      <c r="P17" s="241"/>
      <c r="Q17" s="173"/>
      <c r="R17" s="185"/>
      <c r="S17" s="312"/>
      <c r="T17" s="313">
        <f t="shared" si="2"/>
        <v>25.42</v>
      </c>
      <c r="U17" s="313">
        <f t="shared" si="3"/>
        <v>30.504000000000001</v>
      </c>
      <c r="V17" s="313">
        <f t="shared" si="4"/>
        <v>1.5887500000000001</v>
      </c>
      <c r="W17" s="313">
        <f t="shared" si="5"/>
        <v>25.42</v>
      </c>
      <c r="X17" s="313">
        <f t="shared" si="6"/>
        <v>50.84</v>
      </c>
      <c r="Y17" s="313">
        <f t="shared" si="7"/>
        <v>15.252000000000001</v>
      </c>
    </row>
    <row r="18" spans="1:25">
      <c r="A18" s="118">
        <f>'BD Team'!A23</f>
        <v>15</v>
      </c>
      <c r="B18" s="118" t="str">
        <f>'BD Team'!B23</f>
        <v>W14</v>
      </c>
      <c r="C18" s="118" t="str">
        <f>'BD Team'!C23</f>
        <v>M14600</v>
      </c>
      <c r="D18" s="118" t="str">
        <f>'BD Team'!D23</f>
        <v>3 TRACK 2 SHUTTER SLIDING DOOR</v>
      </c>
      <c r="E18" s="118" t="str">
        <f>'BD Team'!F23</f>
        <v>SS</v>
      </c>
      <c r="F18" s="121" t="str">
        <f>'BD Team'!G23</f>
        <v>2F - PLAYROOM</v>
      </c>
      <c r="G18" s="118">
        <f>'BD Team'!H23</f>
        <v>3015</v>
      </c>
      <c r="H18" s="118">
        <f>'BD Team'!I23</f>
        <v>2193</v>
      </c>
      <c r="I18" s="118">
        <f>'BD Team'!J23</f>
        <v>1</v>
      </c>
      <c r="J18" s="103">
        <f t="shared" si="0"/>
        <v>71.17043778</v>
      </c>
      <c r="K18" s="172">
        <f>'BD Team'!K23</f>
        <v>539.4</v>
      </c>
      <c r="L18" s="171">
        <f t="shared" si="1"/>
        <v>539.4</v>
      </c>
      <c r="M18" s="170">
        <f>L18*'Changable Values'!$D$4</f>
        <v>44770.2</v>
      </c>
      <c r="N18" s="170" t="str">
        <f>'BD Team'!E23</f>
        <v>17.52MM</v>
      </c>
      <c r="O18" s="172">
        <v>8721</v>
      </c>
      <c r="P18" s="241"/>
      <c r="Q18" s="173">
        <f>50*10.764</f>
        <v>538.19999999999993</v>
      </c>
      <c r="R18" s="185"/>
      <c r="S18" s="312"/>
      <c r="T18" s="313">
        <f t="shared" si="2"/>
        <v>34.72</v>
      </c>
      <c r="U18" s="313">
        <f t="shared" si="3"/>
        <v>41.664000000000001</v>
      </c>
      <c r="V18" s="313">
        <f t="shared" si="4"/>
        <v>2.17</v>
      </c>
      <c r="W18" s="313">
        <f t="shared" si="5"/>
        <v>34.72</v>
      </c>
      <c r="X18" s="313">
        <f t="shared" si="6"/>
        <v>69.44</v>
      </c>
      <c r="Y18" s="313">
        <f t="shared" si="7"/>
        <v>20.832000000000001</v>
      </c>
    </row>
    <row r="19" spans="1:25">
      <c r="A19" s="118">
        <f>'BD Team'!A24</f>
        <v>16</v>
      </c>
      <c r="B19" s="118" t="str">
        <f>'BD Team'!B24</f>
        <v>W15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2F - PLAYROOM</v>
      </c>
      <c r="G19" s="118">
        <f>'BD Team'!H24</f>
        <v>1174</v>
      </c>
      <c r="H19" s="118">
        <f>'BD Team'!I24</f>
        <v>2175</v>
      </c>
      <c r="I19" s="118">
        <f>'BD Team'!J24</f>
        <v>1</v>
      </c>
      <c r="J19" s="103">
        <f t="shared" si="0"/>
        <v>27.485335799999998</v>
      </c>
      <c r="K19" s="172">
        <f>'BD Team'!K24</f>
        <v>83.35</v>
      </c>
      <c r="L19" s="171">
        <f t="shared" si="1"/>
        <v>83.35</v>
      </c>
      <c r="M19" s="170">
        <f>L19*'Changable Values'!$D$4</f>
        <v>6918.0499999999993</v>
      </c>
      <c r="N19" s="170" t="str">
        <f>'BD Team'!E24</f>
        <v>17.52MM</v>
      </c>
      <c r="O19" s="172">
        <v>8721</v>
      </c>
      <c r="P19" s="241"/>
      <c r="Q19" s="173"/>
      <c r="R19" s="185"/>
      <c r="S19" s="312"/>
      <c r="T19" s="313">
        <f t="shared" si="2"/>
        <v>22.326666666666668</v>
      </c>
      <c r="U19" s="313">
        <f t="shared" si="3"/>
        <v>26.792000000000002</v>
      </c>
      <c r="V19" s="313">
        <f t="shared" si="4"/>
        <v>1.3954166666666667</v>
      </c>
      <c r="W19" s="313">
        <f t="shared" si="5"/>
        <v>22.326666666666668</v>
      </c>
      <c r="X19" s="313">
        <f t="shared" si="6"/>
        <v>44.653333333333336</v>
      </c>
      <c r="Y19" s="313">
        <f t="shared" si="7"/>
        <v>13.396000000000001</v>
      </c>
    </row>
    <row r="20" spans="1:25">
      <c r="A20" s="118">
        <f>'BD Team'!A25</f>
        <v>17</v>
      </c>
      <c r="B20" s="118" t="str">
        <f>'BD Team'!B25</f>
        <v>W16</v>
      </c>
      <c r="C20" s="118" t="str">
        <f>'BD Team'!C25</f>
        <v>M15000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2F - PLAYROOM</v>
      </c>
      <c r="G20" s="118">
        <f>'BD Team'!H25</f>
        <v>1566</v>
      </c>
      <c r="H20" s="118">
        <f>'BD Team'!I25</f>
        <v>2182</v>
      </c>
      <c r="I20" s="118">
        <f>'BD Team'!J25</f>
        <v>1</v>
      </c>
      <c r="J20" s="103">
        <f t="shared" si="0"/>
        <v>36.780717167999995</v>
      </c>
      <c r="K20" s="172">
        <f>'BD Team'!K25</f>
        <v>91.81</v>
      </c>
      <c r="L20" s="171">
        <f t="shared" si="1"/>
        <v>91.81</v>
      </c>
      <c r="M20" s="170">
        <f>L20*'Changable Values'!$D$4</f>
        <v>7620.2300000000005</v>
      </c>
      <c r="N20" s="170" t="str">
        <f>'BD Team'!E25</f>
        <v>17.52MM</v>
      </c>
      <c r="O20" s="172">
        <v>8721</v>
      </c>
      <c r="P20" s="241"/>
      <c r="Q20" s="173"/>
      <c r="R20" s="185"/>
      <c r="S20" s="312"/>
      <c r="T20" s="313">
        <f t="shared" si="2"/>
        <v>24.986666666666668</v>
      </c>
      <c r="U20" s="313">
        <f t="shared" si="3"/>
        <v>29.984000000000002</v>
      </c>
      <c r="V20" s="313">
        <f t="shared" si="4"/>
        <v>1.5616666666666668</v>
      </c>
      <c r="W20" s="313">
        <f t="shared" si="5"/>
        <v>24.986666666666668</v>
      </c>
      <c r="X20" s="313">
        <f t="shared" si="6"/>
        <v>49.973333333333336</v>
      </c>
      <c r="Y20" s="313">
        <f t="shared" si="7"/>
        <v>14.992000000000001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6736.9400000000005</v>
      </c>
      <c r="L104" s="168">
        <f>SUM(L4:L103)</f>
        <v>7090.22</v>
      </c>
      <c r="M104" s="168">
        <f>SUM(M4:M103)</f>
        <v>588488.26</v>
      </c>
      <c r="T104" s="314">
        <f t="shared" ref="T104:Y104" si="17">SUM(T4:T103)</f>
        <v>600.21333333333337</v>
      </c>
      <c r="U104" s="314">
        <f t="shared" si="17"/>
        <v>720.25600000000009</v>
      </c>
      <c r="V104" s="314">
        <f t="shared" si="17"/>
        <v>37.513333333333335</v>
      </c>
      <c r="W104" s="314">
        <f t="shared" si="17"/>
        <v>600.21333333333337</v>
      </c>
      <c r="X104" s="314">
        <f t="shared" si="17"/>
        <v>1200.4266666666667</v>
      </c>
      <c r="Y104" s="314">
        <f t="shared" si="17"/>
        <v>360.12800000000004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7" sqref="F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8721.4679999999989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6530</v>
      </c>
      <c r="D4" s="255">
        <f>C4*D3</f>
        <v>150.19</v>
      </c>
      <c r="E4" s="255">
        <f>C4*E3</f>
        <v>261.2</v>
      </c>
      <c r="F4" s="255">
        <f>C4*F3</f>
        <v>326.5</v>
      </c>
      <c r="G4" s="255">
        <f>C4+D4+E4+F4</f>
        <v>7267.8899999999994</v>
      </c>
      <c r="H4" s="255">
        <f>G4*H3</f>
        <v>1453.578</v>
      </c>
      <c r="I4" s="255">
        <f>G4+H4</f>
        <v>8721.4679999999989</v>
      </c>
      <c r="J4" s="255">
        <f>I4*J3</f>
        <v>0</v>
      </c>
      <c r="K4" s="255">
        <f>I4+J4</f>
        <v>8721.4679999999989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27.04</v>
      </c>
      <c r="B7" s="270">
        <v>10</v>
      </c>
      <c r="C7" s="271">
        <v>1.52</v>
      </c>
      <c r="D7" s="270">
        <v>10</v>
      </c>
      <c r="E7" s="271">
        <v>1.52</v>
      </c>
      <c r="F7" s="270">
        <v>4</v>
      </c>
      <c r="G7" s="269">
        <f>SUM(B8:F8)</f>
        <v>6530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1800</v>
      </c>
      <c r="F8" s="270">
        <f>IF(F7=B11,C11,IF(F7=B12,C12,IF(F7=B13,C13,IF(F7=B14,C14,IF(F7=B15,C15,IF(F7=B16,C16,IF(F7=B17,C17,IF(F7=B18,C18,IF(F7=B19,C19,"")))))))))</f>
        <v>550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281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175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W</v>
      </c>
      <c r="E8" s="132" t="str">
        <f>Pricing!N4</f>
        <v>17.52MM</v>
      </c>
      <c r="F8" s="68">
        <f>Pricing!G4</f>
        <v>2447</v>
      </c>
      <c r="G8" s="68">
        <f>Pricing!H4</f>
        <v>1722</v>
      </c>
      <c r="H8" s="100">
        <f t="shared" ref="H8:H57" si="0">(F8*G8)/1000000</f>
        <v>4.2137339999999996</v>
      </c>
      <c r="I8" s="70">
        <f>Pricing!I4</f>
        <v>1</v>
      </c>
      <c r="J8" s="69">
        <f t="shared" ref="J8" si="1">H8*I8</f>
        <v>4.2137339999999996</v>
      </c>
      <c r="K8" s="71">
        <f t="shared" ref="K8" si="2">J8*10.764</f>
        <v>45.356632775999991</v>
      </c>
      <c r="L8" s="69"/>
      <c r="M8" s="72"/>
      <c r="N8" s="72"/>
      <c r="O8" s="72">
        <f t="shared" ref="O8:O35" si="3">N8*M8*L8/1000000</f>
        <v>0</v>
      </c>
      <c r="P8" s="73">
        <f>Pricing!M4</f>
        <v>8360.59</v>
      </c>
      <c r="Q8" s="74">
        <f t="shared" ref="Q8:Q56" si="4">P8*$Q$6</f>
        <v>836.05900000000008</v>
      </c>
      <c r="R8" s="74">
        <f t="shared" ref="R8:R56" si="5">(P8+Q8)*$R$6</f>
        <v>1011.6313899999999</v>
      </c>
      <c r="S8" s="74">
        <f t="shared" ref="S8:S56" si="6">(P8+Q8+R8)*$S$6</f>
        <v>51.041401950000001</v>
      </c>
      <c r="T8" s="74">
        <f t="shared" ref="T8:T56" si="7">(P8+Q8+R8+S8)*$T$6</f>
        <v>102.59321791950001</v>
      </c>
      <c r="U8" s="72">
        <f t="shared" ref="U8:U56" si="8">SUM(P8:T8)</f>
        <v>10361.915009869501</v>
      </c>
      <c r="V8" s="74">
        <f t="shared" ref="V8:V56" si="9">U8*$V$6</f>
        <v>155.4287251480425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36747.974213999994</v>
      </c>
      <c r="AE8" s="76">
        <f>((((F8+G8)*2)/305)*I8*$AE$7)</f>
        <v>683.44262295081967</v>
      </c>
      <c r="AF8" s="341">
        <f>(((((F8*4)+(G8*4))/1000)*$AF$6*$AG$6)/300)*I8*$AF$7</f>
        <v>350.19599999999997</v>
      </c>
      <c r="AG8" s="342"/>
      <c r="AH8" s="76">
        <f>(((F8+G8))*I8/1000)*8*$AH$7</f>
        <v>25.013999999999996</v>
      </c>
      <c r="AI8" s="76">
        <f t="shared" ref="AI8:AI57" si="15">(((F8+G8)*2*I8)/1000)*2*$AI$7</f>
        <v>83.38</v>
      </c>
      <c r="AJ8" s="76">
        <f>J8*Pricing!Q4</f>
        <v>0</v>
      </c>
      <c r="AK8" s="76">
        <f>J8*Pricing!R4</f>
        <v>0</v>
      </c>
      <c r="AL8" s="76">
        <f t="shared" ref="AL8:AL39" si="16">J8*$AL$6</f>
        <v>4535.6632775999988</v>
      </c>
      <c r="AM8" s="77">
        <f t="shared" ref="AM8:AM39" si="17">$AM$6*J8</f>
        <v>0</v>
      </c>
      <c r="AN8" s="76">
        <f t="shared" ref="AN8:AN39" si="18">$AN$6*J8</f>
        <v>3628.5306220799994</v>
      </c>
      <c r="AO8" s="72">
        <f t="shared" ref="AO8:AO39" si="19">SUM(U8:V8)+SUM(AC8:AI8)-AD8</f>
        <v>11659.376357968365</v>
      </c>
      <c r="AP8" s="74">
        <f t="shared" ref="AP8:AP39" si="20">AO8*$AP$6</f>
        <v>14574.220447460457</v>
      </c>
      <c r="AQ8" s="74">
        <f t="shared" ref="AQ8:AQ56" si="21">(AO8+AP8)*$AQ$6</f>
        <v>0</v>
      </c>
      <c r="AR8" s="74">
        <f t="shared" ref="AR8:AR39" si="22">SUM(AO8:AQ8)/J8</f>
        <v>6225.7363197175773</v>
      </c>
      <c r="AS8" s="72">
        <f t="shared" ref="AS8:AS39" si="23">SUM(AJ8:AQ8)+AD8+AB8</f>
        <v>71145.764919108813</v>
      </c>
      <c r="AT8" s="72">
        <f t="shared" ref="AT8:AT39" si="24">AS8/J8</f>
        <v>16884.256319717577</v>
      </c>
      <c r="AU8" s="78">
        <f t="shared" ref="AU8:AU56" si="25">AT8/10.764</f>
        <v>1568.5856855924915</v>
      </c>
      <c r="AV8" s="79">
        <f t="shared" ref="AV8:AV39" si="26">K8/$K$109</f>
        <v>3.6493389836588494E-2</v>
      </c>
      <c r="AW8" s="80">
        <f t="shared" ref="AW8:AW39" si="27">(U8+V8)/(J8*10.764)</f>
        <v>231.88105225885926</v>
      </c>
      <c r="AX8" s="81">
        <f t="shared" ref="AX8:AX39" si="28">SUM(W8:AN8,AP8)/(J8*10.764)</f>
        <v>1336.704633333632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W1</v>
      </c>
      <c r="E9" s="132" t="str">
        <f>Pricing!N5</f>
        <v>17.52MM</v>
      </c>
      <c r="F9" s="68">
        <f>Pricing!G5</f>
        <v>1884</v>
      </c>
      <c r="G9" s="68">
        <f>Pricing!H5</f>
        <v>1637</v>
      </c>
      <c r="H9" s="100">
        <f t="shared" si="0"/>
        <v>3.0841080000000001</v>
      </c>
      <c r="I9" s="70">
        <f>Pricing!I5</f>
        <v>1</v>
      </c>
      <c r="J9" s="69">
        <f t="shared" ref="J9:J58" si="30">H9*I9</f>
        <v>3.0841080000000001</v>
      </c>
      <c r="K9" s="71">
        <f t="shared" ref="K9:K58" si="31">J9*10.764</f>
        <v>33.197338512000002</v>
      </c>
      <c r="L9" s="69"/>
      <c r="M9" s="72"/>
      <c r="N9" s="72"/>
      <c r="O9" s="72">
        <f t="shared" si="3"/>
        <v>0</v>
      </c>
      <c r="P9" s="73">
        <f>Pricing!M5</f>
        <v>7223.49</v>
      </c>
      <c r="Q9" s="74">
        <f t="shared" ref="Q9:Q14" si="32">P9*$Q$6</f>
        <v>722.34900000000005</v>
      </c>
      <c r="R9" s="74">
        <f t="shared" ref="R9:R14" si="33">(P9+Q9)*$R$6</f>
        <v>874.04228999999998</v>
      </c>
      <c r="S9" s="74">
        <f t="shared" ref="S9:S14" si="34">(P9+Q9+R9)*$S$6</f>
        <v>44.099406449999996</v>
      </c>
      <c r="T9" s="74">
        <f t="shared" ref="T9:T14" si="35">(P9+Q9+R9+S9)*$T$6</f>
        <v>88.639806964499982</v>
      </c>
      <c r="U9" s="72">
        <f t="shared" ref="U9:U14" si="36">SUM(P9:T9)</f>
        <v>8952.6205034144987</v>
      </c>
      <c r="V9" s="74">
        <f t="shared" ref="V9:V14" si="37">U9*$V$6</f>
        <v>134.28930755121746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26896.505868</v>
      </c>
      <c r="AE9" s="76">
        <f t="shared" ref="AE9:AE57" si="43">((((F9+G9)*2)/305)*I9*$AE$7)</f>
        <v>577.21311475409834</v>
      </c>
      <c r="AF9" s="341">
        <f t="shared" ref="AF9:AF57" si="44">(((((F9*4)+(G9*4))/1000)*$AF$6*$AG$6)/300)*I9*$AF$7</f>
        <v>295.76399999999995</v>
      </c>
      <c r="AG9" s="342"/>
      <c r="AH9" s="76">
        <f t="shared" ref="AH9:AH72" si="45">(((F9+G9))*I9/1000)*8*$AH$7</f>
        <v>21.125999999999998</v>
      </c>
      <c r="AI9" s="76">
        <f t="shared" si="15"/>
        <v>70.42</v>
      </c>
      <c r="AJ9" s="76">
        <f>J9*Pricing!Q5</f>
        <v>0</v>
      </c>
      <c r="AK9" s="76">
        <f>J9*Pricing!R5</f>
        <v>0</v>
      </c>
      <c r="AL9" s="76">
        <f t="shared" si="16"/>
        <v>3319.7338511999997</v>
      </c>
      <c r="AM9" s="77">
        <f t="shared" si="17"/>
        <v>0</v>
      </c>
      <c r="AN9" s="76">
        <f t="shared" si="18"/>
        <v>2655.7870809599999</v>
      </c>
      <c r="AO9" s="72">
        <f t="shared" si="19"/>
        <v>10051.432925719811</v>
      </c>
      <c r="AP9" s="74">
        <f t="shared" si="20"/>
        <v>12564.291157149764</v>
      </c>
      <c r="AQ9" s="74">
        <f t="shared" ref="AQ9:AQ14" si="46">(AO9+AP9)*$AQ$6</f>
        <v>0</v>
      </c>
      <c r="AR9" s="74">
        <f t="shared" si="22"/>
        <v>7332.9870688281917</v>
      </c>
      <c r="AS9" s="72">
        <f t="shared" si="23"/>
        <v>55487.750883029577</v>
      </c>
      <c r="AT9" s="72">
        <f t="shared" si="24"/>
        <v>17991.507068828192</v>
      </c>
      <c r="AU9" s="78">
        <f t="shared" ref="AU9:AU14" si="47">AT9/10.764</f>
        <v>1671.4517901178181</v>
      </c>
      <c r="AV9" s="79">
        <f t="shared" si="26"/>
        <v>2.6710170965262944E-2</v>
      </c>
      <c r="AW9" s="80">
        <f t="shared" si="27"/>
        <v>273.72404591051867</v>
      </c>
      <c r="AX9" s="81">
        <f t="shared" si="28"/>
        <v>1397.7277442072993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2 NO'S</v>
      </c>
      <c r="D10" s="131" t="str">
        <f>Pricing!B6</f>
        <v>W2</v>
      </c>
      <c r="E10" s="132" t="str">
        <f>Pricing!N6</f>
        <v>17.52MM</v>
      </c>
      <c r="F10" s="68">
        <f>Pricing!G6</f>
        <v>3787</v>
      </c>
      <c r="G10" s="68">
        <f>Pricing!H6</f>
        <v>2075</v>
      </c>
      <c r="H10" s="100">
        <f t="shared" si="0"/>
        <v>7.8580249999999996</v>
      </c>
      <c r="I10" s="70">
        <f>Pricing!I6</f>
        <v>1</v>
      </c>
      <c r="J10" s="69">
        <f t="shared" si="30"/>
        <v>7.8580249999999996</v>
      </c>
      <c r="K10" s="71">
        <f t="shared" si="31"/>
        <v>84.583781099999996</v>
      </c>
      <c r="L10" s="69"/>
      <c r="M10" s="72"/>
      <c r="N10" s="72"/>
      <c r="O10" s="72">
        <f t="shared" si="3"/>
        <v>0</v>
      </c>
      <c r="P10" s="73">
        <f>Pricing!M6</f>
        <v>18211.86</v>
      </c>
      <c r="Q10" s="74">
        <f t="shared" si="32"/>
        <v>1821.1860000000001</v>
      </c>
      <c r="R10" s="74">
        <f t="shared" si="33"/>
        <v>2203.6350600000001</v>
      </c>
      <c r="S10" s="74">
        <f t="shared" si="34"/>
        <v>111.18340530000002</v>
      </c>
      <c r="T10" s="74">
        <f t="shared" si="35"/>
        <v>223.478644653</v>
      </c>
      <c r="U10" s="72">
        <f t="shared" si="36"/>
        <v>22571.343109953003</v>
      </c>
      <c r="V10" s="74">
        <f t="shared" si="37"/>
        <v>338.570146649295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68529.836024999997</v>
      </c>
      <c r="AE10" s="76">
        <f t="shared" si="43"/>
        <v>960.98360655737702</v>
      </c>
      <c r="AF10" s="341">
        <f t="shared" si="44"/>
        <v>492.40799999999996</v>
      </c>
      <c r="AG10" s="342"/>
      <c r="AH10" s="76">
        <f t="shared" si="45"/>
        <v>35.171999999999997</v>
      </c>
      <c r="AI10" s="76">
        <f t="shared" si="15"/>
        <v>117.24000000000001</v>
      </c>
      <c r="AJ10" s="76">
        <f>J10*Pricing!Q6</f>
        <v>0</v>
      </c>
      <c r="AK10" s="76">
        <f>J10*Pricing!R6</f>
        <v>0</v>
      </c>
      <c r="AL10" s="76">
        <f t="shared" si="16"/>
        <v>8458.3781099999978</v>
      </c>
      <c r="AM10" s="77">
        <f t="shared" si="17"/>
        <v>0</v>
      </c>
      <c r="AN10" s="76">
        <f t="shared" si="18"/>
        <v>6766.702487999999</v>
      </c>
      <c r="AO10" s="72">
        <f t="shared" si="19"/>
        <v>24515.716863159672</v>
      </c>
      <c r="AP10" s="74">
        <f t="shared" si="20"/>
        <v>30644.64607894959</v>
      </c>
      <c r="AQ10" s="74">
        <f t="shared" si="46"/>
        <v>0</v>
      </c>
      <c r="AR10" s="74">
        <f t="shared" si="22"/>
        <v>7019.6217169211432</v>
      </c>
      <c r="AS10" s="72">
        <f t="shared" si="23"/>
        <v>138915.27956510926</v>
      </c>
      <c r="AT10" s="72">
        <f t="shared" si="24"/>
        <v>17678.141716921142</v>
      </c>
      <c r="AU10" s="78">
        <f t="shared" si="47"/>
        <v>1642.3394385842757</v>
      </c>
      <c r="AV10" s="79">
        <f t="shared" si="26"/>
        <v>6.8055071741751696E-2</v>
      </c>
      <c r="AW10" s="80">
        <f t="shared" si="27"/>
        <v>270.85468347078063</v>
      </c>
      <c r="AX10" s="81">
        <f t="shared" si="28"/>
        <v>1371.4847551134951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4 SHUTTER SLIDING DOOR</v>
      </c>
      <c r="D11" s="131" t="str">
        <f>Pricing!B7</f>
        <v>W3</v>
      </c>
      <c r="E11" s="132" t="str">
        <f>Pricing!N7</f>
        <v>17.52MM</v>
      </c>
      <c r="F11" s="68">
        <f>Pricing!G7</f>
        <v>4556</v>
      </c>
      <c r="G11" s="68">
        <f>Pricing!H7</f>
        <v>2474</v>
      </c>
      <c r="H11" s="100">
        <f t="shared" si="0"/>
        <v>11.271544</v>
      </c>
      <c r="I11" s="70">
        <f>Pricing!I7</f>
        <v>1</v>
      </c>
      <c r="J11" s="69">
        <f t="shared" si="30"/>
        <v>11.271544</v>
      </c>
      <c r="K11" s="71">
        <f t="shared" si="31"/>
        <v>121.32689961599999</v>
      </c>
      <c r="L11" s="69"/>
      <c r="M11" s="72"/>
      <c r="N11" s="72"/>
      <c r="O11" s="72">
        <f t="shared" si="3"/>
        <v>0</v>
      </c>
      <c r="P11" s="73">
        <f>Pricing!M7</f>
        <v>88270.5</v>
      </c>
      <c r="Q11" s="74">
        <f t="shared" si="32"/>
        <v>8827.0500000000011</v>
      </c>
      <c r="R11" s="74">
        <f t="shared" si="33"/>
        <v>10680.7305</v>
      </c>
      <c r="S11" s="74">
        <f t="shared" si="34"/>
        <v>538.89140250000003</v>
      </c>
      <c r="T11" s="74">
        <f t="shared" si="35"/>
        <v>1083.1717190250001</v>
      </c>
      <c r="U11" s="72">
        <f t="shared" si="36"/>
        <v>109400.34362152501</v>
      </c>
      <c r="V11" s="74">
        <f t="shared" si="37"/>
        <v>1641.0051543228751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98299.135223999998</v>
      </c>
      <c r="AE11" s="76">
        <f t="shared" si="43"/>
        <v>1152.4590163934427</v>
      </c>
      <c r="AF11" s="341">
        <f t="shared" si="44"/>
        <v>590.52</v>
      </c>
      <c r="AG11" s="342"/>
      <c r="AH11" s="76">
        <f t="shared" si="45"/>
        <v>42.18</v>
      </c>
      <c r="AI11" s="76">
        <f t="shared" si="15"/>
        <v>140.6</v>
      </c>
      <c r="AJ11" s="76">
        <f>J11*Pricing!Q7</f>
        <v>6066.3449807999996</v>
      </c>
      <c r="AK11" s="76">
        <f>J11*Pricing!R7</f>
        <v>0</v>
      </c>
      <c r="AL11" s="76">
        <f t="shared" si="16"/>
        <v>12132.689961599999</v>
      </c>
      <c r="AM11" s="77">
        <f t="shared" si="17"/>
        <v>0</v>
      </c>
      <c r="AN11" s="76">
        <f t="shared" si="18"/>
        <v>9706.1519692799993</v>
      </c>
      <c r="AO11" s="72">
        <f t="shared" si="19"/>
        <v>112967.10779224135</v>
      </c>
      <c r="AP11" s="74">
        <f t="shared" si="20"/>
        <v>141208.8847403017</v>
      </c>
      <c r="AQ11" s="74">
        <f t="shared" si="46"/>
        <v>0</v>
      </c>
      <c r="AR11" s="74">
        <f t="shared" si="22"/>
        <v>22550.237352801269</v>
      </c>
      <c r="AS11" s="72">
        <f t="shared" si="23"/>
        <v>380380.31466822303</v>
      </c>
      <c r="AT11" s="72">
        <f t="shared" si="24"/>
        <v>33746.95735280127</v>
      </c>
      <c r="AU11" s="78">
        <f t="shared" si="47"/>
        <v>3135.1688361948413</v>
      </c>
      <c r="AV11" s="79">
        <f t="shared" si="26"/>
        <v>9.761813376265803E-2</v>
      </c>
      <c r="AW11" s="80">
        <f t="shared" si="27"/>
        <v>915.22448135816626</v>
      </c>
      <c r="AX11" s="81">
        <f t="shared" si="28"/>
        <v>2219.9443548366753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4 SHUTTER SLIDING DOOR</v>
      </c>
      <c r="D12" s="131" t="str">
        <f>Pricing!B8</f>
        <v>W4</v>
      </c>
      <c r="E12" s="132" t="str">
        <f>Pricing!N8</f>
        <v>17.52MM</v>
      </c>
      <c r="F12" s="68">
        <f>Pricing!G8</f>
        <v>4544</v>
      </c>
      <c r="G12" s="68">
        <f>Pricing!H8</f>
        <v>2317</v>
      </c>
      <c r="H12" s="100">
        <f t="shared" si="0"/>
        <v>10.528447999999999</v>
      </c>
      <c r="I12" s="70">
        <f>Pricing!I8</f>
        <v>1</v>
      </c>
      <c r="J12" s="69">
        <f t="shared" si="30"/>
        <v>10.528447999999999</v>
      </c>
      <c r="K12" s="71">
        <f t="shared" si="31"/>
        <v>113.32821427199998</v>
      </c>
      <c r="L12" s="69"/>
      <c r="M12" s="72"/>
      <c r="N12" s="72"/>
      <c r="O12" s="72">
        <f t="shared" si="3"/>
        <v>0</v>
      </c>
      <c r="P12" s="73">
        <f>Pricing!M8</f>
        <v>85729.040000000008</v>
      </c>
      <c r="Q12" s="74">
        <f t="shared" si="32"/>
        <v>8572.9040000000005</v>
      </c>
      <c r="R12" s="74">
        <f t="shared" si="33"/>
        <v>10373.21384</v>
      </c>
      <c r="S12" s="74">
        <f t="shared" si="34"/>
        <v>523.37578919999999</v>
      </c>
      <c r="T12" s="74">
        <f t="shared" si="35"/>
        <v>1051.9853362920001</v>
      </c>
      <c r="U12" s="72">
        <f t="shared" si="36"/>
        <v>106250.518965492</v>
      </c>
      <c r="V12" s="74">
        <f t="shared" si="37"/>
        <v>1593.75778448238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91818.595007999989</v>
      </c>
      <c r="AE12" s="76">
        <f t="shared" si="43"/>
        <v>1124.7540983606557</v>
      </c>
      <c r="AF12" s="341">
        <f t="shared" si="44"/>
        <v>576.32399999999996</v>
      </c>
      <c r="AG12" s="342"/>
      <c r="AH12" s="76">
        <f t="shared" si="45"/>
        <v>41.165999999999997</v>
      </c>
      <c r="AI12" s="76">
        <f t="shared" si="15"/>
        <v>137.22</v>
      </c>
      <c r="AJ12" s="76">
        <f>J12*Pricing!Q8</f>
        <v>5666.4107135999984</v>
      </c>
      <c r="AK12" s="76">
        <f>J12*Pricing!R8</f>
        <v>0</v>
      </c>
      <c r="AL12" s="76">
        <f t="shared" si="16"/>
        <v>11332.821427199997</v>
      </c>
      <c r="AM12" s="77">
        <f t="shared" si="17"/>
        <v>0</v>
      </c>
      <c r="AN12" s="76">
        <f t="shared" si="18"/>
        <v>9066.2571417599975</v>
      </c>
      <c r="AO12" s="72">
        <f t="shared" si="19"/>
        <v>109723.74084833502</v>
      </c>
      <c r="AP12" s="74">
        <f t="shared" si="20"/>
        <v>137154.67606041877</v>
      </c>
      <c r="AQ12" s="74">
        <f t="shared" si="46"/>
        <v>0</v>
      </c>
      <c r="AR12" s="74">
        <f t="shared" si="22"/>
        <v>23448.699837692489</v>
      </c>
      <c r="AS12" s="72">
        <f t="shared" si="23"/>
        <v>364762.50119931373</v>
      </c>
      <c r="AT12" s="72">
        <f t="shared" si="24"/>
        <v>34645.419837692483</v>
      </c>
      <c r="AU12" s="78">
        <f t="shared" si="47"/>
        <v>3218.6380376897514</v>
      </c>
      <c r="AV12" s="79">
        <f t="shared" si="26"/>
        <v>9.1182489743835388E-2</v>
      </c>
      <c r="AW12" s="80">
        <f t="shared" si="27"/>
        <v>951.61013029938374</v>
      </c>
      <c r="AX12" s="81">
        <f t="shared" si="28"/>
        <v>2267.0279073903685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W5</v>
      </c>
      <c r="E13" s="132" t="str">
        <f>Pricing!N9</f>
        <v>17.52MM</v>
      </c>
      <c r="F13" s="68">
        <f>Pricing!G9</f>
        <v>1847</v>
      </c>
      <c r="G13" s="68">
        <f>Pricing!H9</f>
        <v>1695</v>
      </c>
      <c r="H13" s="100">
        <f t="shared" si="0"/>
        <v>3.130665</v>
      </c>
      <c r="I13" s="70">
        <f>Pricing!I9</f>
        <v>1</v>
      </c>
      <c r="J13" s="69">
        <f t="shared" si="30"/>
        <v>3.130665</v>
      </c>
      <c r="K13" s="71">
        <f t="shared" si="31"/>
        <v>33.698478059999999</v>
      </c>
      <c r="L13" s="69"/>
      <c r="M13" s="72"/>
      <c r="N13" s="72"/>
      <c r="O13" s="72">
        <f t="shared" si="3"/>
        <v>0</v>
      </c>
      <c r="P13" s="73">
        <f>Pricing!M9</f>
        <v>32312.73</v>
      </c>
      <c r="Q13" s="74">
        <f t="shared" si="32"/>
        <v>3231.2730000000001</v>
      </c>
      <c r="R13" s="74">
        <f t="shared" si="33"/>
        <v>3909.8403299999995</v>
      </c>
      <c r="S13" s="74">
        <f t="shared" si="34"/>
        <v>197.26921664999998</v>
      </c>
      <c r="T13" s="74">
        <f t="shared" si="35"/>
        <v>396.51112546649995</v>
      </c>
      <c r="U13" s="72">
        <f t="shared" si="36"/>
        <v>40047.623672116497</v>
      </c>
      <c r="V13" s="74">
        <f t="shared" si="37"/>
        <v>600.71435508174739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27302.529465</v>
      </c>
      <c r="AE13" s="76">
        <f t="shared" si="43"/>
        <v>580.65573770491801</v>
      </c>
      <c r="AF13" s="341">
        <f t="shared" si="44"/>
        <v>297.52800000000002</v>
      </c>
      <c r="AG13" s="342"/>
      <c r="AH13" s="76">
        <f t="shared" si="45"/>
        <v>21.251999999999999</v>
      </c>
      <c r="AI13" s="76">
        <f t="shared" si="15"/>
        <v>70.84</v>
      </c>
      <c r="AJ13" s="76">
        <f>J13*Pricing!Q9</f>
        <v>1684.9239029999999</v>
      </c>
      <c r="AK13" s="76">
        <f>J13*Pricing!R9</f>
        <v>0</v>
      </c>
      <c r="AL13" s="76">
        <f t="shared" si="16"/>
        <v>3369.8478059999998</v>
      </c>
      <c r="AM13" s="77">
        <f t="shared" si="17"/>
        <v>0</v>
      </c>
      <c r="AN13" s="76">
        <f t="shared" si="18"/>
        <v>2695.8782447999997</v>
      </c>
      <c r="AO13" s="72">
        <f t="shared" si="19"/>
        <v>41618.613764903159</v>
      </c>
      <c r="AP13" s="74">
        <f t="shared" si="20"/>
        <v>52023.267206128949</v>
      </c>
      <c r="AQ13" s="74">
        <f t="shared" si="46"/>
        <v>0</v>
      </c>
      <c r="AR13" s="74">
        <f t="shared" si="22"/>
        <v>29911.178925573993</v>
      </c>
      <c r="AS13" s="72">
        <f t="shared" si="23"/>
        <v>128695.0603898321</v>
      </c>
      <c r="AT13" s="72">
        <f t="shared" si="24"/>
        <v>41107.898925573987</v>
      </c>
      <c r="AU13" s="78">
        <f t="shared" si="47"/>
        <v>3819.0169942004823</v>
      </c>
      <c r="AV13" s="79">
        <f t="shared" si="26"/>
        <v>2.7113381692523385E-2</v>
      </c>
      <c r="AW13" s="80">
        <f t="shared" si="27"/>
        <v>1206.2366126690958</v>
      </c>
      <c r="AX13" s="81">
        <f t="shared" si="28"/>
        <v>2612.7803815313864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W6</v>
      </c>
      <c r="E14" s="132" t="str">
        <f>Pricing!N10</f>
        <v>12MM</v>
      </c>
      <c r="F14" s="68">
        <f>Pricing!G10</f>
        <v>2089</v>
      </c>
      <c r="G14" s="68">
        <f>Pricing!H10</f>
        <v>2628</v>
      </c>
      <c r="H14" s="100">
        <f t="shared" si="0"/>
        <v>5.4898920000000002</v>
      </c>
      <c r="I14" s="70">
        <f>Pricing!I10</f>
        <v>1</v>
      </c>
      <c r="J14" s="69">
        <f t="shared" si="30"/>
        <v>5.4898920000000002</v>
      </c>
      <c r="K14" s="71">
        <f t="shared" si="31"/>
        <v>59.093197488000001</v>
      </c>
      <c r="L14" s="69"/>
      <c r="M14" s="72"/>
      <c r="N14" s="72"/>
      <c r="O14" s="72">
        <f t="shared" si="3"/>
        <v>0</v>
      </c>
      <c r="P14" s="73">
        <f>Pricing!M10</f>
        <v>10126.83</v>
      </c>
      <c r="Q14" s="74">
        <f t="shared" si="32"/>
        <v>1012.683</v>
      </c>
      <c r="R14" s="74">
        <f t="shared" si="33"/>
        <v>1225.3464299999998</v>
      </c>
      <c r="S14" s="74">
        <f t="shared" si="34"/>
        <v>61.824297149999992</v>
      </c>
      <c r="T14" s="74">
        <f t="shared" si="35"/>
        <v>124.26683727149999</v>
      </c>
      <c r="U14" s="72">
        <f t="shared" si="36"/>
        <v>12550.950564421499</v>
      </c>
      <c r="V14" s="74">
        <f t="shared" si="37"/>
        <v>188.26425846632247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10375.89588</v>
      </c>
      <c r="AE14" s="76">
        <f t="shared" si="43"/>
        <v>773.27868852459017</v>
      </c>
      <c r="AF14" s="341">
        <f t="shared" si="44"/>
        <v>396.22800000000001</v>
      </c>
      <c r="AG14" s="342"/>
      <c r="AH14" s="76">
        <f t="shared" si="45"/>
        <v>28.302</v>
      </c>
      <c r="AI14" s="76">
        <f t="shared" si="15"/>
        <v>94.339999999999989</v>
      </c>
      <c r="AJ14" s="76">
        <f>J14*Pricing!Q10</f>
        <v>0</v>
      </c>
      <c r="AK14" s="76">
        <f>J14*Pricing!R10</f>
        <v>0</v>
      </c>
      <c r="AL14" s="76">
        <f t="shared" si="16"/>
        <v>5909.3197487999996</v>
      </c>
      <c r="AM14" s="77">
        <f t="shared" si="17"/>
        <v>0</v>
      </c>
      <c r="AN14" s="76">
        <f t="shared" si="18"/>
        <v>4727.4557990399999</v>
      </c>
      <c r="AO14" s="72">
        <f t="shared" si="19"/>
        <v>14031.363511412408</v>
      </c>
      <c r="AP14" s="74">
        <f t="shared" si="20"/>
        <v>17539.204389265509</v>
      </c>
      <c r="AQ14" s="74">
        <f t="shared" si="46"/>
        <v>0</v>
      </c>
      <c r="AR14" s="74">
        <f t="shared" si="22"/>
        <v>5750.6719441252972</v>
      </c>
      <c r="AS14" s="72">
        <f t="shared" si="23"/>
        <v>52583.239328517913</v>
      </c>
      <c r="AT14" s="72">
        <f t="shared" si="24"/>
        <v>9578.1919441252958</v>
      </c>
      <c r="AU14" s="78">
        <f t="shared" si="47"/>
        <v>889.83574360138391</v>
      </c>
      <c r="AV14" s="79">
        <f t="shared" si="26"/>
        <v>4.7545661144431164E-2</v>
      </c>
      <c r="AW14" s="80">
        <f t="shared" si="27"/>
        <v>215.57836374440157</v>
      </c>
      <c r="AX14" s="81">
        <f t="shared" si="28"/>
        <v>674.25737985698231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FRENCH WINDOW WITH 5 FIXED</v>
      </c>
      <c r="D15" s="131" t="str">
        <f>Pricing!B11</f>
        <v>W7</v>
      </c>
      <c r="E15" s="132" t="str">
        <f>Pricing!N11</f>
        <v>8MM</v>
      </c>
      <c r="F15" s="68">
        <f>Pricing!G11</f>
        <v>2285</v>
      </c>
      <c r="G15" s="68">
        <f>Pricing!H11</f>
        <v>2121</v>
      </c>
      <c r="H15" s="100">
        <f t="shared" si="0"/>
        <v>4.8464850000000004</v>
      </c>
      <c r="I15" s="70">
        <f>Pricing!I11</f>
        <v>1</v>
      </c>
      <c r="J15" s="69">
        <f t="shared" si="30"/>
        <v>4.8464850000000004</v>
      </c>
      <c r="K15" s="71">
        <f t="shared" si="31"/>
        <v>52.167564540000001</v>
      </c>
      <c r="L15" s="69"/>
      <c r="M15" s="72"/>
      <c r="N15" s="72"/>
      <c r="O15" s="72">
        <f t="shared" si="3"/>
        <v>0</v>
      </c>
      <c r="P15" s="73">
        <f>Pricing!M11</f>
        <v>63832.810000000005</v>
      </c>
      <c r="Q15" s="74">
        <f t="shared" si="4"/>
        <v>6383.2810000000009</v>
      </c>
      <c r="R15" s="74">
        <f t="shared" si="5"/>
        <v>7723.7700100000002</v>
      </c>
      <c r="S15" s="74">
        <f t="shared" si="6"/>
        <v>389.69930504999996</v>
      </c>
      <c r="T15" s="74">
        <f t="shared" si="7"/>
        <v>783.29560315050003</v>
      </c>
      <c r="U15" s="72">
        <f t="shared" si="8"/>
        <v>79112.855918200497</v>
      </c>
      <c r="V15" s="74">
        <f t="shared" si="9"/>
        <v>1186.6928387730075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6407.0531700000001</v>
      </c>
      <c r="AE15" s="76">
        <f t="shared" si="43"/>
        <v>722.29508196721315</v>
      </c>
      <c r="AF15" s="341">
        <f t="shared" si="44"/>
        <v>370.10399999999998</v>
      </c>
      <c r="AG15" s="342"/>
      <c r="AH15" s="76">
        <f t="shared" si="45"/>
        <v>26.436</v>
      </c>
      <c r="AI15" s="76">
        <f t="shared" ref="AI15:AI20" si="49">(((F15+G15)*2*I15)/1000)*2*$AI$7</f>
        <v>88.11999999999999</v>
      </c>
      <c r="AJ15" s="76">
        <f>J15*Pricing!Q11</f>
        <v>0</v>
      </c>
      <c r="AK15" s="76">
        <f>J15*Pricing!R11</f>
        <v>0</v>
      </c>
      <c r="AL15" s="76">
        <f t="shared" si="16"/>
        <v>5216.7564539999994</v>
      </c>
      <c r="AM15" s="77">
        <f t="shared" si="17"/>
        <v>0</v>
      </c>
      <c r="AN15" s="76">
        <f t="shared" si="18"/>
        <v>4173.4051632000001</v>
      </c>
      <c r="AO15" s="72">
        <f t="shared" si="19"/>
        <v>81506.503838940713</v>
      </c>
      <c r="AP15" s="74">
        <f t="shared" si="20"/>
        <v>101883.12979867589</v>
      </c>
      <c r="AQ15" s="74">
        <f t="shared" si="21"/>
        <v>0</v>
      </c>
      <c r="AR15" s="74">
        <f t="shared" si="22"/>
        <v>37839.719639618525</v>
      </c>
      <c r="AS15" s="72">
        <f t="shared" si="23"/>
        <v>199186.84842481659</v>
      </c>
      <c r="AT15" s="72">
        <f t="shared" si="24"/>
        <v>41099.239639618521</v>
      </c>
      <c r="AU15" s="78">
        <f t="shared" si="25"/>
        <v>3818.2125269062176</v>
      </c>
      <c r="AV15" s="79">
        <f t="shared" si="26"/>
        <v>4.1973381908345098E-2</v>
      </c>
      <c r="AW15" s="80">
        <f t="shared" si="27"/>
        <v>1539.2619813678098</v>
      </c>
      <c r="AX15" s="81">
        <f t="shared" si="28"/>
        <v>2278.9505455384078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FRENCH WINDOW WITH 5 FIXED</v>
      </c>
      <c r="D16" s="131" t="str">
        <f>Pricing!B12</f>
        <v>W8</v>
      </c>
      <c r="E16" s="132" t="str">
        <f>Pricing!N12</f>
        <v>8MM</v>
      </c>
      <c r="F16" s="68">
        <f>Pricing!G12</f>
        <v>2410</v>
      </c>
      <c r="G16" s="68">
        <f>Pricing!H12</f>
        <v>1738</v>
      </c>
      <c r="H16" s="100">
        <f t="shared" si="0"/>
        <v>4.18858</v>
      </c>
      <c r="I16" s="70">
        <f>Pricing!I12</f>
        <v>1</v>
      </c>
      <c r="J16" s="69">
        <f t="shared" si="30"/>
        <v>4.18858</v>
      </c>
      <c r="K16" s="71">
        <f t="shared" si="31"/>
        <v>45.085875119999997</v>
      </c>
      <c r="L16" s="69"/>
      <c r="M16" s="72"/>
      <c r="N16" s="72"/>
      <c r="O16" s="72">
        <f t="shared" si="3"/>
        <v>0</v>
      </c>
      <c r="P16" s="73">
        <f>Pricing!M12</f>
        <v>57183.68</v>
      </c>
      <c r="Q16" s="74">
        <f t="shared" si="4"/>
        <v>5718.3680000000004</v>
      </c>
      <c r="R16" s="74">
        <f t="shared" si="5"/>
        <v>6919.2252800000006</v>
      </c>
      <c r="S16" s="74">
        <f t="shared" si="6"/>
        <v>349.10636640000007</v>
      </c>
      <c r="T16" s="74">
        <f t="shared" si="7"/>
        <v>701.70379646400011</v>
      </c>
      <c r="U16" s="72">
        <f t="shared" si="8"/>
        <v>70872.083442864008</v>
      </c>
      <c r="V16" s="74">
        <f t="shared" si="9"/>
        <v>1063.0812516429601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5537.3027599999996</v>
      </c>
      <c r="AE16" s="76">
        <f t="shared" si="43"/>
        <v>680</v>
      </c>
      <c r="AF16" s="341">
        <f t="shared" si="44"/>
        <v>348.43199999999996</v>
      </c>
      <c r="AG16" s="342"/>
      <c r="AH16" s="76">
        <f t="shared" si="45"/>
        <v>24.887999999999998</v>
      </c>
      <c r="AI16" s="76">
        <f t="shared" si="49"/>
        <v>82.96</v>
      </c>
      <c r="AJ16" s="76">
        <f>J16*Pricing!Q12</f>
        <v>0</v>
      </c>
      <c r="AK16" s="76">
        <f>J16*Pricing!R12</f>
        <v>0</v>
      </c>
      <c r="AL16" s="76">
        <f t="shared" si="16"/>
        <v>4508.5875119999992</v>
      </c>
      <c r="AM16" s="77">
        <f t="shared" si="17"/>
        <v>0</v>
      </c>
      <c r="AN16" s="76">
        <f t="shared" si="18"/>
        <v>3606.8700095999993</v>
      </c>
      <c r="AO16" s="72">
        <f t="shared" si="19"/>
        <v>73071.444694506965</v>
      </c>
      <c r="AP16" s="74">
        <f t="shared" si="20"/>
        <v>91339.305868133699</v>
      </c>
      <c r="AQ16" s="74">
        <f t="shared" si="21"/>
        <v>0</v>
      </c>
      <c r="AR16" s="74">
        <f t="shared" si="22"/>
        <v>39252.145252720649</v>
      </c>
      <c r="AS16" s="72">
        <f t="shared" si="23"/>
        <v>178063.51084424066</v>
      </c>
      <c r="AT16" s="72">
        <f t="shared" si="24"/>
        <v>42511.665252720653</v>
      </c>
      <c r="AU16" s="78">
        <f t="shared" si="25"/>
        <v>3949.43006807141</v>
      </c>
      <c r="AV16" s="79">
        <f t="shared" si="26"/>
        <v>3.6275541550970673E-2</v>
      </c>
      <c r="AW16" s="80">
        <f t="shared" si="27"/>
        <v>1595.5144377933275</v>
      </c>
      <c r="AX16" s="81">
        <f t="shared" si="28"/>
        <v>2353.9156302780821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 2 NO'S</v>
      </c>
      <c r="D17" s="131" t="str">
        <f>Pricing!B13</f>
        <v>W9</v>
      </c>
      <c r="E17" s="132" t="str">
        <f>Pricing!N13</f>
        <v>17.52MM</v>
      </c>
      <c r="F17" s="68">
        <f>Pricing!G13</f>
        <v>3200</v>
      </c>
      <c r="G17" s="68">
        <f>Pricing!H13</f>
        <v>2654</v>
      </c>
      <c r="H17" s="100">
        <f t="shared" si="0"/>
        <v>8.4928000000000008</v>
      </c>
      <c r="I17" s="70">
        <f>Pricing!I13</f>
        <v>1</v>
      </c>
      <c r="J17" s="69">
        <f t="shared" si="30"/>
        <v>8.4928000000000008</v>
      </c>
      <c r="K17" s="71">
        <f t="shared" si="31"/>
        <v>91.416499200000004</v>
      </c>
      <c r="L17" s="69"/>
      <c r="M17" s="72"/>
      <c r="N17" s="72"/>
      <c r="O17" s="72">
        <f t="shared" si="3"/>
        <v>0</v>
      </c>
      <c r="P17" s="73">
        <f>Pricing!M13</f>
        <v>19734.079999999998</v>
      </c>
      <c r="Q17" s="74">
        <f t="shared" si="4"/>
        <v>1973.4079999999999</v>
      </c>
      <c r="R17" s="74">
        <f t="shared" si="5"/>
        <v>2387.82368</v>
      </c>
      <c r="S17" s="74">
        <f t="shared" si="6"/>
        <v>120.4765584</v>
      </c>
      <c r="T17" s="74">
        <f t="shared" si="7"/>
        <v>242.157882384</v>
      </c>
      <c r="U17" s="72">
        <f t="shared" si="8"/>
        <v>24457.946120784</v>
      </c>
      <c r="V17" s="74">
        <f t="shared" si="9"/>
        <v>366.86919181176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74065.708800000008</v>
      </c>
      <c r="AE17" s="76">
        <f t="shared" si="43"/>
        <v>959.67213114754099</v>
      </c>
      <c r="AF17" s="341">
        <f t="shared" si="44"/>
        <v>491.73600000000005</v>
      </c>
      <c r="AG17" s="342"/>
      <c r="AH17" s="76">
        <f t="shared" si="45"/>
        <v>35.124000000000002</v>
      </c>
      <c r="AI17" s="76">
        <f t="shared" si="49"/>
        <v>117.08</v>
      </c>
      <c r="AJ17" s="76">
        <f>J17*Pricing!Q13</f>
        <v>0</v>
      </c>
      <c r="AK17" s="76">
        <f>J17*Pricing!R13</f>
        <v>0</v>
      </c>
      <c r="AL17" s="76">
        <f t="shared" si="16"/>
        <v>9141.6499199999998</v>
      </c>
      <c r="AM17" s="77">
        <f t="shared" si="17"/>
        <v>0</v>
      </c>
      <c r="AN17" s="76">
        <f t="shared" si="18"/>
        <v>7313.3199359999999</v>
      </c>
      <c r="AO17" s="72">
        <f t="shared" si="19"/>
        <v>26428.427443743305</v>
      </c>
      <c r="AP17" s="74">
        <f t="shared" si="20"/>
        <v>33035.534304679131</v>
      </c>
      <c r="AQ17" s="74">
        <f t="shared" si="21"/>
        <v>0</v>
      </c>
      <c r="AR17" s="74">
        <f t="shared" si="22"/>
        <v>7001.6910498801844</v>
      </c>
      <c r="AS17" s="72">
        <f t="shared" si="23"/>
        <v>149984.64040442242</v>
      </c>
      <c r="AT17" s="72">
        <f t="shared" si="24"/>
        <v>17660.211049880181</v>
      </c>
      <c r="AU17" s="78">
        <f t="shared" si="25"/>
        <v>1640.6736389706598</v>
      </c>
      <c r="AV17" s="79">
        <f t="shared" si="26"/>
        <v>7.3552592831958266E-2</v>
      </c>
      <c r="AW17" s="80">
        <f t="shared" si="27"/>
        <v>271.55727390396237</v>
      </c>
      <c r="AX17" s="81">
        <f t="shared" si="28"/>
        <v>1369.1163650666977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4 NO'S</v>
      </c>
      <c r="D18" s="131" t="str">
        <f>Pricing!B14</f>
        <v>W10</v>
      </c>
      <c r="E18" s="132" t="str">
        <f>Pricing!N14</f>
        <v>17.52MM</v>
      </c>
      <c r="F18" s="68">
        <f>Pricing!G14</f>
        <v>8792</v>
      </c>
      <c r="G18" s="68">
        <f>Pricing!H14</f>
        <v>2600</v>
      </c>
      <c r="H18" s="100">
        <f t="shared" si="0"/>
        <v>22.859200000000001</v>
      </c>
      <c r="I18" s="70">
        <f>Pricing!I14</f>
        <v>1</v>
      </c>
      <c r="J18" s="69">
        <f t="shared" si="30"/>
        <v>22.859200000000001</v>
      </c>
      <c r="K18" s="71">
        <f t="shared" si="31"/>
        <v>246.05642879999999</v>
      </c>
      <c r="L18" s="69"/>
      <c r="M18" s="72"/>
      <c r="N18" s="72"/>
      <c r="O18" s="72">
        <f t="shared" si="3"/>
        <v>0</v>
      </c>
      <c r="P18" s="73">
        <f>Pricing!M14</f>
        <v>53417.97</v>
      </c>
      <c r="Q18" s="74">
        <f t="shared" si="4"/>
        <v>5341.7970000000005</v>
      </c>
      <c r="R18" s="74">
        <f t="shared" si="5"/>
        <v>6463.5743700000003</v>
      </c>
      <c r="S18" s="74">
        <f t="shared" si="6"/>
        <v>326.11670685000001</v>
      </c>
      <c r="T18" s="74">
        <f t="shared" si="7"/>
        <v>655.49458076849999</v>
      </c>
      <c r="U18" s="72">
        <f t="shared" si="8"/>
        <v>66204.952657618502</v>
      </c>
      <c r="V18" s="74">
        <f t="shared" si="9"/>
        <v>993.07428986427749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199355.08320000002</v>
      </c>
      <c r="AE18" s="76">
        <f t="shared" si="43"/>
        <v>1867.5409836065573</v>
      </c>
      <c r="AF18" s="341">
        <f t="shared" si="44"/>
        <v>956.928</v>
      </c>
      <c r="AG18" s="342"/>
      <c r="AH18" s="76">
        <f t="shared" si="45"/>
        <v>68.352000000000004</v>
      </c>
      <c r="AI18" s="76">
        <f t="shared" si="49"/>
        <v>227.83999999999997</v>
      </c>
      <c r="AJ18" s="76">
        <f>J18*Pricing!Q14</f>
        <v>0</v>
      </c>
      <c r="AK18" s="76">
        <f>J18*Pricing!R14</f>
        <v>0</v>
      </c>
      <c r="AL18" s="76">
        <f t="shared" si="16"/>
        <v>24605.642879999999</v>
      </c>
      <c r="AM18" s="77">
        <f t="shared" si="17"/>
        <v>0</v>
      </c>
      <c r="AN18" s="76">
        <f t="shared" si="18"/>
        <v>19684.514304</v>
      </c>
      <c r="AO18" s="72">
        <f t="shared" si="19"/>
        <v>70318.6879310894</v>
      </c>
      <c r="AP18" s="74">
        <f t="shared" si="20"/>
        <v>87898.359913861757</v>
      </c>
      <c r="AQ18" s="74">
        <f t="shared" si="21"/>
        <v>0</v>
      </c>
      <c r="AR18" s="74">
        <f t="shared" si="22"/>
        <v>6921.3729196538443</v>
      </c>
      <c r="AS18" s="72">
        <f t="shared" si="23"/>
        <v>401862.28822895116</v>
      </c>
      <c r="AT18" s="72">
        <f t="shared" si="24"/>
        <v>17579.892919653845</v>
      </c>
      <c r="AU18" s="78">
        <f t="shared" si="25"/>
        <v>1633.2119026062658</v>
      </c>
      <c r="AV18" s="79">
        <f t="shared" si="26"/>
        <v>0.19797398149777462</v>
      </c>
      <c r="AW18" s="80">
        <f t="shared" si="27"/>
        <v>273.10006601007279</v>
      </c>
      <c r="AX18" s="81">
        <f t="shared" si="28"/>
        <v>1360.1118365961929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2 NO'S</v>
      </c>
      <c r="D19" s="131" t="str">
        <f>Pricing!B15</f>
        <v>W11</v>
      </c>
      <c r="E19" s="132" t="str">
        <f>Pricing!N15</f>
        <v>17.52MM</v>
      </c>
      <c r="F19" s="68">
        <f>Pricing!G15</f>
        <v>4356</v>
      </c>
      <c r="G19" s="68">
        <f>Pricing!H15</f>
        <v>2068</v>
      </c>
      <c r="H19" s="100">
        <f t="shared" si="0"/>
        <v>9.0082079999999998</v>
      </c>
      <c r="I19" s="70">
        <f>Pricing!I15</f>
        <v>1</v>
      </c>
      <c r="J19" s="69">
        <f t="shared" si="30"/>
        <v>9.0082079999999998</v>
      </c>
      <c r="K19" s="71">
        <f t="shared" si="31"/>
        <v>96.964350911999986</v>
      </c>
      <c r="L19" s="69"/>
      <c r="M19" s="72"/>
      <c r="N19" s="72"/>
      <c r="O19" s="72">
        <f t="shared" si="3"/>
        <v>0</v>
      </c>
      <c r="P19" s="73">
        <f>Pricing!M15</f>
        <v>19173.829999999998</v>
      </c>
      <c r="Q19" s="74">
        <f t="shared" si="4"/>
        <v>1917.3829999999998</v>
      </c>
      <c r="R19" s="74">
        <f t="shared" si="5"/>
        <v>2320.0334299999995</v>
      </c>
      <c r="S19" s="74">
        <f t="shared" si="6"/>
        <v>117.05623214999999</v>
      </c>
      <c r="T19" s="74">
        <f t="shared" si="7"/>
        <v>235.28302662149997</v>
      </c>
      <c r="U19" s="72">
        <f t="shared" si="8"/>
        <v>23763.585688771494</v>
      </c>
      <c r="V19" s="74">
        <f t="shared" si="9"/>
        <v>356.45378533157242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78560.581967999999</v>
      </c>
      <c r="AE19" s="76">
        <f t="shared" si="43"/>
        <v>1053.1147540983607</v>
      </c>
      <c r="AF19" s="341">
        <f t="shared" si="44"/>
        <v>539.61599999999999</v>
      </c>
      <c r="AG19" s="342"/>
      <c r="AH19" s="76">
        <f t="shared" si="45"/>
        <v>38.544000000000004</v>
      </c>
      <c r="AI19" s="76">
        <f t="shared" si="49"/>
        <v>128.48000000000002</v>
      </c>
      <c r="AJ19" s="76">
        <f>J19*Pricing!Q15</f>
        <v>0</v>
      </c>
      <c r="AK19" s="76">
        <f>J19*Pricing!R15</f>
        <v>0</v>
      </c>
      <c r="AL19" s="76">
        <f t="shared" si="16"/>
        <v>9696.4350911999991</v>
      </c>
      <c r="AM19" s="77">
        <f t="shared" si="17"/>
        <v>0</v>
      </c>
      <c r="AN19" s="76">
        <f t="shared" si="18"/>
        <v>7757.1480729599989</v>
      </c>
      <c r="AO19" s="72">
        <f t="shared" si="19"/>
        <v>25879.794228201426</v>
      </c>
      <c r="AP19" s="74">
        <f t="shared" si="20"/>
        <v>32349.742785251783</v>
      </c>
      <c r="AQ19" s="74">
        <f t="shared" si="21"/>
        <v>0</v>
      </c>
      <c r="AR19" s="74">
        <f t="shared" si="22"/>
        <v>6464.0533404039088</v>
      </c>
      <c r="AS19" s="72">
        <f t="shared" si="23"/>
        <v>154243.70214561321</v>
      </c>
      <c r="AT19" s="72">
        <f t="shared" si="24"/>
        <v>17122.573340403909</v>
      </c>
      <c r="AU19" s="78">
        <f t="shared" si="25"/>
        <v>1590.7258770349229</v>
      </c>
      <c r="AV19" s="79">
        <f t="shared" si="26"/>
        <v>7.8016326202146408E-2</v>
      </c>
      <c r="AW19" s="80">
        <f t="shared" si="27"/>
        <v>248.75162105703379</v>
      </c>
      <c r="AX19" s="81">
        <f t="shared" si="28"/>
        <v>1341.974255977889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W12</v>
      </c>
      <c r="E20" s="132" t="str">
        <f>Pricing!N16</f>
        <v>17.52MM</v>
      </c>
      <c r="F20" s="68">
        <f>Pricing!G16</f>
        <v>1245</v>
      </c>
      <c r="G20" s="68">
        <f>Pricing!H16</f>
        <v>1749</v>
      </c>
      <c r="H20" s="100">
        <f t="shared" si="0"/>
        <v>2.177505</v>
      </c>
      <c r="I20" s="70">
        <f>Pricing!I16</f>
        <v>2</v>
      </c>
      <c r="J20" s="69">
        <f t="shared" si="30"/>
        <v>4.35501</v>
      </c>
      <c r="K20" s="71">
        <f t="shared" si="31"/>
        <v>46.877327639999997</v>
      </c>
      <c r="L20" s="69"/>
      <c r="M20" s="72"/>
      <c r="N20" s="72"/>
      <c r="O20" s="72">
        <f t="shared" si="3"/>
        <v>0</v>
      </c>
      <c r="P20" s="73">
        <f>Pricing!M16</f>
        <v>58644.479999999996</v>
      </c>
      <c r="Q20" s="74">
        <f t="shared" si="4"/>
        <v>5864.4480000000003</v>
      </c>
      <c r="R20" s="74">
        <f t="shared" si="5"/>
        <v>7095.9820799999998</v>
      </c>
      <c r="S20" s="74">
        <f t="shared" si="6"/>
        <v>358.02455040000001</v>
      </c>
      <c r="T20" s="74">
        <f t="shared" si="7"/>
        <v>719.62934630400002</v>
      </c>
      <c r="U20" s="72">
        <f t="shared" si="8"/>
        <v>72682.563976704012</v>
      </c>
      <c r="V20" s="74">
        <f t="shared" si="9"/>
        <v>1090.2384596505601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37980.04221</v>
      </c>
      <c r="AE20" s="76">
        <f t="shared" si="43"/>
        <v>981.63934426229514</v>
      </c>
      <c r="AF20" s="341">
        <f t="shared" si="44"/>
        <v>502.99200000000008</v>
      </c>
      <c r="AG20" s="342"/>
      <c r="AH20" s="76">
        <f t="shared" si="45"/>
        <v>35.928000000000004</v>
      </c>
      <c r="AI20" s="76">
        <f t="shared" si="49"/>
        <v>119.76</v>
      </c>
      <c r="AJ20" s="76">
        <f>J20*Pricing!Q16</f>
        <v>2343.8663819999997</v>
      </c>
      <c r="AK20" s="76">
        <f>J20*Pricing!R16</f>
        <v>0</v>
      </c>
      <c r="AL20" s="76">
        <f t="shared" si="16"/>
        <v>4687.7327639999994</v>
      </c>
      <c r="AM20" s="77">
        <f t="shared" si="17"/>
        <v>0</v>
      </c>
      <c r="AN20" s="76">
        <f t="shared" si="18"/>
        <v>3750.1862111999994</v>
      </c>
      <c r="AO20" s="72">
        <f t="shared" si="19"/>
        <v>75413.121780616857</v>
      </c>
      <c r="AP20" s="74">
        <f t="shared" si="20"/>
        <v>94266.402225771075</v>
      </c>
      <c r="AQ20" s="74">
        <f t="shared" si="21"/>
        <v>0</v>
      </c>
      <c r="AR20" s="74">
        <f t="shared" si="22"/>
        <v>38961.913751377819</v>
      </c>
      <c r="AS20" s="72">
        <f t="shared" si="23"/>
        <v>218441.35157358792</v>
      </c>
      <c r="AT20" s="72">
        <f t="shared" si="24"/>
        <v>50158.63375137782</v>
      </c>
      <c r="AU20" s="78">
        <f t="shared" si="25"/>
        <v>4659.8507758619307</v>
      </c>
      <c r="AV20" s="79">
        <f t="shared" si="26"/>
        <v>3.7716922252862016E-2</v>
      </c>
      <c r="AW20" s="80">
        <f t="shared" si="27"/>
        <v>1573.7416390904696</v>
      </c>
      <c r="AX20" s="81">
        <f t="shared" si="28"/>
        <v>3086.1091367714616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IN SHAPE</v>
      </c>
      <c r="D21" s="131" t="str">
        <f>Pricing!B17</f>
        <v>W13</v>
      </c>
      <c r="E21" s="132" t="str">
        <f>Pricing!N17</f>
        <v>8MM</v>
      </c>
      <c r="F21" s="68">
        <f>Pricing!G17</f>
        <v>2186</v>
      </c>
      <c r="G21" s="68">
        <f>Pricing!H17</f>
        <v>1627</v>
      </c>
      <c r="H21" s="100">
        <f t="shared" si="0"/>
        <v>3.556622</v>
      </c>
      <c r="I21" s="70">
        <f>Pricing!I17</f>
        <v>1</v>
      </c>
      <c r="J21" s="69">
        <f t="shared" si="30"/>
        <v>3.556622</v>
      </c>
      <c r="K21" s="71">
        <f t="shared" si="31"/>
        <v>38.283479207999996</v>
      </c>
      <c r="L21" s="69"/>
      <c r="M21" s="72"/>
      <c r="N21" s="72"/>
      <c r="O21" s="72">
        <f t="shared" si="3"/>
        <v>0</v>
      </c>
      <c r="P21" s="73">
        <f>Pricing!M17</f>
        <v>6957.8899999999994</v>
      </c>
      <c r="Q21" s="74">
        <f t="shared" ref="Q21:Q26" si="50">P21*$Q$6</f>
        <v>695.78899999999999</v>
      </c>
      <c r="R21" s="74">
        <f t="shared" ref="R21:R26" si="51">(P21+Q21)*$R$6</f>
        <v>841.90468999999996</v>
      </c>
      <c r="S21" s="74">
        <f t="shared" ref="S21:S26" si="52">(P21+Q21+R21)*$S$6</f>
        <v>42.477918449999997</v>
      </c>
      <c r="T21" s="74">
        <f t="shared" ref="T21:T26" si="53">(P21+Q21+R21+S21)*$T$6</f>
        <v>85.380616084500005</v>
      </c>
      <c r="U21" s="72">
        <f t="shared" ref="U21:U26" si="54">SUM(P21:T21)</f>
        <v>8623.4422245344995</v>
      </c>
      <c r="V21" s="74">
        <f t="shared" ref="V21:V26" si="55">U21*$V$6</f>
        <v>129.35163336801747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4701.854284</v>
      </c>
      <c r="AE21" s="76">
        <f t="shared" si="43"/>
        <v>625.08196721311481</v>
      </c>
      <c r="AF21" s="341">
        <f t="shared" si="44"/>
        <v>320.29200000000003</v>
      </c>
      <c r="AG21" s="342"/>
      <c r="AH21" s="76">
        <f t="shared" si="45"/>
        <v>22.878</v>
      </c>
      <c r="AI21" s="76">
        <f t="shared" si="15"/>
        <v>76.260000000000005</v>
      </c>
      <c r="AJ21" s="76">
        <f>J21*Pricing!Q17</f>
        <v>0</v>
      </c>
      <c r="AK21" s="76">
        <f>J21*Pricing!R17</f>
        <v>0</v>
      </c>
      <c r="AL21" s="76">
        <f t="shared" si="16"/>
        <v>3828.3479207999994</v>
      </c>
      <c r="AM21" s="77">
        <f t="shared" si="17"/>
        <v>0</v>
      </c>
      <c r="AN21" s="76">
        <f t="shared" si="18"/>
        <v>3062.6783366399995</v>
      </c>
      <c r="AO21" s="72">
        <f t="shared" si="19"/>
        <v>9797.3058251156326</v>
      </c>
      <c r="AP21" s="74">
        <f t="shared" si="20"/>
        <v>12246.632281394541</v>
      </c>
      <c r="AQ21" s="74">
        <f t="shared" ref="AQ21:AQ26" si="61">(AO21+AP21)*$AQ$6</f>
        <v>0</v>
      </c>
      <c r="AR21" s="74">
        <f t="shared" si="22"/>
        <v>6197.9985802568208</v>
      </c>
      <c r="AS21" s="72">
        <f t="shared" si="23"/>
        <v>33636.818647950167</v>
      </c>
      <c r="AT21" s="72">
        <f t="shared" si="24"/>
        <v>9457.5185802568194</v>
      </c>
      <c r="AU21" s="78">
        <f t="shared" ref="AU21:AU26" si="62">AT21/10.764</f>
        <v>878.62491455377369</v>
      </c>
      <c r="AV21" s="79">
        <f t="shared" si="26"/>
        <v>3.0802417320928907E-2</v>
      </c>
      <c r="AW21" s="80">
        <f t="shared" si="27"/>
        <v>228.63109725078147</v>
      </c>
      <c r="AX21" s="81">
        <f t="shared" si="28"/>
        <v>649.99381730299228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DOOR</v>
      </c>
      <c r="D22" s="131" t="str">
        <f>Pricing!B18</f>
        <v>W14</v>
      </c>
      <c r="E22" s="132" t="str">
        <f>Pricing!N18</f>
        <v>17.52MM</v>
      </c>
      <c r="F22" s="68">
        <f>Pricing!G18</f>
        <v>3015</v>
      </c>
      <c r="G22" s="68">
        <f>Pricing!H18</f>
        <v>2193</v>
      </c>
      <c r="H22" s="100">
        <f t="shared" si="0"/>
        <v>6.6118949999999996</v>
      </c>
      <c r="I22" s="70">
        <f>Pricing!I18</f>
        <v>1</v>
      </c>
      <c r="J22" s="69">
        <f t="shared" si="30"/>
        <v>6.6118949999999996</v>
      </c>
      <c r="K22" s="71">
        <f t="shared" si="31"/>
        <v>71.170437779999986</v>
      </c>
      <c r="L22" s="69"/>
      <c r="M22" s="72"/>
      <c r="N22" s="72"/>
      <c r="O22" s="72">
        <f t="shared" si="3"/>
        <v>0</v>
      </c>
      <c r="P22" s="73">
        <f>Pricing!M18</f>
        <v>44770.2</v>
      </c>
      <c r="Q22" s="74">
        <f t="shared" si="50"/>
        <v>4477.0199999999995</v>
      </c>
      <c r="R22" s="74">
        <f t="shared" si="51"/>
        <v>5417.194199999999</v>
      </c>
      <c r="S22" s="74">
        <f t="shared" si="52"/>
        <v>273.32207099999994</v>
      </c>
      <c r="T22" s="74">
        <f t="shared" si="53"/>
        <v>549.37736270999994</v>
      </c>
      <c r="U22" s="72">
        <f t="shared" si="54"/>
        <v>55487.113633709996</v>
      </c>
      <c r="V22" s="74">
        <f t="shared" si="55"/>
        <v>832.30670450564992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57662.336294999994</v>
      </c>
      <c r="AE22" s="76">
        <f t="shared" si="43"/>
        <v>853.77049180327867</v>
      </c>
      <c r="AF22" s="341">
        <f t="shared" si="44"/>
        <v>437.47199999999998</v>
      </c>
      <c r="AG22" s="342"/>
      <c r="AH22" s="76">
        <f t="shared" si="45"/>
        <v>31.248000000000001</v>
      </c>
      <c r="AI22" s="76">
        <f t="shared" si="15"/>
        <v>104.16</v>
      </c>
      <c r="AJ22" s="76">
        <f>J22*Pricing!Q18</f>
        <v>3558.5218889999992</v>
      </c>
      <c r="AK22" s="76">
        <f>J22*Pricing!R18</f>
        <v>0</v>
      </c>
      <c r="AL22" s="76">
        <f t="shared" si="16"/>
        <v>7117.0437779999984</v>
      </c>
      <c r="AM22" s="77">
        <f t="shared" si="17"/>
        <v>0</v>
      </c>
      <c r="AN22" s="76">
        <f t="shared" si="18"/>
        <v>5693.6350223999989</v>
      </c>
      <c r="AO22" s="72">
        <f t="shared" si="19"/>
        <v>57746.070830018922</v>
      </c>
      <c r="AP22" s="74">
        <f t="shared" si="20"/>
        <v>72182.588537523654</v>
      </c>
      <c r="AQ22" s="74">
        <f t="shared" si="61"/>
        <v>0</v>
      </c>
      <c r="AR22" s="74">
        <f t="shared" si="22"/>
        <v>19650.744509333948</v>
      </c>
      <c r="AS22" s="72">
        <f t="shared" si="23"/>
        <v>203960.19635194255</v>
      </c>
      <c r="AT22" s="72">
        <f t="shared" si="24"/>
        <v>30847.464509333946</v>
      </c>
      <c r="AU22" s="78">
        <f t="shared" si="62"/>
        <v>2865.799378421957</v>
      </c>
      <c r="AV22" s="79">
        <f t="shared" si="26"/>
        <v>5.7262860397355474E-2</v>
      </c>
      <c r="AW22" s="80">
        <f t="shared" si="27"/>
        <v>791.33165531886459</v>
      </c>
      <c r="AX22" s="81">
        <f t="shared" si="28"/>
        <v>2074.4677231030928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W15</v>
      </c>
      <c r="E23" s="132" t="str">
        <f>Pricing!N19</f>
        <v>17.52MM</v>
      </c>
      <c r="F23" s="68">
        <f>Pricing!G19</f>
        <v>1174</v>
      </c>
      <c r="G23" s="68">
        <f>Pricing!H19</f>
        <v>2175</v>
      </c>
      <c r="H23" s="100">
        <f t="shared" si="0"/>
        <v>2.5534500000000002</v>
      </c>
      <c r="I23" s="70">
        <f>Pricing!I19</f>
        <v>1</v>
      </c>
      <c r="J23" s="69">
        <f t="shared" si="30"/>
        <v>2.5534500000000002</v>
      </c>
      <c r="K23" s="71">
        <f t="shared" si="31"/>
        <v>27.485335800000001</v>
      </c>
      <c r="L23" s="69"/>
      <c r="M23" s="72"/>
      <c r="N23" s="72"/>
      <c r="O23" s="72">
        <f t="shared" si="3"/>
        <v>0</v>
      </c>
      <c r="P23" s="73">
        <f>Pricing!M19</f>
        <v>6918.0499999999993</v>
      </c>
      <c r="Q23" s="74">
        <f t="shared" si="50"/>
        <v>691.80499999999995</v>
      </c>
      <c r="R23" s="74">
        <f t="shared" si="51"/>
        <v>837.08404999999993</v>
      </c>
      <c r="S23" s="74">
        <f t="shared" si="52"/>
        <v>42.234695249999994</v>
      </c>
      <c r="T23" s="74">
        <f t="shared" si="53"/>
        <v>84.891737452499981</v>
      </c>
      <c r="U23" s="72">
        <f t="shared" si="54"/>
        <v>8574.0654827024991</v>
      </c>
      <c r="V23" s="74">
        <f t="shared" si="55"/>
        <v>128.61098224053748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22268.637450000002</v>
      </c>
      <c r="AE23" s="76">
        <f t="shared" si="43"/>
        <v>549.01639344262298</v>
      </c>
      <c r="AF23" s="341">
        <f t="shared" si="44"/>
        <v>281.31600000000003</v>
      </c>
      <c r="AG23" s="342"/>
      <c r="AH23" s="76">
        <f t="shared" si="45"/>
        <v>20.094000000000001</v>
      </c>
      <c r="AI23" s="76">
        <f t="shared" si="15"/>
        <v>66.98</v>
      </c>
      <c r="AJ23" s="76">
        <f>J23*Pricing!Q19</f>
        <v>0</v>
      </c>
      <c r="AK23" s="76">
        <f>J23*Pricing!R19</f>
        <v>0</v>
      </c>
      <c r="AL23" s="76">
        <f t="shared" si="16"/>
        <v>2748.5335799999998</v>
      </c>
      <c r="AM23" s="77">
        <f t="shared" si="17"/>
        <v>0</v>
      </c>
      <c r="AN23" s="76">
        <f t="shared" si="18"/>
        <v>2198.8268640000001</v>
      </c>
      <c r="AO23" s="72">
        <f t="shared" si="19"/>
        <v>9620.0828583856601</v>
      </c>
      <c r="AP23" s="74">
        <f t="shared" si="20"/>
        <v>12025.103572982076</v>
      </c>
      <c r="AQ23" s="74">
        <f t="shared" si="61"/>
        <v>0</v>
      </c>
      <c r="AR23" s="74">
        <f t="shared" si="22"/>
        <v>8476.8397389287966</v>
      </c>
      <c r="AS23" s="72">
        <f t="shared" si="23"/>
        <v>48861.184325367736</v>
      </c>
      <c r="AT23" s="72">
        <f t="shared" si="24"/>
        <v>19135.359738928793</v>
      </c>
      <c r="AU23" s="78">
        <f t="shared" si="62"/>
        <v>1777.7182960729092</v>
      </c>
      <c r="AV23" s="79">
        <f t="shared" si="26"/>
        <v>2.2114363715943369E-2</v>
      </c>
      <c r="AW23" s="80">
        <f t="shared" si="27"/>
        <v>316.6298031891987</v>
      </c>
      <c r="AX23" s="81">
        <f t="shared" si="28"/>
        <v>1461.0884928837104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W16</v>
      </c>
      <c r="E24" s="132" t="str">
        <f>Pricing!N20</f>
        <v>17.52MM</v>
      </c>
      <c r="F24" s="68">
        <f>Pricing!G20</f>
        <v>1566</v>
      </c>
      <c r="G24" s="68">
        <f>Pricing!H20</f>
        <v>2182</v>
      </c>
      <c r="H24" s="100">
        <f t="shared" si="0"/>
        <v>3.4170120000000002</v>
      </c>
      <c r="I24" s="70">
        <f>Pricing!I20</f>
        <v>1</v>
      </c>
      <c r="J24" s="69">
        <f t="shared" si="30"/>
        <v>3.4170120000000002</v>
      </c>
      <c r="K24" s="71">
        <f t="shared" si="31"/>
        <v>36.780717168000002</v>
      </c>
      <c r="L24" s="69"/>
      <c r="M24" s="72"/>
      <c r="N24" s="72"/>
      <c r="O24" s="72">
        <f t="shared" si="3"/>
        <v>0</v>
      </c>
      <c r="P24" s="73">
        <f>Pricing!M20</f>
        <v>7620.2300000000005</v>
      </c>
      <c r="Q24" s="74">
        <f t="shared" si="50"/>
        <v>762.02300000000014</v>
      </c>
      <c r="R24" s="74">
        <f t="shared" si="51"/>
        <v>922.04783000000009</v>
      </c>
      <c r="S24" s="74">
        <f t="shared" si="52"/>
        <v>46.521504149999998</v>
      </c>
      <c r="T24" s="74">
        <f t="shared" si="53"/>
        <v>93.508223341499999</v>
      </c>
      <c r="U24" s="72">
        <f t="shared" si="54"/>
        <v>9444.3305574914993</v>
      </c>
      <c r="V24" s="74">
        <f t="shared" si="55"/>
        <v>141.66495836237249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29799.761652000001</v>
      </c>
      <c r="AE24" s="76">
        <f t="shared" si="43"/>
        <v>614.42622950819668</v>
      </c>
      <c r="AF24" s="341">
        <f t="shared" si="44"/>
        <v>314.83199999999999</v>
      </c>
      <c r="AG24" s="342"/>
      <c r="AH24" s="76">
        <f t="shared" si="45"/>
        <v>22.488</v>
      </c>
      <c r="AI24" s="76">
        <f t="shared" si="15"/>
        <v>74.960000000000008</v>
      </c>
      <c r="AJ24" s="76">
        <f>J24*Pricing!Q20</f>
        <v>0</v>
      </c>
      <c r="AK24" s="76">
        <f>J24*Pricing!R20</f>
        <v>0</v>
      </c>
      <c r="AL24" s="76">
        <f t="shared" si="16"/>
        <v>3678.0717167999996</v>
      </c>
      <c r="AM24" s="77">
        <f t="shared" si="17"/>
        <v>0</v>
      </c>
      <c r="AN24" s="76">
        <f t="shared" si="18"/>
        <v>2942.4573734399996</v>
      </c>
      <c r="AO24" s="72">
        <f t="shared" si="19"/>
        <v>10612.701745362065</v>
      </c>
      <c r="AP24" s="74">
        <f t="shared" si="20"/>
        <v>13265.877181702581</v>
      </c>
      <c r="AQ24" s="74">
        <f t="shared" si="61"/>
        <v>0</v>
      </c>
      <c r="AR24" s="74">
        <f t="shared" si="22"/>
        <v>6988.1460548176728</v>
      </c>
      <c r="AS24" s="72">
        <f t="shared" si="23"/>
        <v>60298.869669304651</v>
      </c>
      <c r="AT24" s="72">
        <f t="shared" si="24"/>
        <v>17646.666054817673</v>
      </c>
      <c r="AU24" s="78">
        <f t="shared" si="62"/>
        <v>1639.4152782253507</v>
      </c>
      <c r="AV24" s="79">
        <f t="shared" si="26"/>
        <v>2.9593313434664113E-2</v>
      </c>
      <c r="AW24" s="80">
        <f t="shared" si="27"/>
        <v>260.62557377738926</v>
      </c>
      <c r="AX24" s="81">
        <f t="shared" si="28"/>
        <v>1378.7897044479612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1">
        <f t="shared" si="44"/>
        <v>0</v>
      </c>
      <c r="AG25" s="342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1">
        <f t="shared" si="44"/>
        <v>0</v>
      </c>
      <c r="AG26" s="342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1">
        <f t="shared" si="44"/>
        <v>0</v>
      </c>
      <c r="AG27" s="342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1">
        <f t="shared" si="44"/>
        <v>0</v>
      </c>
      <c r="AG28" s="342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1">
        <f t="shared" si="44"/>
        <v>0</v>
      </c>
      <c r="AG29" s="342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1">
        <f t="shared" si="44"/>
        <v>0</v>
      </c>
      <c r="AG30" s="342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1">
        <f t="shared" si="44"/>
        <v>0</v>
      </c>
      <c r="AG31" s="342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1">
        <f t="shared" si="44"/>
        <v>0</v>
      </c>
      <c r="AG32" s="342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1">
        <f t="shared" si="44"/>
        <v>0</v>
      </c>
      <c r="AG33" s="34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113.288173</v>
      </c>
      <c r="I109" s="87">
        <f>SUM(I8:I108)</f>
        <v>18</v>
      </c>
      <c r="J109" s="88">
        <f>SUM(J8:J108)</f>
        <v>115.465678</v>
      </c>
      <c r="K109" s="89">
        <f>SUM(K8:K108)</f>
        <v>1242.8725579919999</v>
      </c>
      <c r="L109" s="88">
        <f>SUM(L8:L8)</f>
        <v>0</v>
      </c>
      <c r="M109" s="88"/>
      <c r="N109" s="88"/>
      <c r="O109" s="88"/>
      <c r="P109" s="87">
        <f>SUM(P8:P108)</f>
        <v>588488.26</v>
      </c>
      <c r="Q109" s="88">
        <f t="shared" ref="Q109:AE109" si="156">SUM(Q8:Q108)</f>
        <v>58848.826000000008</v>
      </c>
      <c r="R109" s="88">
        <f t="shared" si="156"/>
        <v>71207.079460000008</v>
      </c>
      <c r="S109" s="88">
        <f t="shared" si="156"/>
        <v>3592.7208273000001</v>
      </c>
      <c r="T109" s="88">
        <f t="shared" si="156"/>
        <v>7221.3688628729988</v>
      </c>
      <c r="U109" s="88">
        <f t="shared" si="156"/>
        <v>729358.25515017286</v>
      </c>
      <c r="V109" s="88">
        <f t="shared" si="156"/>
        <v>10940.373827252599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876308.83347300021</v>
      </c>
      <c r="AE109" s="88">
        <f t="shared" si="156"/>
        <v>14759.344262295082</v>
      </c>
      <c r="AF109" s="352">
        <f>SUM(AF8:AG108)</f>
        <v>7562.6880000000001</v>
      </c>
      <c r="AG109" s="353"/>
      <c r="AH109" s="88">
        <f t="shared" ref="AH109:AQ109" si="157">SUM(AH8:AH108)</f>
        <v>540.19200000000001</v>
      </c>
      <c r="AI109" s="88">
        <f t="shared" si="157"/>
        <v>1800.6400000000003</v>
      </c>
      <c r="AJ109" s="88">
        <f t="shared" ref="AJ109" si="158">SUM(AJ8:AJ108)</f>
        <v>19320.067868399998</v>
      </c>
      <c r="AK109" s="88">
        <f t="shared" si="157"/>
        <v>0</v>
      </c>
      <c r="AL109" s="88">
        <f t="shared" si="157"/>
        <v>124287.25579919998</v>
      </c>
      <c r="AM109" s="88">
        <f t="shared" si="157"/>
        <v>0</v>
      </c>
      <c r="AN109" s="88">
        <f t="shared" si="157"/>
        <v>99429.804639359994</v>
      </c>
      <c r="AO109" s="88">
        <f t="shared" si="157"/>
        <v>764961.4932397207</v>
      </c>
      <c r="AP109" s="88">
        <f t="shared" si="157"/>
        <v>956201.86654965091</v>
      </c>
      <c r="AQ109" s="88">
        <f t="shared" si="157"/>
        <v>0</v>
      </c>
      <c r="AR109" s="88"/>
      <c r="AS109" s="87">
        <f>SUM(AS8:AS108)</f>
        <v>2840509.321569331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7562.6880000000001</v>
      </c>
      <c r="AW110" s="84"/>
    </row>
    <row r="111" spans="2:54">
      <c r="AF111" s="174"/>
      <c r="AG111" s="174"/>
      <c r="AH111" s="174">
        <f>SUM(AE109:AI109,AC109)</f>
        <v>24662.864262295083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view="pageBreakPreview" topLeftCell="A28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4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/>
    </row>
    <row r="2" spans="2:15" ht="23.25" customHeight="1">
      <c r="B2" s="427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23.25" customHeight="1">
      <c r="B3" s="427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9"/>
    </row>
    <row r="4" spans="2:15" ht="30" customHeight="1">
      <c r="B4" s="4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9"/>
    </row>
    <row r="5" spans="2:15" ht="30" customHeight="1" thickBot="1">
      <c r="B5" s="4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9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ABPL-DE-19.20-2131</v>
      </c>
      <c r="N6" s="473"/>
    </row>
    <row r="7" spans="2:15" ht="24.95" customHeight="1">
      <c r="B7" s="492" t="s">
        <v>126</v>
      </c>
      <c r="C7" s="493"/>
      <c r="D7" s="493"/>
      <c r="E7" s="493"/>
      <c r="F7" s="433" t="str">
        <f>'BD Team'!E2</f>
        <v>Mr. Prashanth</v>
      </c>
      <c r="G7" s="433"/>
      <c r="H7" s="433"/>
      <c r="I7" s="433"/>
      <c r="J7" s="434"/>
      <c r="K7" s="500" t="s">
        <v>104</v>
      </c>
      <c r="L7" s="493"/>
      <c r="M7" s="498">
        <f>'BD Team'!J3</f>
        <v>43675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180</v>
      </c>
      <c r="H8" s="485"/>
      <c r="I8" s="433" t="str">
        <f>'BD Team'!G3</f>
        <v>1.5Kpa</v>
      </c>
      <c r="J8" s="434"/>
      <c r="K8" s="500" t="s">
        <v>105</v>
      </c>
      <c r="L8" s="493"/>
      <c r="M8" s="178" t="s">
        <v>365</v>
      </c>
      <c r="N8" s="179">
        <v>43676</v>
      </c>
    </row>
    <row r="9" spans="2:15" ht="24.95" customHeight="1">
      <c r="B9" s="492" t="s">
        <v>169</v>
      </c>
      <c r="C9" s="493"/>
      <c r="D9" s="493"/>
      <c r="E9" s="493"/>
      <c r="F9" s="433" t="str">
        <f>'BD Team'!E4</f>
        <v>Ms. Rachana: 9154030271</v>
      </c>
      <c r="G9" s="433"/>
      <c r="H9" s="433"/>
      <c r="I9" s="433"/>
      <c r="J9" s="434"/>
      <c r="K9" s="500" t="s">
        <v>179</v>
      </c>
      <c r="L9" s="493"/>
      <c r="M9" s="474" t="str">
        <f>'BD Team'!J4</f>
        <v>Nikhil</v>
      </c>
      <c r="N9" s="475"/>
    </row>
    <row r="10" spans="2:15" ht="27.75" customHeight="1" thickBot="1">
      <c r="B10" s="494" t="s">
        <v>177</v>
      </c>
      <c r="C10" s="495"/>
      <c r="D10" s="495"/>
      <c r="E10" s="495"/>
      <c r="F10" s="217" t="str">
        <f>'BD Team'!E5</f>
        <v>Wood Effect</v>
      </c>
      <c r="G10" s="505" t="s">
        <v>178</v>
      </c>
      <c r="H10" s="506"/>
      <c r="I10" s="503" t="str">
        <f>'BD Team'!G5</f>
        <v>Black</v>
      </c>
      <c r="J10" s="504"/>
      <c r="K10" s="501" t="s">
        <v>374</v>
      </c>
      <c r="L10" s="502"/>
      <c r="M10" s="496">
        <f>'BD Team'!J5</f>
        <v>0</v>
      </c>
      <c r="N10" s="497"/>
    </row>
    <row r="11" spans="2:15" ht="19.5" thickTop="1">
      <c r="B11" s="430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2"/>
    </row>
    <row r="12" spans="2:15" s="93" customFormat="1" ht="19.5" thickBot="1">
      <c r="B12" s="430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2"/>
    </row>
    <row r="13" spans="2:15" s="93" customFormat="1" ht="18" customHeight="1" thickTop="1" thickBot="1">
      <c r="B13" s="486" t="s">
        <v>170</v>
      </c>
      <c r="C13" s="487"/>
      <c r="D13" s="490" t="s">
        <v>171</v>
      </c>
      <c r="E13" s="490" t="s">
        <v>172</v>
      </c>
      <c r="F13" s="490" t="s">
        <v>37</v>
      </c>
      <c r="G13" s="488" t="s">
        <v>63</v>
      </c>
      <c r="H13" s="488" t="s">
        <v>210</v>
      </c>
      <c r="I13" s="488" t="s">
        <v>209</v>
      </c>
      <c r="J13" s="489" t="s">
        <v>173</v>
      </c>
      <c r="K13" s="489" t="s">
        <v>174</v>
      </c>
      <c r="L13" s="487" t="s">
        <v>211</v>
      </c>
      <c r="M13" s="489" t="s">
        <v>175</v>
      </c>
      <c r="N13" s="491" t="s">
        <v>176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W</v>
      </c>
      <c r="E16" s="187" t="str">
        <f>Pricing!C4</f>
        <v>M15000</v>
      </c>
      <c r="F16" s="187" t="str">
        <f>Pricing!D4</f>
        <v>FIXED GLASS</v>
      </c>
      <c r="G16" s="187" t="str">
        <f>Pricing!N4</f>
        <v>17.52MM</v>
      </c>
      <c r="H16" s="187" t="str">
        <f>Pricing!F4</f>
        <v>GF - FRONT HALL</v>
      </c>
      <c r="I16" s="216" t="str">
        <f>Pricing!E4</f>
        <v>NO</v>
      </c>
      <c r="J16" s="216">
        <f>Pricing!G4</f>
        <v>2447</v>
      </c>
      <c r="K16" s="216">
        <f>Pricing!H4</f>
        <v>1722</v>
      </c>
      <c r="L16" s="216">
        <f>Pricing!I4</f>
        <v>1</v>
      </c>
      <c r="M16" s="188">
        <f t="shared" ref="M16:M24" si="0">J16*K16*L16/1000000</f>
        <v>4.2137339999999996</v>
      </c>
      <c r="N16" s="189">
        <f>'Cost Calculation'!AS8</f>
        <v>71145.764919108813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W1</v>
      </c>
      <c r="E17" s="187" t="str">
        <f>Pricing!C5</f>
        <v>M15000</v>
      </c>
      <c r="F17" s="187" t="str">
        <f>Pricing!D5</f>
        <v>FIXED GLASS</v>
      </c>
      <c r="G17" s="187" t="str">
        <f>Pricing!N5</f>
        <v>17.52MM</v>
      </c>
      <c r="H17" s="187" t="str">
        <f>Pricing!F5</f>
        <v>GF - FRONT HALL</v>
      </c>
      <c r="I17" s="216" t="str">
        <f>Pricing!E5</f>
        <v>NO</v>
      </c>
      <c r="J17" s="216">
        <f>Pricing!G5</f>
        <v>1884</v>
      </c>
      <c r="K17" s="216">
        <f>Pricing!H5</f>
        <v>1637</v>
      </c>
      <c r="L17" s="216">
        <f>Pricing!I5</f>
        <v>1</v>
      </c>
      <c r="M17" s="188">
        <f t="shared" si="0"/>
        <v>3.0841080000000001</v>
      </c>
      <c r="N17" s="189">
        <f>'Cost Calculation'!AS9</f>
        <v>55487.750883029577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W2</v>
      </c>
      <c r="E18" s="187" t="str">
        <f>Pricing!C6</f>
        <v>M15000</v>
      </c>
      <c r="F18" s="187" t="str">
        <f>Pricing!D6</f>
        <v>FIXED GLASS 2 NO'S</v>
      </c>
      <c r="G18" s="187" t="str">
        <f>Pricing!N6</f>
        <v>17.52MM</v>
      </c>
      <c r="H18" s="187" t="str">
        <f>Pricing!F6</f>
        <v>GF - SITTING HALL</v>
      </c>
      <c r="I18" s="216" t="str">
        <f>Pricing!E6</f>
        <v>NO</v>
      </c>
      <c r="J18" s="216">
        <f>Pricing!G6</f>
        <v>3787</v>
      </c>
      <c r="K18" s="216">
        <f>Pricing!H6</f>
        <v>2075</v>
      </c>
      <c r="L18" s="216">
        <f>Pricing!I6</f>
        <v>1</v>
      </c>
      <c r="M18" s="188">
        <f t="shared" si="0"/>
        <v>7.8580249999999996</v>
      </c>
      <c r="N18" s="189">
        <f>'Cost Calculation'!AS10</f>
        <v>138915.27956510926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W3</v>
      </c>
      <c r="E19" s="187" t="str">
        <f>Pricing!C7</f>
        <v>M14600</v>
      </c>
      <c r="F19" s="187" t="str">
        <f>Pricing!D7</f>
        <v>3 TRACK 4 SHUTTER SLIDING DOOR</v>
      </c>
      <c r="G19" s="187" t="str">
        <f>Pricing!N7</f>
        <v>17.52MM</v>
      </c>
      <c r="H19" s="187" t="str">
        <f>Pricing!F7</f>
        <v>GF - SITTING HALL</v>
      </c>
      <c r="I19" s="216" t="str">
        <f>Pricing!E7</f>
        <v>SS</v>
      </c>
      <c r="J19" s="216">
        <f>Pricing!G7</f>
        <v>4556</v>
      </c>
      <c r="K19" s="216">
        <f>Pricing!H7</f>
        <v>2474</v>
      </c>
      <c r="L19" s="216">
        <f>Pricing!I7</f>
        <v>1</v>
      </c>
      <c r="M19" s="188">
        <f t="shared" si="0"/>
        <v>11.271544</v>
      </c>
      <c r="N19" s="189">
        <f>'Cost Calculation'!AS11</f>
        <v>380380.31466822303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W4</v>
      </c>
      <c r="E20" s="187" t="str">
        <f>Pricing!C8</f>
        <v>M14600</v>
      </c>
      <c r="F20" s="187" t="str">
        <f>Pricing!D8</f>
        <v>3 TRACK 4 SHUTTER SLIDING DOOR</v>
      </c>
      <c r="G20" s="187" t="str">
        <f>Pricing!N8</f>
        <v>17.52MM</v>
      </c>
      <c r="H20" s="187" t="str">
        <f>Pricing!F8</f>
        <v>1F - MASTER BEDROOM</v>
      </c>
      <c r="I20" s="216" t="str">
        <f>Pricing!E8</f>
        <v>SS</v>
      </c>
      <c r="J20" s="216">
        <f>Pricing!G8</f>
        <v>4544</v>
      </c>
      <c r="K20" s="216">
        <f>Pricing!H8</f>
        <v>2317</v>
      </c>
      <c r="L20" s="216">
        <f>Pricing!I8</f>
        <v>1</v>
      </c>
      <c r="M20" s="188">
        <f t="shared" si="0"/>
        <v>10.528447999999999</v>
      </c>
      <c r="N20" s="189">
        <f>'Cost Calculation'!AS12</f>
        <v>364762.50119931373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W5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17.52MM</v>
      </c>
      <c r="H21" s="187" t="str">
        <f>Pricing!F9</f>
        <v>1F - MASTER BEDROOM</v>
      </c>
      <c r="I21" s="216" t="str">
        <f>Pricing!E9</f>
        <v>SS</v>
      </c>
      <c r="J21" s="216">
        <f>Pricing!G9</f>
        <v>1847</v>
      </c>
      <c r="K21" s="216">
        <f>Pricing!H9</f>
        <v>1695</v>
      </c>
      <c r="L21" s="216">
        <f>Pricing!I9</f>
        <v>1</v>
      </c>
      <c r="M21" s="188">
        <f t="shared" si="0"/>
        <v>3.130665</v>
      </c>
      <c r="N21" s="189">
        <f>'Cost Calculation'!AS13</f>
        <v>128695.0603898321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W6</v>
      </c>
      <c r="E22" s="187" t="str">
        <f>Pricing!C10</f>
        <v>M15000</v>
      </c>
      <c r="F22" s="187" t="str">
        <f>Pricing!D10</f>
        <v>FIXED GLASS</v>
      </c>
      <c r="G22" s="187" t="str">
        <f>Pricing!N10</f>
        <v>12MM</v>
      </c>
      <c r="H22" s="187" t="str">
        <f>Pricing!F10</f>
        <v>1F - MASTER BEDROOM BALCONY</v>
      </c>
      <c r="I22" s="216" t="str">
        <f>Pricing!E10</f>
        <v>NO</v>
      </c>
      <c r="J22" s="216">
        <f>Pricing!G10</f>
        <v>2089</v>
      </c>
      <c r="K22" s="216">
        <f>Pricing!H10</f>
        <v>2628</v>
      </c>
      <c r="L22" s="216">
        <f>Pricing!I10</f>
        <v>1</v>
      </c>
      <c r="M22" s="188">
        <f t="shared" si="0"/>
        <v>5.4898920000000002</v>
      </c>
      <c r="N22" s="189">
        <f>'Cost Calculation'!AS14</f>
        <v>52583.239328517913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W7</v>
      </c>
      <c r="E23" s="187" t="str">
        <f>Pricing!C11</f>
        <v>M15000</v>
      </c>
      <c r="F23" s="187" t="str">
        <f>Pricing!D11</f>
        <v>FRENCH WINDOW WITH 5 FIXED</v>
      </c>
      <c r="G23" s="187" t="str">
        <f>Pricing!N11</f>
        <v>8MM</v>
      </c>
      <c r="H23" s="187" t="str">
        <f>Pricing!F11</f>
        <v>1F - MASTER BEDROOM</v>
      </c>
      <c r="I23" s="216" t="str">
        <f>Pricing!E11</f>
        <v>NO</v>
      </c>
      <c r="J23" s="216">
        <f>Pricing!G11</f>
        <v>2285</v>
      </c>
      <c r="K23" s="216">
        <f>Pricing!H11</f>
        <v>2121</v>
      </c>
      <c r="L23" s="216">
        <f>Pricing!I11</f>
        <v>1</v>
      </c>
      <c r="M23" s="188">
        <f t="shared" si="0"/>
        <v>4.8464850000000004</v>
      </c>
      <c r="N23" s="189">
        <f>'Cost Calculation'!AS15</f>
        <v>199186.84842481659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W8</v>
      </c>
      <c r="E24" s="187" t="str">
        <f>Pricing!C12</f>
        <v>M15000</v>
      </c>
      <c r="F24" s="187" t="str">
        <f>Pricing!D12</f>
        <v>FRENCH WINDOW WITH 5 FIXED</v>
      </c>
      <c r="G24" s="187" t="str">
        <f>Pricing!N12</f>
        <v>8MM</v>
      </c>
      <c r="H24" s="187" t="str">
        <f>Pricing!F12</f>
        <v>1F - KIDS BEDROOM</v>
      </c>
      <c r="I24" s="216" t="str">
        <f>Pricing!E12</f>
        <v>NO</v>
      </c>
      <c r="J24" s="216">
        <f>Pricing!G12</f>
        <v>2410</v>
      </c>
      <c r="K24" s="216">
        <f>Pricing!H12</f>
        <v>1738</v>
      </c>
      <c r="L24" s="216">
        <f>Pricing!I12</f>
        <v>1</v>
      </c>
      <c r="M24" s="188">
        <f t="shared" si="0"/>
        <v>4.18858</v>
      </c>
      <c r="N24" s="189">
        <f>'Cost Calculation'!AS16</f>
        <v>178063.51084424066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W9</v>
      </c>
      <c r="E25" s="187" t="str">
        <f>Pricing!C13</f>
        <v>M15000</v>
      </c>
      <c r="F25" s="187" t="str">
        <f>Pricing!D13</f>
        <v>FIXED GLASS 2 NO'S</v>
      </c>
      <c r="G25" s="187" t="str">
        <f>Pricing!N13</f>
        <v>17.52MM</v>
      </c>
      <c r="H25" s="187" t="str">
        <f>Pricing!F13</f>
        <v>1F - ELEVATION</v>
      </c>
      <c r="I25" s="216" t="str">
        <f>Pricing!E13</f>
        <v>NO</v>
      </c>
      <c r="J25" s="216">
        <f>Pricing!G13</f>
        <v>3200</v>
      </c>
      <c r="K25" s="216">
        <f>Pricing!H13</f>
        <v>2654</v>
      </c>
      <c r="L25" s="216">
        <f>Pricing!I13</f>
        <v>1</v>
      </c>
      <c r="M25" s="188">
        <f t="shared" ref="M25:M42" si="1">J25*K25*L25/1000000</f>
        <v>8.4928000000000008</v>
      </c>
      <c r="N25" s="189">
        <f>'Cost Calculation'!AS17</f>
        <v>149984.64040442242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W10</v>
      </c>
      <c r="E26" s="187" t="str">
        <f>Pricing!C14</f>
        <v>M15000</v>
      </c>
      <c r="F26" s="187" t="str">
        <f>Pricing!D14</f>
        <v>FIXED GLASS 4 NO'S</v>
      </c>
      <c r="G26" s="187" t="str">
        <f>Pricing!N14</f>
        <v>17.52MM</v>
      </c>
      <c r="H26" s="187" t="str">
        <f>Pricing!F14</f>
        <v>1F - ELEVATION</v>
      </c>
      <c r="I26" s="216" t="str">
        <f>Pricing!E14</f>
        <v>NO</v>
      </c>
      <c r="J26" s="216">
        <f>Pricing!G14</f>
        <v>8792</v>
      </c>
      <c r="K26" s="216">
        <f>Pricing!H14</f>
        <v>2600</v>
      </c>
      <c r="L26" s="216">
        <f>Pricing!I14</f>
        <v>1</v>
      </c>
      <c r="M26" s="188">
        <f t="shared" si="1"/>
        <v>22.859200000000001</v>
      </c>
      <c r="N26" s="189">
        <f>'Cost Calculation'!AS18</f>
        <v>401862.28822895116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W11</v>
      </c>
      <c r="E27" s="187" t="str">
        <f>Pricing!C15</f>
        <v>M15000</v>
      </c>
      <c r="F27" s="187" t="str">
        <f>Pricing!D15</f>
        <v>FIXED GLASS 2 NO'S</v>
      </c>
      <c r="G27" s="187" t="str">
        <f>Pricing!N15</f>
        <v>17.52MM</v>
      </c>
      <c r="H27" s="187" t="str">
        <f>Pricing!F15</f>
        <v>2F - GUEST BEDROOM</v>
      </c>
      <c r="I27" s="216" t="str">
        <f>Pricing!E15</f>
        <v>NO</v>
      </c>
      <c r="J27" s="216">
        <f>Pricing!G15</f>
        <v>4356</v>
      </c>
      <c r="K27" s="216">
        <f>Pricing!H15</f>
        <v>2068</v>
      </c>
      <c r="L27" s="216">
        <f>Pricing!I15</f>
        <v>1</v>
      </c>
      <c r="M27" s="188">
        <f t="shared" si="1"/>
        <v>9.0082079999999998</v>
      </c>
      <c r="N27" s="189">
        <f>'Cost Calculation'!AS19</f>
        <v>154243.70214561321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W12</v>
      </c>
      <c r="E28" s="187" t="str">
        <f>Pricing!C16</f>
        <v>M14600</v>
      </c>
      <c r="F28" s="187" t="str">
        <f>Pricing!D16</f>
        <v>3 TRACK 2 SHUTTER SLIDING DOOR</v>
      </c>
      <c r="G28" s="187" t="str">
        <f>Pricing!N16</f>
        <v>17.52MM</v>
      </c>
      <c r="H28" s="187" t="str">
        <f>Pricing!F16</f>
        <v>2F - GUEST BEDROOM</v>
      </c>
      <c r="I28" s="216" t="str">
        <f>Pricing!E16</f>
        <v>SS</v>
      </c>
      <c r="J28" s="216">
        <f>Pricing!G16</f>
        <v>1245</v>
      </c>
      <c r="K28" s="216">
        <f>Pricing!H16</f>
        <v>1749</v>
      </c>
      <c r="L28" s="216">
        <f>Pricing!I16</f>
        <v>2</v>
      </c>
      <c r="M28" s="188">
        <f t="shared" si="1"/>
        <v>4.35501</v>
      </c>
      <c r="N28" s="189">
        <f>'Cost Calculation'!AS20</f>
        <v>218441.35157358792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W13</v>
      </c>
      <c r="E29" s="187" t="str">
        <f>Pricing!C17</f>
        <v>M15000</v>
      </c>
      <c r="F29" s="187" t="str">
        <f>Pricing!D17</f>
        <v>FIXED GLASS IN SHAPE</v>
      </c>
      <c r="G29" s="187" t="str">
        <f>Pricing!N17</f>
        <v>8MM</v>
      </c>
      <c r="H29" s="187" t="str">
        <f>Pricing!F17</f>
        <v>2F - GUEST BEDROOM</v>
      </c>
      <c r="I29" s="216" t="str">
        <f>Pricing!E17</f>
        <v>NO</v>
      </c>
      <c r="J29" s="216">
        <f>Pricing!G17</f>
        <v>2186</v>
      </c>
      <c r="K29" s="216">
        <f>Pricing!H17</f>
        <v>1627</v>
      </c>
      <c r="L29" s="216">
        <f>Pricing!I17</f>
        <v>1</v>
      </c>
      <c r="M29" s="188">
        <f t="shared" si="1"/>
        <v>3.556622</v>
      </c>
      <c r="N29" s="189">
        <f>'Cost Calculation'!AS21</f>
        <v>33636.818647950167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W14</v>
      </c>
      <c r="E30" s="187" t="str">
        <f>Pricing!C18</f>
        <v>M14600</v>
      </c>
      <c r="F30" s="187" t="str">
        <f>Pricing!D18</f>
        <v>3 TRACK 2 SHUTTER SLIDING DOOR</v>
      </c>
      <c r="G30" s="187" t="str">
        <f>Pricing!N18</f>
        <v>17.52MM</v>
      </c>
      <c r="H30" s="187" t="str">
        <f>Pricing!F18</f>
        <v>2F - PLAYROOM</v>
      </c>
      <c r="I30" s="216" t="str">
        <f>Pricing!E18</f>
        <v>SS</v>
      </c>
      <c r="J30" s="216">
        <f>Pricing!G18</f>
        <v>3015</v>
      </c>
      <c r="K30" s="216">
        <f>Pricing!H18</f>
        <v>2193</v>
      </c>
      <c r="L30" s="216">
        <f>Pricing!I18</f>
        <v>1</v>
      </c>
      <c r="M30" s="188">
        <f t="shared" si="1"/>
        <v>6.6118949999999996</v>
      </c>
      <c r="N30" s="189">
        <f>'Cost Calculation'!AS22</f>
        <v>203960.19635194255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W15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17.52MM</v>
      </c>
      <c r="H31" s="187" t="str">
        <f>Pricing!F19</f>
        <v>2F - PLAYROOM</v>
      </c>
      <c r="I31" s="216" t="str">
        <f>Pricing!E19</f>
        <v>NO</v>
      </c>
      <c r="J31" s="216">
        <f>Pricing!G19</f>
        <v>1174</v>
      </c>
      <c r="K31" s="216">
        <f>Pricing!H19</f>
        <v>2175</v>
      </c>
      <c r="L31" s="216">
        <f>Pricing!I19</f>
        <v>1</v>
      </c>
      <c r="M31" s="188">
        <f t="shared" si="1"/>
        <v>2.5534500000000002</v>
      </c>
      <c r="N31" s="189">
        <f>'Cost Calculation'!AS23</f>
        <v>48861.184325367736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W16</v>
      </c>
      <c r="E32" s="187" t="str">
        <f>Pricing!C20</f>
        <v>M15000</v>
      </c>
      <c r="F32" s="187" t="str">
        <f>Pricing!D20</f>
        <v>FIXED GLASS</v>
      </c>
      <c r="G32" s="187" t="str">
        <f>Pricing!N20</f>
        <v>17.52MM</v>
      </c>
      <c r="H32" s="187" t="str">
        <f>Pricing!F20</f>
        <v>2F - PLAYROOM</v>
      </c>
      <c r="I32" s="216" t="str">
        <f>Pricing!E20</f>
        <v>NO</v>
      </c>
      <c r="J32" s="216">
        <f>Pricing!G20</f>
        <v>1566</v>
      </c>
      <c r="K32" s="216">
        <f>Pricing!H20</f>
        <v>2182</v>
      </c>
      <c r="L32" s="216">
        <f>Pricing!I20</f>
        <v>1</v>
      </c>
      <c r="M32" s="188">
        <f t="shared" si="1"/>
        <v>3.4170120000000002</v>
      </c>
      <c r="N32" s="189">
        <f>'Cost Calculation'!AS24</f>
        <v>60298.869669304651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18</v>
      </c>
      <c r="M116" s="191">
        <f>SUM(M16:M115)</f>
        <v>115.465678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2840509</v>
      </c>
      <c r="O117" s="95">
        <f>N117/SUM(M116)</f>
        <v>24600.461792637638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511292</v>
      </c>
      <c r="O118" s="95">
        <f>N118/SUM(M116)</f>
        <v>4428.0864136960254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3351801</v>
      </c>
      <c r="O119" s="95">
        <f>N119/SUM(M116)</f>
        <v>29028.54820633366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2285.4386652394687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42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18" t="s">
        <v>207</v>
      </c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20"/>
      <c r="O124" s="138"/>
    </row>
    <row r="125" spans="2:15" s="93" customFormat="1" ht="24.95" customHeight="1">
      <c r="B125" s="409">
        <v>1</v>
      </c>
      <c r="C125" s="410"/>
      <c r="D125" s="411" t="s">
        <v>462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463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 t="s">
        <v>459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4</v>
      </c>
      <c r="C128" s="410"/>
      <c r="D128" s="411" t="s">
        <v>460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5" s="139" customFormat="1" ht="30" customHeight="1">
      <c r="B129" s="418" t="s">
        <v>140</v>
      </c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20"/>
      <c r="O129" s="138"/>
    </row>
    <row r="130" spans="2:15" s="93" customFormat="1" ht="24.95" customHeight="1">
      <c r="B130" s="409">
        <v>1</v>
      </c>
      <c r="C130" s="410"/>
      <c r="D130" s="411" t="s">
        <v>364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5" s="93" customFormat="1" ht="24.95" customHeight="1">
      <c r="B131" s="409">
        <v>2</v>
      </c>
      <c r="C131" s="410"/>
      <c r="D131" s="411" t="s">
        <v>389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5" s="93" customFormat="1" ht="24.95" customHeight="1">
      <c r="B132" s="409">
        <v>3</v>
      </c>
      <c r="C132" s="410"/>
      <c r="D132" s="438" t="s">
        <v>405</v>
      </c>
      <c r="E132" s="438"/>
      <c r="F132" s="438"/>
      <c r="G132" s="438"/>
      <c r="H132" s="438"/>
      <c r="I132" s="438"/>
      <c r="J132" s="438"/>
      <c r="K132" s="438"/>
      <c r="L132" s="438"/>
      <c r="M132" s="438"/>
      <c r="N132" s="439"/>
    </row>
    <row r="133" spans="2:15" s="139" customFormat="1" ht="30" customHeight="1">
      <c r="B133" s="415" t="s">
        <v>141</v>
      </c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</row>
    <row r="134" spans="2:15" s="93" customFormat="1" ht="24.95" customHeight="1">
      <c r="B134" s="409">
        <v>1</v>
      </c>
      <c r="C134" s="410"/>
      <c r="D134" s="411" t="s">
        <v>142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5" s="93" customFormat="1" ht="24.95" customHeight="1">
      <c r="B135" s="409">
        <v>2</v>
      </c>
      <c r="C135" s="410"/>
      <c r="D135" s="411" t="s">
        <v>143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5" s="93" customFormat="1" ht="24.95" customHeight="1">
      <c r="B136" s="409">
        <v>3</v>
      </c>
      <c r="C136" s="410"/>
      <c r="D136" s="411" t="s">
        <v>144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5" s="139" customFormat="1" ht="30" customHeight="1">
      <c r="B137" s="415" t="s">
        <v>145</v>
      </c>
      <c r="C137" s="416"/>
      <c r="D137" s="416"/>
      <c r="E137" s="416"/>
      <c r="F137" s="416"/>
      <c r="G137" s="416"/>
      <c r="H137" s="416"/>
      <c r="I137" s="416"/>
      <c r="J137" s="416"/>
      <c r="K137" s="416"/>
      <c r="L137" s="416"/>
      <c r="M137" s="416"/>
      <c r="N137" s="417"/>
    </row>
    <row r="138" spans="2:15" s="139" customFormat="1" ht="30" customHeight="1">
      <c r="B138" s="435" t="s">
        <v>146</v>
      </c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7"/>
    </row>
    <row r="139" spans="2:15" s="93" customFormat="1" ht="24.95" customHeight="1">
      <c r="B139" s="409">
        <v>1</v>
      </c>
      <c r="C139" s="410"/>
      <c r="D139" s="411" t="s">
        <v>147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5" s="93" customFormat="1" ht="24.95" customHeight="1">
      <c r="B140" s="409">
        <v>2</v>
      </c>
      <c r="C140" s="410"/>
      <c r="D140" s="411" t="s">
        <v>402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5" s="93" customFormat="1" ht="24.95" customHeight="1">
      <c r="B141" s="409">
        <v>3</v>
      </c>
      <c r="C141" s="410"/>
      <c r="D141" s="411" t="s">
        <v>148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5" s="93" customFormat="1" ht="24.95" customHeight="1">
      <c r="B142" s="409">
        <v>4</v>
      </c>
      <c r="C142" s="410"/>
      <c r="D142" s="411" t="s">
        <v>149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5" s="93" customFormat="1" ht="24.95" customHeight="1">
      <c r="B143" s="409">
        <v>5</v>
      </c>
      <c r="C143" s="410"/>
      <c r="D143" s="411" t="s">
        <v>150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5" s="93" customFormat="1" ht="24.95" customHeight="1">
      <c r="B144" s="409">
        <v>6</v>
      </c>
      <c r="C144" s="410"/>
      <c r="D144" s="411" t="s">
        <v>151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140" customFormat="1" ht="30" customHeight="1">
      <c r="B145" s="415" t="s">
        <v>152</v>
      </c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7"/>
    </row>
    <row r="146" spans="2:14" s="93" customFormat="1" ht="24.95" customHeight="1">
      <c r="B146" s="409">
        <v>1</v>
      </c>
      <c r="C146" s="410"/>
      <c r="D146" s="411" t="s">
        <v>153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135" customHeight="1">
      <c r="B147" s="409">
        <v>2</v>
      </c>
      <c r="C147" s="410"/>
      <c r="D147" s="421" t="s">
        <v>154</v>
      </c>
      <c r="E147" s="422"/>
      <c r="F147" s="422"/>
      <c r="G147" s="422"/>
      <c r="H147" s="422"/>
      <c r="I147" s="422"/>
      <c r="J147" s="422"/>
      <c r="K147" s="422"/>
      <c r="L147" s="422"/>
      <c r="M147" s="422"/>
      <c r="N147" s="423"/>
    </row>
    <row r="148" spans="2:14" s="93" customFormat="1" ht="24.95" customHeight="1">
      <c r="B148" s="409">
        <v>3</v>
      </c>
      <c r="C148" s="410"/>
      <c r="D148" s="411" t="s">
        <v>155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24.95" customHeight="1">
      <c r="B149" s="409">
        <v>4</v>
      </c>
      <c r="C149" s="410"/>
      <c r="D149" s="411" t="s">
        <v>156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140" customFormat="1" ht="30" customHeight="1">
      <c r="B150" s="415" t="s">
        <v>157</v>
      </c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7"/>
    </row>
    <row r="151" spans="2:14" s="93" customFormat="1" ht="24.95" customHeight="1">
      <c r="B151" s="409">
        <v>1</v>
      </c>
      <c r="C151" s="410"/>
      <c r="D151" s="411" t="s">
        <v>158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55.9" customHeight="1">
      <c r="B152" s="409">
        <v>2</v>
      </c>
      <c r="C152" s="410"/>
      <c r="D152" s="421" t="s">
        <v>159</v>
      </c>
      <c r="E152" s="422"/>
      <c r="F152" s="422"/>
      <c r="G152" s="422"/>
      <c r="H152" s="422"/>
      <c r="I152" s="422"/>
      <c r="J152" s="422"/>
      <c r="K152" s="422"/>
      <c r="L152" s="422"/>
      <c r="M152" s="422"/>
      <c r="N152" s="423"/>
    </row>
    <row r="153" spans="2:14" s="140" customFormat="1" ht="30" customHeight="1">
      <c r="B153" s="415" t="s">
        <v>160</v>
      </c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7"/>
    </row>
    <row r="154" spans="2:14" s="93" customFormat="1" ht="24.95" customHeight="1">
      <c r="B154" s="409">
        <v>1</v>
      </c>
      <c r="C154" s="410"/>
      <c r="D154" s="440" t="s">
        <v>161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24.95" customHeight="1">
      <c r="B155" s="409">
        <v>2</v>
      </c>
      <c r="C155" s="410"/>
      <c r="D155" s="440" t="s">
        <v>162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49.9" customHeight="1">
      <c r="B156" s="409">
        <v>3</v>
      </c>
      <c r="C156" s="410"/>
      <c r="D156" s="445" t="s">
        <v>163</v>
      </c>
      <c r="E156" s="446"/>
      <c r="F156" s="446"/>
      <c r="G156" s="446"/>
      <c r="H156" s="446"/>
      <c r="I156" s="446"/>
      <c r="J156" s="446"/>
      <c r="K156" s="446"/>
      <c r="L156" s="446"/>
      <c r="M156" s="446"/>
      <c r="N156" s="447"/>
    </row>
    <row r="157" spans="2:14" s="93" customFormat="1" ht="24.95" customHeight="1">
      <c r="B157" s="409">
        <v>4</v>
      </c>
      <c r="C157" s="410"/>
      <c r="D157" s="440" t="s">
        <v>164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140" customFormat="1" ht="30" customHeight="1">
      <c r="B158" s="415" t="s">
        <v>165</v>
      </c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7"/>
    </row>
    <row r="159" spans="2:14" s="93" customFormat="1" ht="24.95" customHeight="1">
      <c r="B159" s="409">
        <v>1</v>
      </c>
      <c r="C159" s="410"/>
      <c r="D159" s="440" t="s">
        <v>166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09">
        <v>2</v>
      </c>
      <c r="C160" s="410"/>
      <c r="D160" s="440" t="s">
        <v>167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09">
        <v>3</v>
      </c>
      <c r="C161" s="410"/>
      <c r="D161" s="440" t="s">
        <v>168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09">
        <v>4</v>
      </c>
      <c r="C162" s="410"/>
      <c r="D162" s="440" t="s">
        <v>401</v>
      </c>
      <c r="E162" s="440"/>
      <c r="F162" s="440"/>
      <c r="G162" s="440"/>
      <c r="H162" s="440"/>
      <c r="I162" s="440"/>
      <c r="J162" s="440"/>
      <c r="K162" s="440"/>
      <c r="L162" s="440"/>
      <c r="M162" s="440"/>
      <c r="N162" s="441"/>
    </row>
    <row r="163" spans="2:14" s="93" customFormat="1" ht="24.95" customHeight="1">
      <c r="B163" s="442" t="s">
        <v>240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24.95" customHeight="1">
      <c r="B164" s="442" t="s">
        <v>241</v>
      </c>
      <c r="C164" s="443"/>
      <c r="D164" s="443"/>
      <c r="E164" s="443"/>
      <c r="F164" s="443"/>
      <c r="G164" s="443"/>
      <c r="H164" s="443"/>
      <c r="I164" s="443"/>
      <c r="J164" s="443"/>
      <c r="K164" s="443"/>
      <c r="L164" s="443"/>
      <c r="M164" s="443"/>
      <c r="N164" s="444"/>
    </row>
    <row r="165" spans="2:14" s="93" customFormat="1" ht="41.25" customHeight="1">
      <c r="B165" s="460"/>
      <c r="C165" s="461"/>
      <c r="D165" s="461"/>
      <c r="E165" s="461"/>
      <c r="F165" s="461"/>
      <c r="G165" s="461"/>
      <c r="H165" s="461"/>
      <c r="I165" s="461"/>
      <c r="J165" s="461"/>
      <c r="K165" s="461"/>
      <c r="L165" s="461"/>
      <c r="M165" s="461"/>
      <c r="N165" s="462"/>
    </row>
    <row r="166" spans="2:14" s="93" customFormat="1" ht="39.950000000000003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41.25" customHeight="1">
      <c r="B167" s="463"/>
      <c r="C167" s="464"/>
      <c r="D167" s="464"/>
      <c r="E167" s="464"/>
      <c r="F167" s="464"/>
      <c r="G167" s="464"/>
      <c r="H167" s="464"/>
      <c r="I167" s="464"/>
      <c r="J167" s="464"/>
      <c r="K167" s="464"/>
      <c r="L167" s="464"/>
      <c r="M167" s="464"/>
      <c r="N167" s="465"/>
    </row>
    <row r="168" spans="2:14" s="93" customFormat="1" ht="39.950000000000003" customHeight="1" thickBot="1">
      <c r="B168" s="466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8"/>
    </row>
    <row r="169" spans="2:14" s="93" customFormat="1" ht="30" customHeight="1" thickTop="1">
      <c r="B169" s="450" t="s">
        <v>110</v>
      </c>
      <c r="C169" s="451"/>
      <c r="D169" s="451"/>
      <c r="E169" s="454"/>
      <c r="F169" s="455"/>
      <c r="G169" s="455"/>
      <c r="H169" s="455"/>
      <c r="I169" s="455"/>
      <c r="J169" s="455"/>
      <c r="K169" s="455"/>
      <c r="L169" s="456"/>
      <c r="M169" s="451" t="s">
        <v>205</v>
      </c>
      <c r="N169" s="452"/>
    </row>
    <row r="170" spans="2:14" s="93" customFormat="1" ht="33" customHeight="1" thickBot="1">
      <c r="B170" s="453" t="s">
        <v>107</v>
      </c>
      <c r="C170" s="448"/>
      <c r="D170" s="448"/>
      <c r="E170" s="457"/>
      <c r="F170" s="458"/>
      <c r="G170" s="458"/>
      <c r="H170" s="458"/>
      <c r="I170" s="458"/>
      <c r="J170" s="458"/>
      <c r="K170" s="458"/>
      <c r="L170" s="459"/>
      <c r="M170" s="448" t="s">
        <v>108</v>
      </c>
      <c r="N170" s="44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9:N129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0:C130"/>
    <mergeCell ref="D130:N130"/>
    <mergeCell ref="B132:C132"/>
    <mergeCell ref="D132:N132"/>
    <mergeCell ref="B136:C136"/>
    <mergeCell ref="D136:N136"/>
    <mergeCell ref="B134:C134"/>
    <mergeCell ref="D134:N134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26:N126"/>
    <mergeCell ref="B125:C125"/>
    <mergeCell ref="D125:N12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7:C127"/>
    <mergeCell ref="D127:N127"/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43676</v>
      </c>
      <c r="F2" s="517" t="s">
        <v>245</v>
      </c>
      <c r="G2" s="517"/>
    </row>
    <row r="3" spans="3:13">
      <c r="C3" s="297" t="s">
        <v>126</v>
      </c>
      <c r="D3" s="518" t="str">
        <f>QUOTATION!F7</f>
        <v>Mr. Prashanth</v>
      </c>
      <c r="E3" s="518"/>
      <c r="F3" s="521" t="s">
        <v>246</v>
      </c>
      <c r="G3" s="522">
        <f>QUOTATION!N8</f>
        <v>43676</v>
      </c>
    </row>
    <row r="4" spans="3:13">
      <c r="C4" s="297" t="s">
        <v>243</v>
      </c>
      <c r="D4" s="519" t="str">
        <f>QUOTATION!M6</f>
        <v>ABPL-DE-19.20-2131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Ms. Rachana: 9154030271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Wood Effect</v>
      </c>
      <c r="E8" s="518"/>
      <c r="F8" s="521"/>
      <c r="G8" s="523"/>
    </row>
    <row r="9" spans="3:13">
      <c r="C9" s="297" t="s">
        <v>178</v>
      </c>
      <c r="D9" s="518" t="str">
        <f>QUOTATION!I10</f>
        <v>Black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Nikhil</v>
      </c>
      <c r="E11" s="518"/>
      <c r="F11" s="521"/>
      <c r="G11" s="523"/>
    </row>
    <row r="12" spans="3:13">
      <c r="C12" s="297" t="s">
        <v>244</v>
      </c>
      <c r="D12" s="520">
        <f>QUOTATION!M7</f>
        <v>43675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7090.22</v>
      </c>
      <c r="F14" s="205"/>
      <c r="G14" s="206">
        <f>E14</f>
        <v>7090.22</v>
      </c>
    </row>
    <row r="15" spans="3:13">
      <c r="C15" s="194" t="s">
        <v>235</v>
      </c>
      <c r="D15" s="296">
        <f>'Changable Values'!D4</f>
        <v>83</v>
      </c>
      <c r="E15" s="199">
        <f>E14*D15</f>
        <v>588488.26</v>
      </c>
      <c r="F15" s="205"/>
      <c r="G15" s="207">
        <f>E15</f>
        <v>588488.26</v>
      </c>
    </row>
    <row r="16" spans="3:13">
      <c r="C16" s="195" t="s">
        <v>97</v>
      </c>
      <c r="D16" s="200">
        <f>'Changable Values'!D5</f>
        <v>0.1</v>
      </c>
      <c r="E16" s="199">
        <f>E15*D16</f>
        <v>58848.826000000001</v>
      </c>
      <c r="F16" s="208">
        <f>'Changable Values'!D5</f>
        <v>0.1</v>
      </c>
      <c r="G16" s="207">
        <f>G15*F16</f>
        <v>58848.826000000001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71207.079460000008</v>
      </c>
      <c r="F17" s="208">
        <f>'Changable Values'!D6</f>
        <v>0.11</v>
      </c>
      <c r="G17" s="207">
        <f>SUM(G15:G16)*F17</f>
        <v>71207.079460000008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3592.7208273000001</v>
      </c>
      <c r="F18" s="208">
        <f>'Changable Values'!D7</f>
        <v>5.0000000000000001E-3</v>
      </c>
      <c r="G18" s="207">
        <f>SUM(G15:G17)*F18</f>
        <v>3592.7208273000001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7221.3688628730006</v>
      </c>
      <c r="F19" s="208">
        <f>'Changable Values'!D8</f>
        <v>0.01</v>
      </c>
      <c r="G19" s="207">
        <f>SUM(G15:G18)*F19</f>
        <v>7221.3688628730006</v>
      </c>
    </row>
    <row r="20" spans="3:7">
      <c r="C20" s="195" t="s">
        <v>99</v>
      </c>
      <c r="D20" s="201"/>
      <c r="E20" s="199">
        <f>SUM(E15:E19)</f>
        <v>729358.25515017298</v>
      </c>
      <c r="F20" s="208"/>
      <c r="G20" s="207">
        <f>SUM(G15:G19)</f>
        <v>729358.25515017298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10940.373827252593</v>
      </c>
      <c r="F21" s="208">
        <f>'Changable Values'!D9</f>
        <v>1.4999999999999999E-2</v>
      </c>
      <c r="G21" s="207">
        <f>G20*F21</f>
        <v>10940.373827252593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876308.83347300021</v>
      </c>
      <c r="F23" s="209"/>
      <c r="G23" s="207">
        <f t="shared" si="0"/>
        <v>876308.83347300021</v>
      </c>
    </row>
    <row r="24" spans="3:7">
      <c r="C24" s="195" t="s">
        <v>230</v>
      </c>
      <c r="D24" s="198"/>
      <c r="E24" s="199">
        <f>'Cost Calculation'!AH111</f>
        <v>24662.864262295083</v>
      </c>
      <c r="F24" s="209"/>
      <c r="G24" s="207">
        <f t="shared" si="0"/>
        <v>24662.864262295083</v>
      </c>
    </row>
    <row r="25" spans="3:7">
      <c r="C25" s="196" t="s">
        <v>238</v>
      </c>
      <c r="D25" s="198"/>
      <c r="E25" s="199">
        <f>'Cost Calculation'!AJ109</f>
        <v>19320.067868399998</v>
      </c>
      <c r="F25" s="209"/>
      <c r="G25" s="207">
        <f t="shared" si="0"/>
        <v>19320.067868399998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124287.25579919998</v>
      </c>
      <c r="F27" s="209"/>
      <c r="G27" s="207">
        <f t="shared" si="0"/>
        <v>124287.25579919998</v>
      </c>
    </row>
    <row r="28" spans="3:7">
      <c r="C28" s="195" t="s">
        <v>88</v>
      </c>
      <c r="D28" s="198"/>
      <c r="E28" s="199">
        <f>'Cost Calculation'!AN109</f>
        <v>99429.804639359994</v>
      </c>
      <c r="F28" s="209"/>
      <c r="G28" s="207">
        <f t="shared" si="0"/>
        <v>99429.804639359994</v>
      </c>
    </row>
    <row r="29" spans="3:7">
      <c r="C29" s="293" t="s">
        <v>379</v>
      </c>
      <c r="D29" s="294"/>
      <c r="E29" s="295">
        <f>SUM(E20:E28)</f>
        <v>1884307.4550196806</v>
      </c>
      <c r="F29" s="209"/>
      <c r="G29" s="207">
        <f>SUM(G20:G21,G24)</f>
        <v>764961.49323972058</v>
      </c>
    </row>
    <row r="30" spans="3:7">
      <c r="C30" s="293" t="s">
        <v>380</v>
      </c>
      <c r="D30" s="294"/>
      <c r="E30" s="295">
        <f>E29/E33</f>
        <v>1516.090642522505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956201.86654965044</v>
      </c>
      <c r="F31" s="214">
        <f>'Changable Values'!D23</f>
        <v>1.25</v>
      </c>
      <c r="G31" s="207">
        <f>G29*F31</f>
        <v>956201.86654965067</v>
      </c>
    </row>
    <row r="32" spans="3:7">
      <c r="C32" s="290" t="s">
        <v>5</v>
      </c>
      <c r="D32" s="291"/>
      <c r="E32" s="292">
        <f>E31+E29</f>
        <v>2840509.321569331</v>
      </c>
      <c r="F32" s="205"/>
      <c r="G32" s="207">
        <f>SUM(G25:G31,G22:G23)</f>
        <v>2840509.3215693315</v>
      </c>
    </row>
    <row r="33" spans="3:7">
      <c r="C33" s="300" t="s">
        <v>231</v>
      </c>
      <c r="D33" s="301"/>
      <c r="E33" s="308">
        <f>'Cost Calculation'!K109</f>
        <v>1242.8725579919999</v>
      </c>
      <c r="F33" s="210"/>
      <c r="G33" s="211">
        <f>E33</f>
        <v>1242.8725579919999</v>
      </c>
    </row>
    <row r="34" spans="3:7">
      <c r="C34" s="302" t="s">
        <v>9</v>
      </c>
      <c r="D34" s="303"/>
      <c r="E34" s="304">
        <f>QUOTATION!L116</f>
        <v>18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2285.4389239702036</v>
      </c>
      <c r="F35" s="212"/>
      <c r="G35" s="213">
        <f>G32/(G33)</f>
        <v>2285.4389239702041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2019-07-30T05:07:22Z</cp:lastPrinted>
  <dcterms:created xsi:type="dcterms:W3CDTF">2010-12-18T06:34:46Z</dcterms:created>
  <dcterms:modified xsi:type="dcterms:W3CDTF">2019-08-05T06:14:22Z</dcterms:modified>
</cp:coreProperties>
</file>