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6" i="160" l="1"/>
  <c r="M30" i="160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<sst xmlns="http://schemas.openxmlformats.org/spreadsheetml/2006/main" count="1952" uniqueCount="442">
  <si>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</si>
  <si>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</si>
  <si>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</si>
  <si>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</si>
  <si>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</si>
  <si>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</si>
  <si>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</si>
  <si>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</si>
  <si>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</si>
  <si>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</si>
  <si>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</si>
  <si>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</si>
  <si>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</si>
  <si>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</si>
  <si>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</si>
  <si>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</si>
  <si>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</si>
  <si>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</si>
  <si>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</si>
  <si>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</si>
  <si>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</si>
  <si>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</si>
  <si>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</si>
  <si>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</si>
  <si>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</si>
  <si>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</si>
  <si>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</si>
  <si>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</si>
  <si>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</si>
  <si>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</si>
  <si>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</si>
  <si>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</si>
  <si>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</si>
  <si>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</si>
  <si>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</si>
  <si>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</si>
  <si>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</si>
  <si>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</si>
  <si>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</si>
  <si>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</si>
  <si>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</si>
  <si>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</si>
  <si>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</si>
  <si>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</si>
  <si>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</si>
  <si>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</si>
  <si>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</si>
  <si>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</si>
  <si>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</si>
  <si>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</si>
  <si>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</si>
  <si>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</si>
  <si>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</si>
  <si>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</si>
  <si>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</si>
  <si>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</si>
  <si>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</si>
  <si>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</si>
  <si>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</si>
  <si>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</si>
  <si>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</si>
  <si>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</si>
  <si>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</si>
  <si>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</si>
  <si>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</si>
  <si>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</si>
  <si>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</si>
  <si>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</si>
  <si>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</si>
  <si>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</si>
  <si>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</si>
  <si>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</si>
  <si>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</si>
  <si>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</si>
  <si>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</si>
  <si>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</si>
  <si>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</si>
  <si>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</si>
  <si>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</si>
  <si>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</si>
  <si>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</si>
  <si>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</si>
  <si>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</si>
  <si>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</si>
  <si>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</si>
  <si>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</si>
  <si>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</si>
  <si>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</si>
  <si>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</si>
  <si>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</si>
  <si>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</si>
  <si>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</si>
  <si>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</si>
  <si>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</si>
  <si>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</si>
  <si>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</si>
  <si>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</si>
  <si>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</si>
  <si>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</si>
  <si>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</si>
  <si>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</si>
  <si>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</si>
  <si>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</si>
  <si>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</si>
  <si>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</si>
  <si>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</si>
  <si>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</si>
  <si>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</si>
  <si>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</si>
  <si>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</si>
  <si>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</si>
  <si>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</si>
  <si>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</si>
  <si>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</si>
  <si>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</si>
  <si>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</si>
  <si>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</si>
  <si>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</si>
  <si>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</si>
  <si>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</si>
  <si>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</si>
  <si>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</si>
  <si>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</si>
  <si>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</si>
  <si>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</si>
  <si>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</si>
  <si>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</si>
  <si>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</si>
  <si>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</si>
  <si>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</si>
  <si>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</si>
  <si>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</si>
  <si>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</si>
  <si>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</si>
  <si>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</si>
  <si>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</si>
  <si>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</si>
  <si>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</si>
  <si>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</si>
  <si>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</si>
  <si>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</si>
  <si>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</si>
  <si>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</si>
  <si>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</si>
  <si>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</si>
  <si>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</si>
  <si>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</si>
  <si>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</si>
  <si>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</si>
  <si>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</si>
  <si>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</si>
  <si>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</si>
  <si>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</si>
  <si>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</si>
  <si>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</si>
  <si>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</si>
  <si>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</si>
  <si>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</si>
  <si>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</si>
  <si>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</si>
  <si>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</si>
  <si>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</si>
  <si>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</si>
  <si>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</si>
  <si>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</si>
  <si>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</si>
  <si>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</si>
  <si>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</si>
  <si>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</si>
  <si>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</si>
  <si>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</si>
  <si>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</si>
  <si>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</si>
  <si>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</si>
  <si>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</si>
  <si>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</si>
  <si>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</si>
  <si>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</si>
  <si>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</si>
  <si>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</si>
  <si>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</si>
  <si>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</si>
  <si>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</si>
  <si>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</si>
  <si>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</si>
  <si>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</si>
  <si>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</si>
  <si>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</si>
  <si>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</si>
  <si>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</si>
  <si>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</si>
  <si>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</si>
  <si>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</si>
  <si>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</si>
  <si>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</si>
  <si>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</si>
  <si>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</si>
  <si>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</si>
  <si>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</si>
  <si>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</si>
  <si>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</si>
  <si>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</si>
  <si>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</si>
  <si>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</si>
  <si>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</si>
  <si>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</si>
  <si>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</si>
  <si>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</si>
  <si>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</si>
  <si>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</si>
  <si>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</si>
  <si>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</si>
  <si>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</si>
  <si>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</si>
  <si>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</si>
  <si>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</si>
  <si>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</si>
  <si>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</si>
  <si>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</si>
  <si>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</si>
  <si>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</si>
  <si>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</si>
  <si>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</si>
  <si>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</si>
  <si>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</si>
  <si>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</si>
  <si>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</si>
  <si>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</si>
  <si>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</si>
  <si>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</si>
  <si>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</si>
  <si>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</si>
  <si>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</si>
  <si>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</si>
  <si>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</si>
  <si>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</si>
  <si>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</si>
  <si>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</si>
  <si>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</si>
  <si>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</si>
  <si>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</si>
  <si>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</si>
  <si>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</si>
  <si>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</si>
  <si>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</si>
  <si>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</si>
  <si>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</si>
  <si>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</si>
  <si>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</si>
  <si>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</si>
  <si>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</si>
  <si>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</si>
  <si>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</si>
  <si>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</si>
  <si>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</si>
  <si>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</si>
  <si>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</si>
  <si>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</si>
  <si>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</si>
  <si>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</si>
  <si>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</si>
  <si>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</si>
  <si>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</si>
  <si>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</si>
  <si>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</si>
  <si>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</si>
  <si>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</si>
  <si>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</si>
  <si>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</si>
  <si>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</si>
  <si>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</si>
  <si>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</si>
  <si>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</si>
  <si>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</si>
  <si>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</si>
  <si>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</si>
  <si>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</si>
  <si>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</si>
  <si>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</si>
  <si>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</si>
  <si>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</si>
  <si>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</si>
  <si>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</si>
  <si>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</si>
  <si>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</si>
  <si>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</si>
  <si>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</si>
  <si>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</si>
  <si>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</si>
  <si>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</si>
  <si>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</si>
  <si>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</si>
  <si>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</si>
  <si>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</si>
  <si>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</si>
  <si>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</si>
  <si>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</si>
  <si>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</si>
  <si>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</si>
  <si>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</si>
  <si>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</si>
  <si>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</si>
  <si>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</si>
  <si>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</si>
  <si>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</si>
  <si>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</si>
  <si>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</si>
  <si>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</si>
  <si>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</si>
  <si>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</si>
  <si>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</si>
  <si>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</si>
  <si>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</si>
  <si>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</si>
  <si>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</si>
  <si>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</si>
  <si>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</si>
  <si>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</si>
  <si>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</si>
  <si>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</si>
  <si>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</si>
  <si>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</si>
  <si>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</si>
  <si>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</si>
  <si>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</si>
  <si>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</si>
  <si>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</si>
  <si>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</si>
  <si>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</si>
  <si>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</si>
  <si>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</si>
  <si>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</si>
  <si>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</si>
  <si>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</si>
  <si>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</si>
  <si>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</si>
  <si>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</si>
  <si>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</si>
  <si>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</si>
  <si>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</si>
  <si>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</si>
  <si>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</si>
  <si>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</si>
  <si>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</si>
  <si>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</si>
  <si>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</si>
  <si>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</si>
  <si>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</si>
  <si>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</si>
  <si>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</si>
  <si>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</si>
  <si>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</si>
  <si>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</si>
  <si>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</si>
  <si>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</si>
  <si>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</si>
  <si>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</si>
  <si>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</si>
  <si>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</si>
  <si>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</si>
  <si>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</si>
  <si>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</si>
  <si>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</si>
  <si>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</si>
  <si>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</si>
  <si>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</si>
  <si>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</si>
  <si>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</si>
  <si>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</si>
  <si>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</si>
  <si>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</si>
  <si>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</si>
  <si>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</si>
  <si>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</si>
  <si>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</si>
  <si>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</si>
  <si>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</si>
  <si>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</si>
  <si>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</si>
  <si>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</si>
  <si>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</si>
  <si>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</si>
  <si>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</si>
  <si>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</si>
  <si>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</si>
  <si>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</si>
  <si>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</si>
  <si>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</si>
  <si>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</si>
  <si>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</si>
  <si>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</si>
  <si>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</si>
  <si>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</si>
  <si>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</si>
  <si>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</si>
  <si>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</si>
  <si>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</si>
  <si>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</si>
  <si>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</si>
  <si>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</si>
  <si>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</si>
  <si>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</si>
  <si>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</si>
  <si>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</si>
  <si>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</si>
  <si>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</si>
  <si>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</si>
  <si>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</si>
  <si>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</si>
  <si>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</si>
  <si>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</si>
  <si>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</si>
  <si>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</si>
  <si>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</si>
  <si>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</si>
  <si>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</si>
  <si>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</si>
  <si>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</si>
  <si>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Inheritance Furniture &amp; Decor</t>
  </si>
  <si>
    <t>Hyderabad</t>
  </si>
  <si>
    <t>Ms. Rachana: 9154030271</t>
  </si>
  <si>
    <t>Anodized</t>
  </si>
  <si>
    <t>M14600</t>
  </si>
  <si>
    <t>8MM</t>
  </si>
  <si>
    <t>NA</t>
  </si>
  <si>
    <t>W1</t>
  </si>
  <si>
    <t>W2</t>
  </si>
  <si>
    <t>W3</t>
  </si>
  <si>
    <t>M15000</t>
  </si>
  <si>
    <t>SIDE HUNG WINDOW WITH TOP &amp; BOTTOM FIXED</t>
  </si>
  <si>
    <t>W4</t>
  </si>
  <si>
    <t>TOP HUNG WINDOW WITH TOP &amp; BOTTOM FIXED</t>
  </si>
  <si>
    <t>W5</t>
  </si>
  <si>
    <t>2 TOP HUNG WINDOWS WITH CENTER FIXED</t>
  </si>
  <si>
    <t>10mm :- 10mm Clear Toughened Glass (In client Scope)</t>
  </si>
  <si>
    <t>8mm :- 8mm Clear Toughened Glass (In client Scope)</t>
  </si>
  <si>
    <t>SS Mesh to install outside.</t>
  </si>
  <si>
    <t>ABPL-DE-19.20-2132-OP-2</t>
  </si>
  <si>
    <t>2 TRACK 2 SHUTTER SLIDING DOOR</t>
  </si>
  <si>
    <t>2 TRACK 2 SHUTTER SLIDING DOOR WITH 2 FIXED</t>
  </si>
  <si>
    <t>NO</t>
  </si>
  <si>
    <t>Glass Handling Charges are extra 15% on Total Glass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</si>
</sst>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tmp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629477</xdr:colOff>
      <xdr:row>41</xdr:row>
      <xdr:rowOff>107674</xdr:rowOff>
    </xdr:from>
    <xdr:to>
      <xdr:col>5</xdr:col>
      <xdr:colOff>1971260</xdr:colOff>
      <xdr:row>49</xdr:row>
      <xdr:rowOff>141482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7477" y="11521109"/>
          <a:ext cx="1341783" cy="2551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586409</xdr:colOff>
      <xdr:row>52</xdr:row>
      <xdr:rowOff>95664</xdr:rowOff>
    </xdr:from>
    <xdr:to>
      <xdr:col>5</xdr:col>
      <xdr:colOff>1938131</xdr:colOff>
      <xdr:row>60</xdr:row>
      <xdr:rowOff>163035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409" y="14822142"/>
          <a:ext cx="1351722" cy="258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213691</xdr:colOff>
      <xdr:row>63</xdr:row>
      <xdr:rowOff>266286</xdr:rowOff>
    </xdr:from>
    <xdr:to>
      <xdr:col>9</xdr:col>
      <xdr:colOff>364435</xdr:colOff>
      <xdr:row>70</xdr:row>
      <xdr:rowOff>46808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887" y="18305808"/>
          <a:ext cx="4656483" cy="1983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596347</xdr:colOff>
      <xdr:row>8</xdr:row>
      <xdr:rowOff>132522</xdr:rowOff>
    </xdr:from>
    <xdr:to>
      <xdr:col>6</xdr:col>
      <xdr:colOff>215348</xdr:colOff>
      <xdr:row>16</xdr:row>
      <xdr:rowOff>246877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47" y="1606826"/>
          <a:ext cx="1598544" cy="263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16627</xdr:colOff>
      <xdr:row>19</xdr:row>
      <xdr:rowOff>140805</xdr:rowOff>
    </xdr:from>
    <xdr:to>
      <xdr:col>7</xdr:col>
      <xdr:colOff>229120</xdr:colOff>
      <xdr:row>27</xdr:row>
      <xdr:rowOff>207066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627" y="4928153"/>
          <a:ext cx="2581319" cy="2584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30</xdr:row>
      <xdr:rowOff>99392</xdr:rowOff>
    </xdr:from>
    <xdr:to>
      <xdr:col>8</xdr:col>
      <xdr:colOff>430695</xdr:colOff>
      <xdr:row>38</xdr:row>
      <xdr:rowOff>219954</xdr:rowOff>
    </xdr:to>
    <xdr:grpSp>
      <xdr:nvGrpSpPr>
        <xdr:cNvPr id="16" name="Group 15"/>
        <xdr:cNvGrpSpPr/>
      </xdr:nvGrpSpPr>
      <xdr:grpSpPr>
        <a:xfrm>
          <a:off x="2840934" y="8199783"/>
          <a:ext cx="3271631" cy="2638475"/>
          <a:chOff x="2840934" y="8199783"/>
          <a:chExt cx="3271631" cy="2638475"/>
        </a:xfrm>
      </xdr:grpSpPr>
      <xdr:pic>
        <xdr:nvPicPr>
          <xdr:cNvPr id="13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0934" y="8199783"/>
            <a:ext cx="3271631" cy="26384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13" descr="Screen Clippi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7389" y="9003195"/>
            <a:ext cx="371527" cy="571580"/>
          </a:xfrm>
          <a:prstGeom prst="rect">
            <a:avLst/>
          </a:prstGeom>
        </xdr:spPr>
      </xdr:pic>
      <xdr:pic>
        <xdr:nvPicPr>
          <xdr:cNvPr id="15" name="Picture 14" descr="Screen Clippi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0" y="9003195"/>
            <a:ext cx="371527" cy="5715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31" sqref="C31:K3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ABPL-DE-19.20-2132-OP-2</v>
      </c>
      <c r="O2" s="541"/>
      <c r="P2" s="219" t="s">
        <v>257</v>
      </c>
    </row>
    <row r="3" spans="2:16">
      <c r="B3" s="218"/>
      <c r="C3" s="539" t="s">
        <v>126</v>
      </c>
      <c r="D3" s="539"/>
      <c r="E3" s="539"/>
      <c r="F3" s="541" t="str">
        <f>QUOTATION!F7</f>
        <v>Inheritance Furniture &amp; Decor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43675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180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43675</v>
      </c>
    </row>
    <row r="5" spans="2:16">
      <c r="B5" s="218"/>
      <c r="C5" s="539" t="s">
        <v>169</v>
      </c>
      <c r="D5" s="539"/>
      <c r="E5" s="539"/>
      <c r="F5" s="541" t="str">
        <f>QUOTATION!F9</f>
        <v>Ms. Rachana: 9154030271</v>
      </c>
      <c r="G5" s="541"/>
      <c r="H5" s="541"/>
      <c r="I5" s="541"/>
      <c r="J5" s="541"/>
      <c r="K5" s="541"/>
      <c r="L5" s="541"/>
      <c r="M5" s="284" t="s">
        <v>179</v>
      </c>
      <c r="N5" s="541" t="str">
        <f>QUOTATION!M9</f>
        <v>Nikhil</v>
      </c>
      <c r="O5" s="541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2" t="s">
        <v>178</v>
      </c>
      <c r="J6" s="542"/>
      <c r="K6" s="541" t="str">
        <f>QUOTATION!I10</f>
        <v>Black</v>
      </c>
      <c r="L6" s="541"/>
      <c r="M6" s="284"/>
      <c r="N6" s="542"/>
      <c r="O6" s="542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254</v>
      </c>
      <c r="D8" s="539"/>
      <c r="E8" s="286" t="str">
        <f>'BD Team'!B9</f>
        <v>W</v>
      </c>
      <c r="F8" s="288" t="s">
        <v>255</v>
      </c>
      <c r="G8" s="541" t="str">
        <f>'BD Team'!D9</f>
        <v>2 TRACK 2 SHUTTER SLIDING DOOR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NA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247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178</v>
      </c>
      <c r="M11" s="539"/>
      <c r="N11" s="541" t="str">
        <f>$K$6</f>
        <v>Black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248</v>
      </c>
      <c r="M12" s="539"/>
      <c r="N12" s="548" t="s">
        <v>256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249</v>
      </c>
      <c r="M13" s="539"/>
      <c r="N13" s="541" t="str">
        <f>CONCATENATE('BD Team'!H9," X ",'BD Team'!I9)</f>
        <v>1678 X 2440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250</v>
      </c>
      <c r="M14" s="539"/>
      <c r="N14" s="540">
        <f>'BD Team'!J9</f>
        <v>2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251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252</v>
      </c>
      <c r="M16" s="539"/>
      <c r="N16" s="541" t="str">
        <f>'BD Team'!E9</f>
        <v>8MM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253</v>
      </c>
      <c r="M17" s="539"/>
      <c r="N17" s="541" t="str">
        <f>'BD Team'!F9</f>
        <v>NO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254</v>
      </c>
      <c r="D19" s="539"/>
      <c r="E19" s="286" t="str">
        <f>'BD Team'!B10</f>
        <v>W1</v>
      </c>
      <c r="F19" s="288" t="s">
        <v>255</v>
      </c>
      <c r="G19" s="541" t="str">
        <f>'BD Team'!D10</f>
        <v>2 TRACK 2 SHUTTER SLIDING DOOR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NA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247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178</v>
      </c>
      <c r="M22" s="539"/>
      <c r="N22" s="541" t="str">
        <f>$K$6</f>
        <v>Black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248</v>
      </c>
      <c r="M23" s="539"/>
      <c r="N23" s="544" t="s">
        <v>256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249</v>
      </c>
      <c r="M24" s="539"/>
      <c r="N24" s="541" t="str">
        <f>CONCATENATE('BD Team'!H10," X ",'BD Team'!I10)</f>
        <v>2898 X 2440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250</v>
      </c>
      <c r="M25" s="539"/>
      <c r="N25" s="540">
        <f>'BD Team'!J10</f>
        <v>2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251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252</v>
      </c>
      <c r="M27" s="539"/>
      <c r="N27" s="541" t="str">
        <f>'BD Team'!E10</f>
        <v>10MM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253</v>
      </c>
      <c r="M28" s="539"/>
      <c r="N28" s="541" t="str">
        <f>'BD Team'!F10</f>
        <v>NO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254</v>
      </c>
      <c r="D30" s="539"/>
      <c r="E30" s="286" t="str">
        <f>'BD Team'!B11</f>
        <v>W2</v>
      </c>
      <c r="F30" s="288" t="s">
        <v>255</v>
      </c>
      <c r="G30" s="541" t="str">
        <f>'BD Team'!D11</f>
        <v>2 TRACK 2 SHUTTER SLIDING DOOR WITH 2 FIXED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NA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247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178</v>
      </c>
      <c r="M33" s="539"/>
      <c r="N33" s="541" t="str">
        <f>$K$6</f>
        <v>Black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248</v>
      </c>
      <c r="M34" s="539"/>
      <c r="N34" s="544" t="s">
        <v>256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249</v>
      </c>
      <c r="M35" s="539"/>
      <c r="N35" s="541" t="str">
        <f>CONCATENATE('BD Team'!H11," X ",'BD Team'!I11)</f>
        <v>3660 X 2440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250</v>
      </c>
      <c r="M36" s="539"/>
      <c r="N36" s="540">
        <f>'BD Team'!J11</f>
        <v>10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251</v>
      </c>
      <c r="M37" s="539"/>
      <c r="N37" s="541" t="str">
        <f>'BD Team'!C11</f>
        <v>M14600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252</v>
      </c>
      <c r="M38" s="539"/>
      <c r="N38" s="541" t="str">
        <f>'BD Team'!E11</f>
        <v>10MM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253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254</v>
      </c>
      <c r="D41" s="539"/>
      <c r="E41" s="286" t="str">
        <f>'BD Team'!B12</f>
        <v>W3</v>
      </c>
      <c r="F41" s="288" t="s">
        <v>255</v>
      </c>
      <c r="G41" s="541" t="str">
        <f>'BD Team'!D12</f>
        <v>SIDE HUNG WINDOW WITH TOP &amp; BOTTOM FIXED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NA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247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178</v>
      </c>
      <c r="M44" s="539"/>
      <c r="N44" s="541" t="str">
        <f>$K$6</f>
        <v>Black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248</v>
      </c>
      <c r="M45" s="539"/>
      <c r="N45" s="544" t="s">
        <v>256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249</v>
      </c>
      <c r="M46" s="539"/>
      <c r="N46" s="541" t="str">
        <f>CONCATENATE('BD Team'!H12," X ",'BD Team'!I12)</f>
        <v>915 X 2286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250</v>
      </c>
      <c r="M47" s="539"/>
      <c r="N47" s="540">
        <f>'BD Team'!J12</f>
        <v>8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251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252</v>
      </c>
      <c r="M49" s="539"/>
      <c r="N49" s="541" t="str">
        <f>'BD Team'!E12</f>
        <v>8MM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253</v>
      </c>
      <c r="M50" s="539"/>
      <c r="N50" s="541" t="str">
        <f>'BD Team'!F12</f>
        <v>NO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254</v>
      </c>
      <c r="D52" s="539"/>
      <c r="E52" s="286" t="str">
        <f>'BD Team'!B13</f>
        <v>W4</v>
      </c>
      <c r="F52" s="288" t="s">
        <v>255</v>
      </c>
      <c r="G52" s="541" t="str">
        <f>'BD Team'!D13</f>
        <v>TOP HUNG WINDOW WITH TOP &amp; BOTTOM FIXED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NA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247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178</v>
      </c>
      <c r="M55" s="539"/>
      <c r="N55" s="541" t="str">
        <f>$K$6</f>
        <v>Black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248</v>
      </c>
      <c r="M56" s="539"/>
      <c r="N56" s="544" t="s">
        <v>256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249</v>
      </c>
      <c r="M57" s="539"/>
      <c r="N57" s="541" t="str">
        <f>CONCATENATE('BD Team'!H13," X ",'BD Team'!I13)</f>
        <v>915 X 2286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250</v>
      </c>
      <c r="M58" s="539"/>
      <c r="N58" s="540">
        <f>'BD Team'!J13</f>
        <v>8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251</v>
      </c>
      <c r="M59" s="539"/>
      <c r="N59" s="541" t="str">
        <f>'BD Team'!C13</f>
        <v>M15000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252</v>
      </c>
      <c r="M60" s="539"/>
      <c r="N60" s="541" t="str">
        <f>'BD Team'!E13</f>
        <v>8MM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253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254</v>
      </c>
      <c r="D63" s="539"/>
      <c r="E63" s="286" t="str">
        <f>'BD Team'!B14</f>
        <v>W5</v>
      </c>
      <c r="F63" s="288" t="s">
        <v>255</v>
      </c>
      <c r="G63" s="541" t="str">
        <f>'BD Team'!D14</f>
        <v>2 TOP HUNG WINDOWS WITH CENTER FIXED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NA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247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178</v>
      </c>
      <c r="M66" s="539"/>
      <c r="N66" s="541" t="str">
        <f>$K$6</f>
        <v>Black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248</v>
      </c>
      <c r="M67" s="539"/>
      <c r="N67" s="544" t="s">
        <v>256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249</v>
      </c>
      <c r="M68" s="539"/>
      <c r="N68" s="541" t="str">
        <f>CONCATENATE('BD Team'!H14," X ",'BD Team'!I14)</f>
        <v>3965 X 1372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250</v>
      </c>
      <c r="M69" s="539"/>
      <c r="N69" s="540">
        <f>'BD Team'!J14</f>
        <v>2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251</v>
      </c>
      <c r="M70" s="539"/>
      <c r="N70" s="541" t="str">
        <f>'BD Team'!C14</f>
        <v>M15000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252</v>
      </c>
      <c r="M71" s="539"/>
      <c r="N71" s="541" t="str">
        <f>'BD Team'!E14</f>
        <v>8MM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253</v>
      </c>
      <c r="M72" s="539"/>
      <c r="N72" s="541" t="str">
        <f>'BD Team'!F14</f>
        <v>NO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254</v>
      </c>
      <c r="D74" s="539"/>
      <c r="E74" s="286">
        <f>'BD Team'!B15</f>
        <v>0</v>
      </c>
      <c r="F74" s="288" t="s">
        <v>255</v>
      </c>
      <c r="G74" s="541">
        <f>'BD Team'!D15</f>
        <v>0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>
        <f>'BD Team'!G15</f>
        <v>0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247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178</v>
      </c>
      <c r="M77" s="539"/>
      <c r="N77" s="541" t="str">
        <f>$K$6</f>
        <v>Black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248</v>
      </c>
      <c r="M78" s="539"/>
      <c r="N78" s="544" t="s">
        <v>256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249</v>
      </c>
      <c r="M79" s="539"/>
      <c r="N79" s="541" t="str">
        <f>CONCATENATE('BD Team'!H15," X ",'BD Team'!I15)</f>
        <v xml:space="preserve"> X 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250</v>
      </c>
      <c r="M80" s="539"/>
      <c r="N80" s="540">
        <f>'BD Team'!J15</f>
        <v>0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251</v>
      </c>
      <c r="M81" s="539"/>
      <c r="N81" s="541">
        <f>'BD Team'!C15</f>
        <v>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252</v>
      </c>
      <c r="M82" s="539"/>
      <c r="N82" s="541">
        <f>'BD Team'!E15</f>
        <v>0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253</v>
      </c>
      <c r="M83" s="539"/>
      <c r="N83" s="541">
        <f>'BD Team'!F15</f>
        <v>0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254</v>
      </c>
      <c r="D85" s="539"/>
      <c r="E85" s="286">
        <f>'BD Team'!B16</f>
        <v>0</v>
      </c>
      <c r="F85" s="288" t="s">
        <v>255</v>
      </c>
      <c r="G85" s="541">
        <f>'BD Team'!D16</f>
        <v>0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>
        <f>'BD Team'!G16</f>
        <v>0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247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178</v>
      </c>
      <c r="M88" s="539"/>
      <c r="N88" s="541" t="str">
        <f>$K$6</f>
        <v>Black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248</v>
      </c>
      <c r="M89" s="539"/>
      <c r="N89" s="544" t="s">
        <v>256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249</v>
      </c>
      <c r="M90" s="539"/>
      <c r="N90" s="541" t="str">
        <f>CONCATENATE('BD Team'!H16," X ",'BD Team'!I16)</f>
        <v xml:space="preserve"> X 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250</v>
      </c>
      <c r="M91" s="539"/>
      <c r="N91" s="540">
        <f>'BD Team'!J16</f>
        <v>0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251</v>
      </c>
      <c r="M92" s="539"/>
      <c r="N92" s="541">
        <f>'BD Team'!C16</f>
        <v>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252</v>
      </c>
      <c r="M93" s="539"/>
      <c r="N93" s="541">
        <f>'BD Team'!E16</f>
        <v>0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253</v>
      </c>
      <c r="M94" s="539"/>
      <c r="N94" s="541">
        <f>'BD Team'!F16</f>
        <v>0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254</v>
      </c>
      <c r="D96" s="539"/>
      <c r="E96" s="286">
        <f>'BD Team'!B17</f>
        <v>0</v>
      </c>
      <c r="F96" s="288" t="s">
        <v>255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>
        <f>'BD Team'!G17</f>
        <v>0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247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178</v>
      </c>
      <c r="M99" s="539"/>
      <c r="N99" s="541" t="str">
        <f>$K$6</f>
        <v>Black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248</v>
      </c>
      <c r="M100" s="539"/>
      <c r="N100" s="544" t="s">
        <v>256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249</v>
      </c>
      <c r="M101" s="539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250</v>
      </c>
      <c r="M102" s="539"/>
      <c r="N102" s="540">
        <f>'BD Team'!J17</f>
        <v>0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251</v>
      </c>
      <c r="M103" s="539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252</v>
      </c>
      <c r="M104" s="539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253</v>
      </c>
      <c r="M105" s="539"/>
      <c r="N105" s="541">
        <f>'BD Team'!F17</f>
        <v>0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254</v>
      </c>
      <c r="D107" s="539"/>
      <c r="E107" s="286">
        <f>'BD Team'!B18</f>
        <v>0</v>
      </c>
      <c r="F107" s="288" t="s">
        <v>255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247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178</v>
      </c>
      <c r="M110" s="539"/>
      <c r="N110" s="541" t="str">
        <f>$K$6</f>
        <v>Black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248</v>
      </c>
      <c r="M111" s="539"/>
      <c r="N111" s="544" t="s">
        <v>256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249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250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251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252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253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254</v>
      </c>
      <c r="D118" s="539"/>
      <c r="E118" s="286">
        <f>'BD Team'!B19</f>
        <v>0</v>
      </c>
      <c r="F118" s="288" t="s">
        <v>255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247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178</v>
      </c>
      <c r="M121" s="539"/>
      <c r="N121" s="541" t="str">
        <f>$K$6</f>
        <v>Black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248</v>
      </c>
      <c r="M122" s="539"/>
      <c r="N122" s="544" t="s">
        <v>256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249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250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251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252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253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254</v>
      </c>
      <c r="D129" s="539"/>
      <c r="E129" s="286">
        <f>'BD Team'!B20</f>
        <v>0</v>
      </c>
      <c r="F129" s="288" t="s">
        <v>255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247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178</v>
      </c>
      <c r="M132" s="539"/>
      <c r="N132" s="541" t="str">
        <f>$K$6</f>
        <v>Black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248</v>
      </c>
      <c r="M133" s="539"/>
      <c r="N133" s="544" t="s">
        <v>256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249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250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251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252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253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254</v>
      </c>
      <c r="D140" s="539"/>
      <c r="E140" s="286">
        <f>'BD Team'!B21</f>
        <v>0</v>
      </c>
      <c r="F140" s="288" t="s">
        <v>255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247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178</v>
      </c>
      <c r="M143" s="539"/>
      <c r="N143" s="541" t="str">
        <f>$K$6</f>
        <v>Black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248</v>
      </c>
      <c r="M144" s="539"/>
      <c r="N144" s="544" t="s">
        <v>256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249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250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251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252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253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254</v>
      </c>
      <c r="D151" s="539"/>
      <c r="E151" s="286">
        <f>'BD Team'!B22</f>
        <v>0</v>
      </c>
      <c r="F151" s="288" t="s">
        <v>255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247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178</v>
      </c>
      <c r="M154" s="539"/>
      <c r="N154" s="541" t="str">
        <f>$K$6</f>
        <v>Black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248</v>
      </c>
      <c r="M155" s="539"/>
      <c r="N155" s="544" t="s">
        <v>256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249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250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251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252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253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247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178</v>
      </c>
      <c r="M165" s="539"/>
      <c r="N165" s="541" t="str">
        <f>$K$6</f>
        <v>Black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248</v>
      </c>
      <c r="M166" s="539"/>
      <c r="N166" s="544" t="s">
        <v>256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249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250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251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252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253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247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178</v>
      </c>
      <c r="M176" s="539"/>
      <c r="N176" s="541" t="str">
        <f>$K$6</f>
        <v>Black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248</v>
      </c>
      <c r="M177" s="539"/>
      <c r="N177" s="544" t="s">
        <v>256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249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250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251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252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253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247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178</v>
      </c>
      <c r="M187" s="539"/>
      <c r="N187" s="541" t="str">
        <f>$K$6</f>
        <v>Black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248</v>
      </c>
      <c r="M188" s="539"/>
      <c r="N188" s="544" t="s">
        <v>256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249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250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251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252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253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247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178</v>
      </c>
      <c r="M198" s="539"/>
      <c r="N198" s="541" t="str">
        <f>$K$6</f>
        <v>Black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248</v>
      </c>
      <c r="M199" s="539"/>
      <c r="N199" s="544" t="s">
        <v>256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249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250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251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252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253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247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178</v>
      </c>
      <c r="M209" s="539"/>
      <c r="N209" s="541" t="str">
        <f>$K$6</f>
        <v>Black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248</v>
      </c>
      <c r="M210" s="539"/>
      <c r="N210" s="544" t="s">
        <v>256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249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250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251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252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253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247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178</v>
      </c>
      <c r="M220" s="539"/>
      <c r="N220" s="541" t="str">
        <f>$K$6</f>
        <v>Black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248</v>
      </c>
      <c r="M221" s="539"/>
      <c r="N221" s="544" t="s">
        <v>256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249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250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251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252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253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247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178</v>
      </c>
      <c r="M231" s="539"/>
      <c r="N231" s="541" t="str">
        <f>$K$6</f>
        <v>Black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248</v>
      </c>
      <c r="M232" s="539"/>
      <c r="N232" s="544" t="s">
        <v>256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249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250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251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252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253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247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178</v>
      </c>
      <c r="M242" s="539"/>
      <c r="N242" s="541" t="str">
        <f>$K$6</f>
        <v>Black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248</v>
      </c>
      <c r="M243" s="539"/>
      <c r="N243" s="544" t="s">
        <v>256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249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250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251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252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253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247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178</v>
      </c>
      <c r="M253" s="539"/>
      <c r="N253" s="541" t="str">
        <f>$K$6</f>
        <v>Black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248</v>
      </c>
      <c r="M254" s="539"/>
      <c r="N254" s="544" t="s">
        <v>256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249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250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251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252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253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247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178</v>
      </c>
      <c r="M264" s="539"/>
      <c r="N264" s="541" t="str">
        <f>$K$6</f>
        <v>Black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248</v>
      </c>
      <c r="M265" s="539"/>
      <c r="N265" s="544" t="s">
        <v>256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249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250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251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252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253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247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178</v>
      </c>
      <c r="M275" s="539"/>
      <c r="N275" s="541" t="str">
        <f>$K$6</f>
        <v>Black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248</v>
      </c>
      <c r="M276" s="539"/>
      <c r="N276" s="544" t="s">
        <v>256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249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250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251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252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253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247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178</v>
      </c>
      <c r="M286" s="539"/>
      <c r="N286" s="541" t="str">
        <f>$K$6</f>
        <v>Black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248</v>
      </c>
      <c r="M287" s="539"/>
      <c r="N287" s="544" t="s">
        <v>256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249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250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251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252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253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247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178</v>
      </c>
      <c r="M297" s="539"/>
      <c r="N297" s="541" t="str">
        <f>$K$6</f>
        <v>Black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248</v>
      </c>
      <c r="M298" s="539"/>
      <c r="N298" s="544" t="s">
        <v>256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249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250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251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252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253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247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178</v>
      </c>
      <c r="M308" s="539"/>
      <c r="N308" s="541" t="str">
        <f>$K$6</f>
        <v>Black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248</v>
      </c>
      <c r="M309" s="539"/>
      <c r="N309" s="544" t="s">
        <v>256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249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250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251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252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253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247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178</v>
      </c>
      <c r="M319" s="539"/>
      <c r="N319" s="541" t="str">
        <f>$K$6</f>
        <v>Black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248</v>
      </c>
      <c r="M320" s="539"/>
      <c r="N320" s="544" t="s">
        <v>256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249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250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251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252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253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247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178</v>
      </c>
      <c r="M330" s="539"/>
      <c r="N330" s="541" t="str">
        <f>$K$6</f>
        <v>Black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248</v>
      </c>
      <c r="M331" s="539"/>
      <c r="N331" s="544" t="s">
        <v>256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249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250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251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252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253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247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178</v>
      </c>
      <c r="M341" s="539"/>
      <c r="N341" s="541" t="str">
        <f>$K$6</f>
        <v>Black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248</v>
      </c>
      <c r="M342" s="539"/>
      <c r="N342" s="544" t="s">
        <v>256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249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250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251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252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253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247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178</v>
      </c>
      <c r="M352" s="539"/>
      <c r="N352" s="541" t="str">
        <f>$K$6</f>
        <v>Black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248</v>
      </c>
      <c r="M353" s="539"/>
      <c r="N353" s="544" t="s">
        <v>256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249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250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251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252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253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247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178</v>
      </c>
      <c r="M363" s="539"/>
      <c r="N363" s="541" t="str">
        <f>$K$6</f>
        <v>Black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248</v>
      </c>
      <c r="M364" s="539"/>
      <c r="N364" s="544" t="s">
        <v>256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249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250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251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252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253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247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178</v>
      </c>
      <c r="M374" s="539"/>
      <c r="N374" s="541" t="str">
        <f>$K$6</f>
        <v>Black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248</v>
      </c>
      <c r="M375" s="539"/>
      <c r="N375" s="544" t="s">
        <v>256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249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250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251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252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253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247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178</v>
      </c>
      <c r="M385" s="539"/>
      <c r="N385" s="541" t="str">
        <f>$K$6</f>
        <v>Black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248</v>
      </c>
      <c r="M386" s="539"/>
      <c r="N386" s="544" t="s">
        <v>256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249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250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251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252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253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247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178</v>
      </c>
      <c r="M396" s="539"/>
      <c r="N396" s="541" t="str">
        <f>$K$6</f>
        <v>Black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248</v>
      </c>
      <c r="M397" s="539"/>
      <c r="N397" s="544" t="s">
        <v>256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249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250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251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252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253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247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178</v>
      </c>
      <c r="M407" s="539"/>
      <c r="N407" s="541" t="str">
        <f>$K$6</f>
        <v>Black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248</v>
      </c>
      <c r="M408" s="539"/>
      <c r="N408" s="544" t="s">
        <v>256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249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250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251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252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253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247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178</v>
      </c>
      <c r="M418" s="539"/>
      <c r="N418" s="541" t="str">
        <f>$K$6</f>
        <v>Black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248</v>
      </c>
      <c r="M419" s="539"/>
      <c r="N419" s="544" t="s">
        <v>256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249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250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251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252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253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247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178</v>
      </c>
      <c r="M429" s="539"/>
      <c r="N429" s="541" t="str">
        <f>$K$6</f>
        <v>Black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248</v>
      </c>
      <c r="M430" s="539"/>
      <c r="N430" s="544" t="s">
        <v>256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249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250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251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252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253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247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178</v>
      </c>
      <c r="M440" s="539"/>
      <c r="N440" s="541" t="str">
        <f>$K$6</f>
        <v>Black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248</v>
      </c>
      <c r="M441" s="539"/>
      <c r="N441" s="544" t="s">
        <v>256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249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250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251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252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253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247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178</v>
      </c>
      <c r="M451" s="539"/>
      <c r="N451" s="541" t="str">
        <f>$K$6</f>
        <v>Black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248</v>
      </c>
      <c r="M452" s="539"/>
      <c r="N452" s="544" t="s">
        <v>256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249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250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251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252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253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247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178</v>
      </c>
      <c r="M462" s="539"/>
      <c r="N462" s="541" t="str">
        <f>$K$6</f>
        <v>Black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248</v>
      </c>
      <c r="M463" s="539"/>
      <c r="N463" s="544" t="s">
        <v>256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249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250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251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252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253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247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178</v>
      </c>
      <c r="M473" s="539"/>
      <c r="N473" s="541" t="str">
        <f>$K$6</f>
        <v>Black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248</v>
      </c>
      <c r="M474" s="539"/>
      <c r="N474" s="544" t="s">
        <v>256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249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250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251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252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253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247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178</v>
      </c>
      <c r="M484" s="539"/>
      <c r="N484" s="541" t="str">
        <f>$K$6</f>
        <v>Black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248</v>
      </c>
      <c r="M485" s="539"/>
      <c r="N485" s="544" t="s">
        <v>256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249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250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251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252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253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247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178</v>
      </c>
      <c r="M495" s="539"/>
      <c r="N495" s="541" t="str">
        <f>$K$6</f>
        <v>Black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248</v>
      </c>
      <c r="M496" s="539"/>
      <c r="N496" s="544" t="s">
        <v>256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249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250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251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252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253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247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178</v>
      </c>
      <c r="M506" s="539"/>
      <c r="N506" s="541" t="str">
        <f>$K$6</f>
        <v>Black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248</v>
      </c>
      <c r="M507" s="539"/>
      <c r="N507" s="544" t="s">
        <v>256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249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250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251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252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253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247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178</v>
      </c>
      <c r="M517" s="539"/>
      <c r="N517" s="541" t="str">
        <f>$K$6</f>
        <v>Black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248</v>
      </c>
      <c r="M518" s="539"/>
      <c r="N518" s="544" t="s">
        <v>256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249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250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251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252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253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247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178</v>
      </c>
      <c r="M528" s="539"/>
      <c r="N528" s="541" t="str">
        <f>$K$6</f>
        <v>Black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248</v>
      </c>
      <c r="M529" s="539"/>
      <c r="N529" s="544" t="s">
        <v>256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249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250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251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252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253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247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178</v>
      </c>
      <c r="M539" s="539"/>
      <c r="N539" s="541" t="str">
        <f>$K$6</f>
        <v>Black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248</v>
      </c>
      <c r="M540" s="539"/>
      <c r="N540" s="544" t="s">
        <v>256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249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250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251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252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253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247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178</v>
      </c>
      <c r="M550" s="539"/>
      <c r="N550" s="541" t="str">
        <f>$K$6</f>
        <v>Black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248</v>
      </c>
      <c r="M551" s="539"/>
      <c r="N551" s="544" t="s">
        <v>256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249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250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251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252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253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247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178</v>
      </c>
      <c r="M561" s="539"/>
      <c r="N561" s="541" t="str">
        <f>$K$6</f>
        <v>Black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248</v>
      </c>
      <c r="M562" s="539"/>
      <c r="N562" s="544" t="s">
        <v>256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249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250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251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252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253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247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178</v>
      </c>
      <c r="M572" s="539"/>
      <c r="N572" s="541" t="str">
        <f>$K$6</f>
        <v>Black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248</v>
      </c>
      <c r="M573" s="539"/>
      <c r="N573" s="544" t="s">
        <v>256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249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250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251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252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253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247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178</v>
      </c>
      <c r="M583" s="539"/>
      <c r="N583" s="541" t="str">
        <f>$K$6</f>
        <v>Black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248</v>
      </c>
      <c r="M584" s="539"/>
      <c r="N584" s="544" t="s">
        <v>256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249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250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251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252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253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247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178</v>
      </c>
      <c r="M594" s="539"/>
      <c r="N594" s="541" t="str">
        <f>$K$6</f>
        <v>Black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248</v>
      </c>
      <c r="M595" s="539"/>
      <c r="N595" s="544" t="s">
        <v>256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249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250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251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252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253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247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178</v>
      </c>
      <c r="M605" s="539"/>
      <c r="N605" s="541" t="str">
        <f>$K$6</f>
        <v>Black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248</v>
      </c>
      <c r="M606" s="539"/>
      <c r="N606" s="544" t="s">
        <v>256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249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250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251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252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253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247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178</v>
      </c>
      <c r="M616" s="539"/>
      <c r="N616" s="541" t="str">
        <f>$K$6</f>
        <v>Black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248</v>
      </c>
      <c r="M617" s="539"/>
      <c r="N617" s="544" t="s">
        <v>256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249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250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251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252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253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247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178</v>
      </c>
      <c r="M627" s="539"/>
      <c r="N627" s="541" t="str">
        <f>$K$6</f>
        <v>Black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248</v>
      </c>
      <c r="M628" s="539"/>
      <c r="N628" s="544" t="s">
        <v>256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249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250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251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252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253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247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178</v>
      </c>
      <c r="M638" s="539"/>
      <c r="N638" s="541" t="str">
        <f>$K$6</f>
        <v>Black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248</v>
      </c>
      <c r="M639" s="539"/>
      <c r="N639" s="544" t="s">
        <v>256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249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250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251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252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253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247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178</v>
      </c>
      <c r="M649" s="539"/>
      <c r="N649" s="541" t="str">
        <f>$K$6</f>
        <v>Black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248</v>
      </c>
      <c r="M650" s="539"/>
      <c r="N650" s="544" t="s">
        <v>256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249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250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251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252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253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247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178</v>
      </c>
      <c r="M660" s="539"/>
      <c r="N660" s="541" t="str">
        <f>$K$6</f>
        <v>Black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248</v>
      </c>
      <c r="M661" s="539"/>
      <c r="N661" s="544" t="s">
        <v>256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249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250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251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252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253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247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178</v>
      </c>
      <c r="M671" s="539"/>
      <c r="N671" s="541" t="str">
        <f>$K$6</f>
        <v>Black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248</v>
      </c>
      <c r="M672" s="539"/>
      <c r="N672" s="544" t="s">
        <v>256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249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250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251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252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253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247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178</v>
      </c>
      <c r="M682" s="539"/>
      <c r="N682" s="541" t="str">
        <f>$K$6</f>
        <v>Black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248</v>
      </c>
      <c r="M683" s="539"/>
      <c r="N683" s="544" t="s">
        <v>256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249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250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251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252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253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247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178</v>
      </c>
      <c r="M693" s="539"/>
      <c r="N693" s="541" t="str">
        <f>$K$6</f>
        <v>Black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248</v>
      </c>
      <c r="M694" s="539"/>
      <c r="N694" s="544" t="s">
        <v>256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249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250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251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252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253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247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178</v>
      </c>
      <c r="M704" s="539"/>
      <c r="N704" s="541" t="str">
        <f>$K$6</f>
        <v>Black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248</v>
      </c>
      <c r="M705" s="539"/>
      <c r="N705" s="544" t="s">
        <v>256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249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250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251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252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253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247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178</v>
      </c>
      <c r="M715" s="539"/>
      <c r="N715" s="541" t="str">
        <f>$K$6</f>
        <v>Black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248</v>
      </c>
      <c r="M716" s="539"/>
      <c r="N716" s="544" t="s">
        <v>256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249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250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251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252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253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247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178</v>
      </c>
      <c r="M726" s="539"/>
      <c r="N726" s="541" t="str">
        <f>$K$6</f>
        <v>Black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248</v>
      </c>
      <c r="M727" s="539"/>
      <c r="N727" s="544" t="s">
        <v>256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249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250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251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252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253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247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178</v>
      </c>
      <c r="M737" s="539"/>
      <c r="N737" s="541" t="str">
        <f>$K$6</f>
        <v>Black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248</v>
      </c>
      <c r="M738" s="539"/>
      <c r="N738" s="544" t="s">
        <v>256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249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250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251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252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253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247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178</v>
      </c>
      <c r="M748" s="539"/>
      <c r="N748" s="541" t="str">
        <f>$K$6</f>
        <v>Black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248</v>
      </c>
      <c r="M749" s="539"/>
      <c r="N749" s="544" t="s">
        <v>256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249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250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251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252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253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247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178</v>
      </c>
      <c r="M759" s="539"/>
      <c r="N759" s="541" t="str">
        <f>$K$6</f>
        <v>Black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248</v>
      </c>
      <c r="M760" s="539"/>
      <c r="N760" s="544" t="s">
        <v>256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249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250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251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252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253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247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178</v>
      </c>
      <c r="M770" s="539"/>
      <c r="N770" s="541" t="str">
        <f>$K$6</f>
        <v>Black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248</v>
      </c>
      <c r="M771" s="539"/>
      <c r="N771" s="544" t="s">
        <v>256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249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250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251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252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253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247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178</v>
      </c>
      <c r="M781" s="539"/>
      <c r="N781" s="541" t="str">
        <f>$K$6</f>
        <v>Black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248</v>
      </c>
      <c r="M782" s="539"/>
      <c r="N782" s="544" t="s">
        <v>256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249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250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251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252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253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247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178</v>
      </c>
      <c r="M792" s="539"/>
      <c r="N792" s="541" t="str">
        <f>$K$6</f>
        <v>Black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248</v>
      </c>
      <c r="M793" s="539"/>
      <c r="N793" s="544" t="s">
        <v>256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249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250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251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252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253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247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178</v>
      </c>
      <c r="M803" s="539"/>
      <c r="N803" s="541" t="str">
        <f>$K$6</f>
        <v>Black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248</v>
      </c>
      <c r="M804" s="539"/>
      <c r="N804" s="544" t="s">
        <v>256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249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250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251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252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253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247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178</v>
      </c>
      <c r="M814" s="539"/>
      <c r="N814" s="541" t="str">
        <f>$K$6</f>
        <v>Black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248</v>
      </c>
      <c r="M815" s="539"/>
      <c r="N815" s="544" t="s">
        <v>256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249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250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251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252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253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247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178</v>
      </c>
      <c r="M825" s="539"/>
      <c r="N825" s="541" t="str">
        <f>$K$6</f>
        <v>Black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248</v>
      </c>
      <c r="M826" s="539"/>
      <c r="N826" s="544" t="s">
        <v>256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249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250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251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252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253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247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178</v>
      </c>
      <c r="M836" s="539"/>
      <c r="N836" s="541" t="str">
        <f>$K$6</f>
        <v>Black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248</v>
      </c>
      <c r="M837" s="539"/>
      <c r="N837" s="544" t="s">
        <v>256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249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250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251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252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253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247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178</v>
      </c>
      <c r="M847" s="539"/>
      <c r="N847" s="541" t="str">
        <f>$K$6</f>
        <v>Black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248</v>
      </c>
      <c r="M848" s="539"/>
      <c r="N848" s="544" t="s">
        <v>256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249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250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251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252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253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247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178</v>
      </c>
      <c r="M858" s="539"/>
      <c r="N858" s="541" t="str">
        <f>$K$6</f>
        <v>Black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248</v>
      </c>
      <c r="M859" s="539"/>
      <c r="N859" s="544" t="s">
        <v>256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249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250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251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252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253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247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178</v>
      </c>
      <c r="M869" s="539"/>
      <c r="N869" s="541" t="str">
        <f>$K$6</f>
        <v>Black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248</v>
      </c>
      <c r="M870" s="539"/>
      <c r="N870" s="544" t="s">
        <v>256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249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250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251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252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253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247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178</v>
      </c>
      <c r="M880" s="539"/>
      <c r="N880" s="541" t="str">
        <f>$K$6</f>
        <v>Black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248</v>
      </c>
      <c r="M881" s="539"/>
      <c r="N881" s="544" t="s">
        <v>256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249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250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251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252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253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247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178</v>
      </c>
      <c r="M891" s="539"/>
      <c r="N891" s="541" t="str">
        <f>$K$6</f>
        <v>Black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248</v>
      </c>
      <c r="M892" s="539"/>
      <c r="N892" s="544" t="s">
        <v>256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249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250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251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252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253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247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178</v>
      </c>
      <c r="M902" s="539"/>
      <c r="N902" s="541" t="str">
        <f>$K$6</f>
        <v>Black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248</v>
      </c>
      <c r="M903" s="539"/>
      <c r="N903" s="544" t="s">
        <v>256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249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250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251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252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253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247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178</v>
      </c>
      <c r="M913" s="539"/>
      <c r="N913" s="541" t="str">
        <f>$K$6</f>
        <v>Black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248</v>
      </c>
      <c r="M914" s="539"/>
      <c r="N914" s="544" t="s">
        <v>256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249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250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251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252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253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247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178</v>
      </c>
      <c r="M924" s="539"/>
      <c r="N924" s="541" t="str">
        <f>$K$6</f>
        <v>Black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248</v>
      </c>
      <c r="M925" s="539"/>
      <c r="N925" s="544" t="s">
        <v>256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249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250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251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252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253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247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178</v>
      </c>
      <c r="M935" s="539"/>
      <c r="N935" s="541" t="str">
        <f>$K$6</f>
        <v>Black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248</v>
      </c>
      <c r="M936" s="539"/>
      <c r="N936" s="544" t="s">
        <v>256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249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250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251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252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253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247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178</v>
      </c>
      <c r="M946" s="539"/>
      <c r="N946" s="541" t="str">
        <f>$K$6</f>
        <v>Black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248</v>
      </c>
      <c r="M947" s="539"/>
      <c r="N947" s="544" t="s">
        <v>256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249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250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251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252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253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247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178</v>
      </c>
      <c r="M957" s="539"/>
      <c r="N957" s="541" t="str">
        <f>$K$6</f>
        <v>Black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248</v>
      </c>
      <c r="M958" s="539"/>
      <c r="N958" s="544" t="s">
        <v>256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249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250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251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252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253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247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178</v>
      </c>
      <c r="M968" s="539"/>
      <c r="N968" s="541" t="str">
        <f>$K$6</f>
        <v>Black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248</v>
      </c>
      <c r="M969" s="539"/>
      <c r="N969" s="544" t="s">
        <v>256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249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250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251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252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253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247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178</v>
      </c>
      <c r="M979" s="539"/>
      <c r="N979" s="541" t="str">
        <f>$K$6</f>
        <v>Black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248</v>
      </c>
      <c r="M980" s="539"/>
      <c r="N980" s="544" t="s">
        <v>256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249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250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251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252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253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247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178</v>
      </c>
      <c r="M990" s="539"/>
      <c r="N990" s="541" t="str">
        <f>$K$6</f>
        <v>Black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248</v>
      </c>
      <c r="M991" s="539"/>
      <c r="N991" s="544" t="s">
        <v>256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249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250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251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252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253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247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178</v>
      </c>
      <c r="M1001" s="539"/>
      <c r="N1001" s="541" t="str">
        <f>$K$6</f>
        <v>Black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248</v>
      </c>
      <c r="M1002" s="539"/>
      <c r="N1002" s="544" t="s">
        <v>256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249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250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251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252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253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247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178</v>
      </c>
      <c r="M1012" s="539"/>
      <c r="N1012" s="541" t="str">
        <f>$K$6</f>
        <v>Black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248</v>
      </c>
      <c r="M1013" s="539"/>
      <c r="N1013" s="544" t="s">
        <v>256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249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250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251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252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253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247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178</v>
      </c>
      <c r="M1023" s="539"/>
      <c r="N1023" s="541" t="str">
        <f>$K$6</f>
        <v>Black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248</v>
      </c>
      <c r="M1024" s="539"/>
      <c r="N1024" s="544" t="s">
        <v>256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249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250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251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252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253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247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178</v>
      </c>
      <c r="M1034" s="539"/>
      <c r="N1034" s="541" t="str">
        <f>$K$6</f>
        <v>Black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248</v>
      </c>
      <c r="M1035" s="539"/>
      <c r="N1035" s="544" t="s">
        <v>256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249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250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251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252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253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247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178</v>
      </c>
      <c r="M1045" s="539"/>
      <c r="N1045" s="541" t="str">
        <f>$K$6</f>
        <v>Black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248</v>
      </c>
      <c r="M1046" s="539"/>
      <c r="N1046" s="544" t="s">
        <v>256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249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250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251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252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253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247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178</v>
      </c>
      <c r="M1056" s="539"/>
      <c r="N1056" s="541" t="str">
        <f>$K$6</f>
        <v>Black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248</v>
      </c>
      <c r="M1057" s="539"/>
      <c r="N1057" s="544" t="s">
        <v>256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249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250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251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252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253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247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178</v>
      </c>
      <c r="M1067" s="539"/>
      <c r="N1067" s="541" t="str">
        <f>$K$6</f>
        <v>Black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248</v>
      </c>
      <c r="M1068" s="539"/>
      <c r="N1068" s="544" t="s">
        <v>256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249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250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251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252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253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247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178</v>
      </c>
      <c r="M1078" s="539"/>
      <c r="N1078" s="541" t="str">
        <f>$K$6</f>
        <v>Black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248</v>
      </c>
      <c r="M1079" s="539"/>
      <c r="N1079" s="544" t="s">
        <v>256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249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250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251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252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253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247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178</v>
      </c>
      <c r="M1089" s="539"/>
      <c r="N1089" s="541" t="str">
        <f>$K$6</f>
        <v>Black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248</v>
      </c>
      <c r="M1090" s="539"/>
      <c r="N1090" s="544" t="s">
        <v>256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249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250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251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252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253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247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178</v>
      </c>
      <c r="M1100" s="539"/>
      <c r="N1100" s="541" t="str">
        <f>$K$6</f>
        <v>Black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248</v>
      </c>
      <c r="M1101" s="539"/>
      <c r="N1101" s="544" t="s">
        <v>256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249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250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251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252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253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945</v>
      </c>
    </row>
    <row r="5" spans="3:5">
      <c r="C5" s="236" t="s">
        <v>396</v>
      </c>
      <c r="D5" s="236" t="s">
        <v>394</v>
      </c>
      <c r="E5" s="309">
        <f>ROUND(Pricing!U104,0.1)/40</f>
        <v>28.35</v>
      </c>
    </row>
    <row r="6" spans="3:5">
      <c r="C6" s="236" t="s">
        <v>83</v>
      </c>
      <c r="D6" s="236" t="s">
        <v>393</v>
      </c>
      <c r="E6" s="309">
        <f>ROUND(Pricing!V104,0.1)</f>
        <v>59</v>
      </c>
    </row>
    <row r="7" spans="3:5">
      <c r="C7" s="236" t="s">
        <v>400</v>
      </c>
      <c r="D7" s="236" t="s">
        <v>392</v>
      </c>
      <c r="E7" s="309">
        <f>ROUND(Pricing!W104,0.1)</f>
        <v>945</v>
      </c>
    </row>
    <row r="8" spans="3:5">
      <c r="C8" s="236" t="s">
        <v>397</v>
      </c>
      <c r="D8" s="236" t="s">
        <v>392</v>
      </c>
      <c r="E8" s="309">
        <f>ROUND(Pricing!X104,0.1)</f>
        <v>1891</v>
      </c>
    </row>
    <row r="9" spans="3:5">
      <c r="C9" t="s">
        <v>223</v>
      </c>
      <c r="D9" s="236" t="s">
        <v>395</v>
      </c>
      <c r="E9" s="309">
        <f>ROUND(Pricing!Y104,0.1)</f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E20" sqref="E20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M14600</v>
      </c>
      <c r="C2" s="318" t="str">
        <f>'BD Team'!D9</f>
        <v>2 TRACK 2 SHUTTER SLIDING DOOR</v>
      </c>
      <c r="D2" s="318" t="str">
        <f>'BD Team'!E9</f>
        <v>8MM</v>
      </c>
      <c r="E2" s="318" t="str">
        <f>'BD Team'!G9</f>
        <v>NA</v>
      </c>
      <c r="F2" s="318" t="str">
        <f>'BD Team'!F9</f>
        <v>NO</v>
      </c>
      <c r="I2" s="318">
        <f>'BD Team'!H9</f>
        <v>1678</v>
      </c>
      <c r="J2" s="318">
        <f>'BD Team'!I9</f>
        <v>2440</v>
      </c>
      <c r="K2" s="318">
        <f>'BD Team'!J9</f>
        <v>2</v>
      </c>
      <c r="L2" s="319">
        <f>'BD Team'!K9</f>
        <v>354.33</v>
      </c>
      <c r="M2" s="318">
        <f>Pricing!O4</f>
        <v>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M14600</v>
      </c>
      <c r="C3" s="318" t="str">
        <f>'BD Team'!D10</f>
        <v>2 TRACK 2 SHUTTER SLIDING DOOR</v>
      </c>
      <c r="D3" s="318" t="str">
        <f>'BD Team'!E10</f>
        <v>10MM</v>
      </c>
      <c r="E3" s="318" t="str">
        <f>'BD Team'!G10</f>
        <v>NA</v>
      </c>
      <c r="F3" s="318" t="str">
        <f>'BD Team'!F10</f>
        <v>NO</v>
      </c>
      <c r="I3" s="318">
        <f>'BD Team'!H10</f>
        <v>2898</v>
      </c>
      <c r="J3" s="318">
        <f>'BD Team'!I10</f>
        <v>2440</v>
      </c>
      <c r="K3" s="318">
        <f>'BD Team'!J10</f>
        <v>2</v>
      </c>
      <c r="L3" s="319">
        <f>'BD Team'!K10</f>
        <v>439.95</v>
      </c>
      <c r="M3" s="318">
        <f>Pricing!O5</f>
        <v>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M14600</v>
      </c>
      <c r="C4" s="318" t="str">
        <f>'BD Team'!D11</f>
        <v>2 TRACK 2 SHUTTER SLIDING DOOR WITH 2 FIXED</v>
      </c>
      <c r="D4" s="318" t="str">
        <f>'BD Team'!E11</f>
        <v>10MM</v>
      </c>
      <c r="E4" s="318" t="str">
        <f>'BD Team'!G11</f>
        <v>NA</v>
      </c>
      <c r="F4" s="318" t="str">
        <f>'BD Team'!F11</f>
        <v>NO</v>
      </c>
      <c r="I4" s="318">
        <f>'BD Team'!H11</f>
        <v>3660</v>
      </c>
      <c r="J4" s="318">
        <f>'BD Team'!I11</f>
        <v>2440</v>
      </c>
      <c r="K4" s="318">
        <f>'BD Team'!J11</f>
        <v>10</v>
      </c>
      <c r="L4" s="319">
        <f>'BD Team'!K11</f>
        <v>620.91</v>
      </c>
      <c r="M4" s="318">
        <f>Pricing!O6</f>
        <v>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</v>
      </c>
      <c r="B5" s="318" t="str">
        <f>'BD Team'!C12</f>
        <v>M15000</v>
      </c>
      <c r="C5" s="318" t="str">
        <f>'BD Team'!D12</f>
        <v>SIDE HUNG WINDOW WITH TOP &amp; BOTTOM FIXED</v>
      </c>
      <c r="D5" s="318" t="str">
        <f>'BD Team'!E12</f>
        <v>8MM</v>
      </c>
      <c r="E5" s="318" t="str">
        <f>'BD Team'!G12</f>
        <v>NA</v>
      </c>
      <c r="F5" s="318" t="str">
        <f>'BD Team'!F12</f>
        <v>NO</v>
      </c>
      <c r="I5" s="318">
        <f>'BD Team'!H12</f>
        <v>915</v>
      </c>
      <c r="J5" s="318">
        <f>'BD Team'!I12</f>
        <v>2286</v>
      </c>
      <c r="K5" s="318">
        <f>'BD Team'!J12</f>
        <v>8</v>
      </c>
      <c r="L5" s="319">
        <f>'BD Team'!K12</f>
        <v>189.21</v>
      </c>
      <c r="M5" s="318">
        <f>Pricing!O7</f>
        <v>0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</v>
      </c>
      <c r="B6" s="318" t="str">
        <f>'BD Team'!C13</f>
        <v>M15000</v>
      </c>
      <c r="C6" s="318" t="str">
        <f>'BD Team'!D13</f>
        <v>TOP HUNG WINDOW WITH TOP &amp; BOTTOM FIXED</v>
      </c>
      <c r="D6" s="318" t="str">
        <f>'BD Team'!E13</f>
        <v>8MM</v>
      </c>
      <c r="E6" s="318" t="str">
        <f>'BD Team'!G13</f>
        <v>NA</v>
      </c>
      <c r="F6" s="318" t="str">
        <f>'BD Team'!F13</f>
        <v>NO</v>
      </c>
      <c r="I6" s="318">
        <f>'BD Team'!H13</f>
        <v>915</v>
      </c>
      <c r="J6" s="318">
        <f>'BD Team'!I13</f>
        <v>2286</v>
      </c>
      <c r="K6" s="318">
        <f>'BD Team'!J13</f>
        <v>8</v>
      </c>
      <c r="L6" s="319">
        <f>'BD Team'!K13</f>
        <v>231</v>
      </c>
      <c r="M6" s="318">
        <f>Pricing!O8</f>
        <v>0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M15000</v>
      </c>
      <c r="C7" s="318" t="str">
        <f>'BD Team'!D14</f>
        <v>2 TOP HUNG WINDOWS WITH CENTER FIXED</v>
      </c>
      <c r="D7" s="318" t="str">
        <f>'BD Team'!E14</f>
        <v>8MM</v>
      </c>
      <c r="E7" s="318" t="str">
        <f>'BD Team'!G14</f>
        <v>NA</v>
      </c>
      <c r="F7" s="318" t="str">
        <f>'BD Team'!F14</f>
        <v>NO</v>
      </c>
      <c r="I7" s="318">
        <f>'BD Team'!H14</f>
        <v>3965</v>
      </c>
      <c r="J7" s="318">
        <f>'BD Team'!I14</f>
        <v>1372</v>
      </c>
      <c r="K7" s="318">
        <f>'BD Team'!J14</f>
        <v>2</v>
      </c>
      <c r="L7" s="319">
        <f>'BD Team'!K14</f>
        <v>433.74</v>
      </c>
      <c r="M7" s="318">
        <f>Pricing!O9</f>
        <v>0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5" sqref="K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418</v>
      </c>
      <c r="F2" s="137"/>
      <c r="G2" s="163"/>
      <c r="H2" s="330" t="s">
        <v>185</v>
      </c>
      <c r="I2" s="331"/>
      <c r="J2" s="165" t="s">
        <v>437</v>
      </c>
      <c r="K2" s="167"/>
      <c r="L2" s="104" t="s">
        <v>208</v>
      </c>
      <c r="M2" s="104" t="s">
        <v>381</v>
      </c>
    </row>
    <row r="3" spans="1:13" s="104" customFormat="1">
      <c r="A3" s="329" t="s">
        <v>127</v>
      </c>
      <c r="B3" s="329"/>
      <c r="C3" s="329"/>
      <c r="D3" s="329"/>
      <c r="E3" s="162" t="s">
        <v>419</v>
      </c>
      <c r="F3" s="136" t="s">
        <v>183</v>
      </c>
      <c r="G3" s="162" t="s">
        <v>417</v>
      </c>
      <c r="H3" s="330" t="s">
        <v>186</v>
      </c>
      <c r="I3" s="331"/>
      <c r="J3" s="166">
        <v>43675</v>
      </c>
      <c r="K3" s="167"/>
      <c r="L3" s="104" t="s">
        <v>258</v>
      </c>
      <c r="M3" s="104" t="s">
        <v>382</v>
      </c>
    </row>
    <row r="4" spans="1:13" s="104" customFormat="1" ht="18">
      <c r="A4" s="329" t="s">
        <v>169</v>
      </c>
      <c r="B4" s="329"/>
      <c r="C4" s="329"/>
      <c r="D4" s="329"/>
      <c r="E4" s="162" t="s">
        <v>420</v>
      </c>
      <c r="F4" s="135"/>
      <c r="G4" s="164"/>
      <c r="H4" s="330" t="s">
        <v>187</v>
      </c>
      <c r="I4" s="331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29" t="s">
        <v>177</v>
      </c>
      <c r="B5" s="329"/>
      <c r="C5" s="329"/>
      <c r="D5" s="329"/>
      <c r="E5" s="162" t="s">
        <v>421</v>
      </c>
      <c r="F5" s="136" t="s">
        <v>184</v>
      </c>
      <c r="G5" s="162" t="s">
        <v>261</v>
      </c>
      <c r="H5" s="330" t="s">
        <v>375</v>
      </c>
      <c r="I5" s="331"/>
      <c r="J5" s="165"/>
      <c r="K5" s="167"/>
      <c r="L5" s="104" t="s">
        <v>260</v>
      </c>
      <c r="M5" s="104" t="s">
        <v>384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261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262</v>
      </c>
      <c r="M7" s="47" t="s">
        <v>385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403</v>
      </c>
    </row>
    <row r="9" spans="1:13" ht="20.100000000000001" customHeight="1">
      <c r="A9" s="113">
        <v>1</v>
      </c>
      <c r="B9" s="113" t="s">
        <v>32</v>
      </c>
      <c r="C9" s="113" t="s">
        <v>422</v>
      </c>
      <c r="D9" s="113" t="s">
        <v>438</v>
      </c>
      <c r="E9" s="113" t="s">
        <v>423</v>
      </c>
      <c r="F9" s="113" t="s">
        <v>440</v>
      </c>
      <c r="G9" s="113" t="s">
        <v>424</v>
      </c>
      <c r="H9" s="113">
        <v>1678</v>
      </c>
      <c r="I9" s="113">
        <v>2440</v>
      </c>
      <c r="J9" s="113">
        <v>2</v>
      </c>
      <c r="K9" s="123">
        <v>354.33</v>
      </c>
    </row>
    <row r="10" spans="1:13" ht="20.100000000000001" customHeight="1">
      <c r="A10" s="113">
        <v>2</v>
      </c>
      <c r="B10" s="113" t="s">
        <v>425</v>
      </c>
      <c r="C10" s="113" t="s">
        <v>422</v>
      </c>
      <c r="D10" s="113" t="s">
        <v>438</v>
      </c>
      <c r="E10" s="113" t="s">
        <v>271</v>
      </c>
      <c r="F10" s="113" t="s">
        <v>440</v>
      </c>
      <c r="G10" s="113" t="s">
        <v>424</v>
      </c>
      <c r="H10" s="113">
        <v>2898</v>
      </c>
      <c r="I10" s="113">
        <v>2440</v>
      </c>
      <c r="J10" s="113">
        <v>2</v>
      </c>
      <c r="K10" s="123">
        <v>439.95</v>
      </c>
      <c r="L10" s="47" t="s">
        <v>283</v>
      </c>
    </row>
    <row r="11" spans="1:13" ht="20.100000000000001" customHeight="1">
      <c r="A11" s="113">
        <v>3</v>
      </c>
      <c r="B11" s="113" t="s">
        <v>426</v>
      </c>
      <c r="C11" s="113" t="s">
        <v>422</v>
      </c>
      <c r="D11" s="113" t="s">
        <v>439</v>
      </c>
      <c r="E11" s="113" t="s">
        <v>271</v>
      </c>
      <c r="F11" s="113" t="s">
        <v>440</v>
      </c>
      <c r="G11" s="113" t="s">
        <v>424</v>
      </c>
      <c r="H11" s="113">
        <v>3660</v>
      </c>
      <c r="I11" s="113">
        <v>2440</v>
      </c>
      <c r="J11" s="113">
        <v>10</v>
      </c>
      <c r="K11" s="123">
        <v>620.91</v>
      </c>
      <c r="L11" s="47" t="s">
        <v>282</v>
      </c>
    </row>
    <row r="12" spans="1:13" ht="20.100000000000001" customHeight="1">
      <c r="A12" s="113">
        <v>4</v>
      </c>
      <c r="B12" s="113" t="s">
        <v>427</v>
      </c>
      <c r="C12" s="113" t="s">
        <v>428</v>
      </c>
      <c r="D12" s="113" t="s">
        <v>429</v>
      </c>
      <c r="E12" s="113" t="s">
        <v>423</v>
      </c>
      <c r="F12" s="113" t="s">
        <v>440</v>
      </c>
      <c r="G12" s="113" t="s">
        <v>424</v>
      </c>
      <c r="H12" s="113">
        <v>915</v>
      </c>
      <c r="I12" s="113">
        <v>2286</v>
      </c>
      <c r="J12" s="113">
        <v>8</v>
      </c>
      <c r="K12" s="123">
        <v>189.21</v>
      </c>
      <c r="L12" s="47" t="s">
        <v>366</v>
      </c>
    </row>
    <row r="13" spans="1:13" ht="20.100000000000001" customHeight="1">
      <c r="A13" s="113">
        <v>5</v>
      </c>
      <c r="B13" s="113" t="s">
        <v>430</v>
      </c>
      <c r="C13" s="113" t="s">
        <v>428</v>
      </c>
      <c r="D13" s="113" t="s">
        <v>431</v>
      </c>
      <c r="E13" s="113" t="s">
        <v>423</v>
      </c>
      <c r="F13" s="113" t="s">
        <v>440</v>
      </c>
      <c r="G13" s="113" t="s">
        <v>424</v>
      </c>
      <c r="H13" s="113">
        <v>915</v>
      </c>
      <c r="I13" s="113">
        <v>2286</v>
      </c>
      <c r="J13" s="113">
        <v>8</v>
      </c>
      <c r="K13" s="123">
        <v>231</v>
      </c>
      <c r="L13" s="47" t="s">
        <v>367</v>
      </c>
    </row>
    <row r="14" spans="1:13">
      <c r="A14" s="113">
        <v>6</v>
      </c>
      <c r="B14" s="113" t="s">
        <v>432</v>
      </c>
      <c r="C14" s="113" t="s">
        <v>428</v>
      </c>
      <c r="D14" s="113" t="s">
        <v>433</v>
      </c>
      <c r="E14" s="113" t="s">
        <v>423</v>
      </c>
      <c r="F14" s="113" t="s">
        <v>440</v>
      </c>
      <c r="G14" s="113" t="s">
        <v>424</v>
      </c>
      <c r="H14" s="113">
        <v>3965</v>
      </c>
      <c r="I14" s="113">
        <v>1372</v>
      </c>
      <c r="J14" s="113">
        <v>2</v>
      </c>
      <c r="K14" s="123">
        <v>433.74</v>
      </c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420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20" sqref="Q2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M14600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NA</v>
      </c>
      <c r="G4" s="118">
        <f>'BD Team'!H9</f>
        <v>1678</v>
      </c>
      <c r="H4" s="118">
        <f>'BD Team'!I9</f>
        <v>2440</v>
      </c>
      <c r="I4" s="118">
        <f>'BD Team'!J9</f>
        <v>2</v>
      </c>
      <c r="J4" s="103">
        <f t="shared" ref="J4:J53" si="0">G4*H4*I4*10.764/1000000</f>
        <v>88.142520959999999</v>
      </c>
      <c r="K4" s="172">
        <f>'BD Team'!K9</f>
        <v>354.33</v>
      </c>
      <c r="L4" s="171">
        <f>K4*I4</f>
        <v>708.66</v>
      </c>
      <c r="M4" s="170">
        <f>L4*'Changable Values'!$D$4</f>
        <v>58818.78</v>
      </c>
      <c r="N4" s="170" t="str">
        <f>'BD Team'!E9</f>
        <v>8MM</v>
      </c>
      <c r="O4" s="172"/>
      <c r="P4" s="241"/>
      <c r="Q4" s="173"/>
      <c r="R4" s="185"/>
      <c r="S4" s="312"/>
      <c r="T4" s="313">
        <f>(G4+H4)*I4*2/300</f>
        <v>54.906666666666666</v>
      </c>
      <c r="U4" s="313">
        <f>SUM(G4:H4)*I4*2*4/1000</f>
        <v>65.888000000000005</v>
      </c>
      <c r="V4" s="313">
        <f>SUM(G4:H4)*I4*5*5*4/(1000*240)</f>
        <v>3.4316666666666666</v>
      </c>
      <c r="W4" s="313">
        <f>T4</f>
        <v>54.906666666666666</v>
      </c>
      <c r="X4" s="313">
        <f>W4*2</f>
        <v>109.81333333333333</v>
      </c>
      <c r="Y4" s="313">
        <f>SUM(G4:H4)*I4*4/1000</f>
        <v>32.944000000000003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M14600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NA</v>
      </c>
      <c r="G5" s="118">
        <f>'BD Team'!H10</f>
        <v>2898</v>
      </c>
      <c r="H5" s="118">
        <f>'BD Team'!I10</f>
        <v>2440</v>
      </c>
      <c r="I5" s="118">
        <f>'BD Team'!J10</f>
        <v>2</v>
      </c>
      <c r="J5" s="103">
        <f t="shared" si="0"/>
        <v>152.22707136</v>
      </c>
      <c r="K5" s="172">
        <f>'BD Team'!K10</f>
        <v>439.95</v>
      </c>
      <c r="L5" s="171">
        <f t="shared" ref="L5:L53" si="1">K5*I5</f>
        <v>879.9</v>
      </c>
      <c r="M5" s="170">
        <f>L5*'Changable Values'!$D$4</f>
        <v>73031.7</v>
      </c>
      <c r="N5" s="170" t="str">
        <f>'BD Team'!E10</f>
        <v>10MM</v>
      </c>
      <c r="O5" s="172"/>
      <c r="P5" s="241"/>
      <c r="Q5" s="173"/>
      <c r="R5" s="185"/>
      <c r="S5" s="312"/>
      <c r="T5" s="313">
        <f t="shared" ref="T5:T68" si="2">(G5+H5)*I5*2/300</f>
        <v>71.173333333333332</v>
      </c>
      <c r="U5" s="313">
        <f t="shared" ref="U5:U68" si="3">SUM(G5:H5)*I5*2*4/1000</f>
        <v>85.408000000000001</v>
      </c>
      <c r="V5" s="313">
        <f t="shared" ref="V5:V68" si="4">SUM(G5:H5)*I5*5*5*4/(1000*240)</f>
        <v>4.4483333333333333</v>
      </c>
      <c r="W5" s="313">
        <f t="shared" ref="W5:W68" si="5">T5</f>
        <v>71.173333333333332</v>
      </c>
      <c r="X5" s="313">
        <f t="shared" ref="X5:X68" si="6">W5*2</f>
        <v>142.34666666666666</v>
      </c>
      <c r="Y5" s="313">
        <f t="shared" ref="Y5:Y68" si="7">SUM(G5:H5)*I5*4/1000</f>
        <v>42.704000000000001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M14600</v>
      </c>
      <c r="D6" s="118" t="str">
        <f>'BD Team'!D11</f>
        <v>2 TRACK 2 SHUTTER SLIDING DOOR WITH 2 FIXED</v>
      </c>
      <c r="E6" s="118" t="str">
        <f>'BD Team'!F11</f>
        <v>NO</v>
      </c>
      <c r="F6" s="121" t="str">
        <f>'BD Team'!G11</f>
        <v>NA</v>
      </c>
      <c r="G6" s="118">
        <f>'BD Team'!H11</f>
        <v>3660</v>
      </c>
      <c r="H6" s="118">
        <f>'BD Team'!I11</f>
        <v>2440</v>
      </c>
      <c r="I6" s="118">
        <f>'BD Team'!J11</f>
        <v>10</v>
      </c>
      <c r="J6" s="103">
        <f t="shared" si="0"/>
        <v>961.26825599999995</v>
      </c>
      <c r="K6" s="172">
        <f>'BD Team'!K11</f>
        <v>620.91</v>
      </c>
      <c r="L6" s="171">
        <f t="shared" si="1"/>
        <v>6209.0999999999995</v>
      </c>
      <c r="M6" s="170">
        <f>L6*'Changable Values'!$D$4</f>
        <v>515355.29999999993</v>
      </c>
      <c r="N6" s="170" t="str">
        <f>'BD Team'!E11</f>
        <v>10MM</v>
      </c>
      <c r="O6" s="172"/>
      <c r="P6" s="241"/>
      <c r="Q6" s="173"/>
      <c r="R6" s="185"/>
      <c r="S6" s="312"/>
      <c r="T6" s="313">
        <f t="shared" si="2"/>
        <v>406.66666666666669</v>
      </c>
      <c r="U6" s="313">
        <f t="shared" si="3"/>
        <v>488</v>
      </c>
      <c r="V6" s="313">
        <f t="shared" si="4"/>
        <v>25.416666666666668</v>
      </c>
      <c r="W6" s="313">
        <f t="shared" si="5"/>
        <v>406.66666666666669</v>
      </c>
      <c r="X6" s="313">
        <f t="shared" si="6"/>
        <v>813.33333333333337</v>
      </c>
      <c r="Y6" s="313">
        <f t="shared" si="7"/>
        <v>244</v>
      </c>
    </row>
    <row r="7" spans="1:25">
      <c r="A7" s="118">
        <f>'BD Team'!A12</f>
        <v>4</v>
      </c>
      <c r="B7" s="118" t="str">
        <f>'BD Team'!B12</f>
        <v>W3</v>
      </c>
      <c r="C7" s="118" t="str">
        <f>'BD Team'!C12</f>
        <v>M15000</v>
      </c>
      <c r="D7" s="118" t="str">
        <f>'BD Team'!D12</f>
        <v>SIDE HUNG WINDOW WITH TOP &amp; BOTTOM FIXED</v>
      </c>
      <c r="E7" s="118" t="str">
        <f>'BD Team'!F12</f>
        <v>NO</v>
      </c>
      <c r="F7" s="121" t="str">
        <f>'BD Team'!G12</f>
        <v>NA</v>
      </c>
      <c r="G7" s="118">
        <f>'BD Team'!H12</f>
        <v>915</v>
      </c>
      <c r="H7" s="118">
        <f>'BD Team'!I12</f>
        <v>2286</v>
      </c>
      <c r="I7" s="118">
        <f>'BD Team'!J12</f>
        <v>8</v>
      </c>
      <c r="J7" s="103">
        <f t="shared" si="0"/>
        <v>180.11960927999999</v>
      </c>
      <c r="K7" s="172">
        <f>'BD Team'!K12</f>
        <v>189.21</v>
      </c>
      <c r="L7" s="171">
        <f t="shared" si="1"/>
        <v>1513.68</v>
      </c>
      <c r="M7" s="170">
        <f>L7*'Changable Values'!$D$4</f>
        <v>125635.44</v>
      </c>
      <c r="N7" s="170" t="str">
        <f>'BD Team'!E12</f>
        <v>8MM</v>
      </c>
      <c r="O7" s="172"/>
      <c r="P7" s="241"/>
      <c r="Q7" s="173"/>
      <c r="R7" s="185"/>
      <c r="S7" s="312"/>
      <c r="T7" s="313">
        <f t="shared" si="2"/>
        <v>170.72</v>
      </c>
      <c r="U7" s="313">
        <f t="shared" si="3"/>
        <v>204.864</v>
      </c>
      <c r="V7" s="313">
        <f t="shared" si="4"/>
        <v>10.67</v>
      </c>
      <c r="W7" s="313">
        <f t="shared" si="5"/>
        <v>170.72</v>
      </c>
      <c r="X7" s="313">
        <f t="shared" si="6"/>
        <v>341.44</v>
      </c>
      <c r="Y7" s="313">
        <f t="shared" si="7"/>
        <v>102.432</v>
      </c>
    </row>
    <row r="8" spans="1:25">
      <c r="A8" s="118">
        <f>'BD Team'!A13</f>
        <v>5</v>
      </c>
      <c r="B8" s="118" t="str">
        <f>'BD Team'!B13</f>
        <v>W4</v>
      </c>
      <c r="C8" s="118" t="str">
        <f>'BD Team'!C13</f>
        <v>M15000</v>
      </c>
      <c r="D8" s="118" t="str">
        <f>'BD Team'!D13</f>
        <v>TOP HUNG WINDOW WITH TOP &amp; BOTTOM FIXED</v>
      </c>
      <c r="E8" s="118" t="str">
        <f>'BD Team'!F13</f>
        <v>NO</v>
      </c>
      <c r="F8" s="121" t="str">
        <f>'BD Team'!G13</f>
        <v>NA</v>
      </c>
      <c r="G8" s="118">
        <f>'BD Team'!H13</f>
        <v>915</v>
      </c>
      <c r="H8" s="118">
        <f>'BD Team'!I13</f>
        <v>2286</v>
      </c>
      <c r="I8" s="118">
        <f>'BD Team'!J13</f>
        <v>8</v>
      </c>
      <c r="J8" s="103">
        <f t="shared" si="0"/>
        <v>180.11960927999999</v>
      </c>
      <c r="K8" s="172">
        <f>'BD Team'!K13</f>
        <v>231</v>
      </c>
      <c r="L8" s="171">
        <f t="shared" si="1"/>
        <v>1848</v>
      </c>
      <c r="M8" s="170">
        <f>L8*'Changable Values'!$D$4</f>
        <v>153384</v>
      </c>
      <c r="N8" s="170" t="str">
        <f>'BD Team'!E13</f>
        <v>8MM</v>
      </c>
      <c r="O8" s="172"/>
      <c r="P8" s="241"/>
      <c r="Q8" s="173"/>
      <c r="R8" s="185"/>
      <c r="S8" s="312"/>
      <c r="T8" s="313">
        <f t="shared" si="2"/>
        <v>170.72</v>
      </c>
      <c r="U8" s="313">
        <f t="shared" si="3"/>
        <v>204.864</v>
      </c>
      <c r="V8" s="313">
        <f t="shared" si="4"/>
        <v>10.67</v>
      </c>
      <c r="W8" s="313">
        <f t="shared" si="5"/>
        <v>170.72</v>
      </c>
      <c r="X8" s="313">
        <f t="shared" si="6"/>
        <v>341.44</v>
      </c>
      <c r="Y8" s="313">
        <f t="shared" si="7"/>
        <v>102.432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M15000</v>
      </c>
      <c r="D9" s="118" t="str">
        <f>'BD Team'!D14</f>
        <v>2 TOP HUNG WINDOWS WITH CENTER FIXED</v>
      </c>
      <c r="E9" s="118" t="str">
        <f>'BD Team'!F14</f>
        <v>NO</v>
      </c>
      <c r="F9" s="121" t="str">
        <f>'BD Team'!G14</f>
        <v>NA</v>
      </c>
      <c r="G9" s="118">
        <f>'BD Team'!H14</f>
        <v>3965</v>
      </c>
      <c r="H9" s="118">
        <f>'BD Team'!I14</f>
        <v>1372</v>
      </c>
      <c r="I9" s="118">
        <f>'BD Team'!J14</f>
        <v>2</v>
      </c>
      <c r="J9" s="103">
        <f t="shared" si="0"/>
        <v>117.11188944</v>
      </c>
      <c r="K9" s="172">
        <f>'BD Team'!K14</f>
        <v>433.74</v>
      </c>
      <c r="L9" s="171">
        <f t="shared" si="1"/>
        <v>867.48</v>
      </c>
      <c r="M9" s="170">
        <f>L9*'Changable Values'!$D$4</f>
        <v>72000.84</v>
      </c>
      <c r="N9" s="170" t="str">
        <f>'BD Team'!E14</f>
        <v>8MM</v>
      </c>
      <c r="O9" s="172"/>
      <c r="P9" s="241"/>
      <c r="Q9" s="173"/>
      <c r="R9" s="185"/>
      <c r="S9" s="312"/>
      <c r="T9" s="313">
        <f t="shared" si="2"/>
        <v>71.16</v>
      </c>
      <c r="U9" s="313">
        <f t="shared" si="3"/>
        <v>85.391999999999996</v>
      </c>
      <c r="V9" s="313">
        <f t="shared" si="4"/>
        <v>4.4474999999999998</v>
      </c>
      <c r="W9" s="313">
        <f t="shared" si="5"/>
        <v>71.16</v>
      </c>
      <c r="X9" s="313">
        <f t="shared" si="6"/>
        <v>142.32</v>
      </c>
      <c r="Y9" s="313">
        <f t="shared" si="7"/>
        <v>42.695999999999998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2269.1400000000003</v>
      </c>
      <c r="L104" s="168">
        <f>SUM(L4:L103)</f>
        <v>12026.82</v>
      </c>
      <c r="M104" s="168">
        <f>SUM(M4:M103)</f>
        <v>998226.05999999994</v>
      </c>
      <c r="T104" s="314">
        <f t="shared" ref="T104:Y104" si="16">SUM(T4:T103)</f>
        <v>945.34666666666669</v>
      </c>
      <c r="U104" s="314">
        <f t="shared" si="16"/>
        <v>1134.4160000000002</v>
      </c>
      <c r="V104" s="314">
        <f t="shared" si="16"/>
        <v>59.084166666666668</v>
      </c>
      <c r="W104" s="314">
        <f t="shared" si="16"/>
        <v>945.34666666666669</v>
      </c>
      <c r="X104" s="314">
        <f t="shared" si="16"/>
        <v>1890.6933333333334</v>
      </c>
      <c r="Y104" s="314">
        <f t="shared" si="16"/>
        <v>567.20800000000008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281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W</v>
      </c>
      <c r="E8" s="132" t="str">
        <f>Pricing!N4</f>
        <v>8MM</v>
      </c>
      <c r="F8" s="68">
        <f>Pricing!G4</f>
        <v>1678</v>
      </c>
      <c r="G8" s="68">
        <f>Pricing!H4</f>
        <v>2440</v>
      </c>
      <c r="H8" s="100">
        <f t="shared" ref="H8:H57" si="0">(F8*G8)/1000000</f>
        <v>4.0943199999999997</v>
      </c>
      <c r="I8" s="70">
        <f>Pricing!I4</f>
        <v>2</v>
      </c>
      <c r="J8" s="69">
        <f t="shared" ref="J8" si="1">H8*I8</f>
        <v>8.1886399999999995</v>
      </c>
      <c r="K8" s="71">
        <f t="shared" ref="K8" si="2">J8*10.764</f>
        <v>88.142520959999985</v>
      </c>
      <c r="L8" s="69"/>
      <c r="M8" s="72"/>
      <c r="N8" s="72"/>
      <c r="O8" s="72">
        <f t="shared" ref="O8:O35" si="3">N8*M8*L8/1000000</f>
        <v>0</v>
      </c>
      <c r="P8" s="73">
        <f>Pricing!M4</f>
        <v>58818.78</v>
      </c>
      <c r="Q8" s="74">
        <f t="shared" ref="Q8:Q56" si="4">P8*$Q$6</f>
        <v>5881.8780000000006</v>
      </c>
      <c r="R8" s="74">
        <f t="shared" ref="R8:R56" si="5">(P8+Q8)*$R$6</f>
        <v>7117.0723799999996</v>
      </c>
      <c r="S8" s="74">
        <f t="shared" ref="S8:S56" si="6">(P8+Q8+R8)*$S$6</f>
        <v>359.0886519</v>
      </c>
      <c r="T8" s="74">
        <f t="shared" ref="T8:T56" si="7">(P8+Q8+R8+S8)*$T$6</f>
        <v>721.76819031900004</v>
      </c>
      <c r="U8" s="72">
        <f t="shared" ref="U8:U56" si="8">SUM(P8:T8)</f>
        <v>72898.587222218994</v>
      </c>
      <c r="V8" s="74">
        <f t="shared" ref="V8:V56" si="9">U8*$V$6</f>
        <v>1093.4788083332849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1350.1639344262296</v>
      </c>
      <c r="AF8" s="341">
        <f>(((((F8*4)+(G8*4))/1000)*$AF$6*$AG$6)/300)*I8*$AF$7</f>
        <v>592.99200000000008</v>
      </c>
      <c r="AG8" s="342"/>
      <c r="AH8" s="76">
        <f>(((F8+G8))*I8/1000)*8*$AH$7</f>
        <v>49.416000000000004</v>
      </c>
      <c r="AI8" s="76">
        <f t="shared" ref="AI8:AI57" si="15">(((F8+G8)*2*I8)/1000)*2*$AI$7</f>
        <v>164.72000000000003</v>
      </c>
      <c r="AJ8" s="76">
        <f>J8*Pricing!Q4</f>
        <v>0</v>
      </c>
      <c r="AK8" s="76">
        <f>J8*Pricing!R4</f>
        <v>0</v>
      </c>
      <c r="AL8" s="76">
        <f t="shared" ref="AL8:AL39" si="16">J8*$AL$6</f>
        <v>8814.2520959999983</v>
      </c>
      <c r="AM8" s="77">
        <f t="shared" ref="AM8:AM39" si="17">$AM$6*J8</f>
        <v>0</v>
      </c>
      <c r="AN8" s="76">
        <f t="shared" ref="AN8:AN39" si="18">$AN$6*J8</f>
        <v>7051.4016767999983</v>
      </c>
      <c r="AO8" s="72">
        <f t="shared" ref="AO8:AO39" si="19">SUM(U8:V8)+SUM(AC8:AI8)-AD8</f>
        <v>76149.35796497851</v>
      </c>
      <c r="AP8" s="74">
        <f t="shared" ref="AP8:AP39" si="20">AO8*$AP$6</f>
        <v>95186.697456223133</v>
      </c>
      <c r="AQ8" s="74">
        <f t="shared" ref="AQ8:AQ56" si="21">(AO8+AP8)*$AQ$6</f>
        <v>0</v>
      </c>
      <c r="AR8" s="74">
        <f t="shared" ref="AR8:AR39" si="22">SUM(AO8:AQ8)/J8</f>
        <v>20923.627784491888</v>
      </c>
      <c r="AS8" s="72">
        <f t="shared" ref="AS8:AS39" si="23">SUM(AJ8:AQ8)+AD8+AB8</f>
        <v>187201.70919400163</v>
      </c>
      <c r="AT8" s="72">
        <f t="shared" ref="AT8:AT39" si="24">AS8/J8</f>
        <v>22861.147784491885</v>
      </c>
      <c r="AU8" s="78">
        <f t="shared" ref="AU8:AU56" si="25">AT8/10.764</f>
        <v>2123.8524511791052</v>
      </c>
      <c r="AV8" s="79">
        <f t="shared" ref="AV8:AV39" si="26">K8/$K$109</f>
        <v>5.2497379823861594E-2</v>
      </c>
      <c r="AW8" s="80">
        <f t="shared" ref="AW8:AW39" si="27">(U8+V8)/(J8*10.764)</f>
        <v>839.45938038385202</v>
      </c>
      <c r="AX8" s="81">
        <f t="shared" ref="AX8:AX39" si="28">SUM(W8:AN8,AP8)/(J8*10.764)</f>
        <v>1284.3930707952534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W1</v>
      </c>
      <c r="E9" s="132" t="str">
        <f>Pricing!N5</f>
        <v>10MM</v>
      </c>
      <c r="F9" s="68">
        <f>Pricing!G5</f>
        <v>2898</v>
      </c>
      <c r="G9" s="68">
        <f>Pricing!H5</f>
        <v>2440</v>
      </c>
      <c r="H9" s="100">
        <f t="shared" si="0"/>
        <v>7.0711199999999996</v>
      </c>
      <c r="I9" s="70">
        <f>Pricing!I5</f>
        <v>2</v>
      </c>
      <c r="J9" s="69">
        <f t="shared" ref="J9:J58" si="30">H9*I9</f>
        <v>14.142239999999999</v>
      </c>
      <c r="K9" s="71">
        <f t="shared" ref="K9:K58" si="31">J9*10.764</f>
        <v>152.22707136</v>
      </c>
      <c r="L9" s="69"/>
      <c r="M9" s="72"/>
      <c r="N9" s="72"/>
      <c r="O9" s="72">
        <f t="shared" si="3"/>
        <v>0</v>
      </c>
      <c r="P9" s="73">
        <f>Pricing!M5</f>
        <v>73031.7</v>
      </c>
      <c r="Q9" s="74">
        <f t="shared" ref="Q9:Q14" si="32">P9*$Q$6</f>
        <v>7303.17</v>
      </c>
      <c r="R9" s="74">
        <f t="shared" ref="R9:R14" si="33">(P9+Q9)*$R$6</f>
        <v>8836.8356999999996</v>
      </c>
      <c r="S9" s="74">
        <f t="shared" ref="S9:S14" si="34">(P9+Q9+R9)*$S$6</f>
        <v>445.85852849999998</v>
      </c>
      <c r="T9" s="74">
        <f t="shared" ref="T9:T14" si="35">(P9+Q9+R9+S9)*$T$6</f>
        <v>896.17564228499998</v>
      </c>
      <c r="U9" s="72">
        <f t="shared" ref="U9:U14" si="36">SUM(P9:T9)</f>
        <v>90513.739870784993</v>
      </c>
      <c r="V9" s="74">
        <f t="shared" ref="V9:V14" si="37">U9*$V$6</f>
        <v>1357.7060980617748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1750.1639344262294</v>
      </c>
      <c r="AF9" s="341">
        <f t="shared" ref="AF9:AF57" si="44">(((((F9*4)+(G9*4))/1000)*$AF$6*$AG$6)/300)*I9*$AF$7</f>
        <v>768.67200000000003</v>
      </c>
      <c r="AG9" s="342"/>
      <c r="AH9" s="76">
        <f t="shared" ref="AH9:AH72" si="45">(((F9+G9))*I9/1000)*8*$AH$7</f>
        <v>64.055999999999997</v>
      </c>
      <c r="AI9" s="76">
        <f t="shared" si="15"/>
        <v>213.52</v>
      </c>
      <c r="AJ9" s="76">
        <f>J9*Pricing!Q5</f>
        <v>0</v>
      </c>
      <c r="AK9" s="76">
        <f>J9*Pricing!R5</f>
        <v>0</v>
      </c>
      <c r="AL9" s="76">
        <f t="shared" si="16"/>
        <v>15222.707135999997</v>
      </c>
      <c r="AM9" s="77">
        <f t="shared" si="17"/>
        <v>0</v>
      </c>
      <c r="AN9" s="76">
        <f t="shared" si="18"/>
        <v>12178.165708799997</v>
      </c>
      <c r="AO9" s="72">
        <f t="shared" si="19"/>
        <v>94667.85790327299</v>
      </c>
      <c r="AP9" s="74">
        <f t="shared" si="20"/>
        <v>118334.82237909123</v>
      </c>
      <c r="AQ9" s="74">
        <f t="shared" ref="AQ9:AQ14" si="46">(AO9+AP9)*$AQ$6</f>
        <v>0</v>
      </c>
      <c r="AR9" s="74">
        <f t="shared" si="22"/>
        <v>15061.452802552087</v>
      </c>
      <c r="AS9" s="72">
        <f t="shared" si="23"/>
        <v>240403.55312716422</v>
      </c>
      <c r="AT9" s="72">
        <f t="shared" si="24"/>
        <v>16998.972802552089</v>
      </c>
      <c r="AU9" s="78">
        <f t="shared" ref="AU9:AU14" si="47">AT9/10.764</f>
        <v>1579.2431068888973</v>
      </c>
      <c r="AV9" s="79">
        <f t="shared" si="26"/>
        <v>9.0665915810221043E-2</v>
      </c>
      <c r="AW9" s="80">
        <f t="shared" si="27"/>
        <v>603.51582112212532</v>
      </c>
      <c r="AX9" s="81">
        <f t="shared" si="28"/>
        <v>975.72728576677173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 WITH 2 FIXED</v>
      </c>
      <c r="D10" s="131" t="str">
        <f>Pricing!B6</f>
        <v>W2</v>
      </c>
      <c r="E10" s="132" t="str">
        <f>Pricing!N6</f>
        <v>10MM</v>
      </c>
      <c r="F10" s="68">
        <f>Pricing!G6</f>
        <v>3660</v>
      </c>
      <c r="G10" s="68">
        <f>Pricing!H6</f>
        <v>2440</v>
      </c>
      <c r="H10" s="100">
        <f t="shared" si="0"/>
        <v>8.9304000000000006</v>
      </c>
      <c r="I10" s="70">
        <f>Pricing!I6</f>
        <v>10</v>
      </c>
      <c r="J10" s="69">
        <f t="shared" si="30"/>
        <v>89.304000000000002</v>
      </c>
      <c r="K10" s="71">
        <f t="shared" si="31"/>
        <v>961.26825599999995</v>
      </c>
      <c r="L10" s="69"/>
      <c r="M10" s="72"/>
      <c r="N10" s="72"/>
      <c r="O10" s="72">
        <f t="shared" si="3"/>
        <v>0</v>
      </c>
      <c r="P10" s="73">
        <f>Pricing!M6</f>
        <v>515355.29999999993</v>
      </c>
      <c r="Q10" s="74">
        <f t="shared" si="32"/>
        <v>51535.53</v>
      </c>
      <c r="R10" s="74">
        <f t="shared" si="33"/>
        <v>62357.991299999994</v>
      </c>
      <c r="S10" s="74">
        <f t="shared" si="34"/>
        <v>3146.2441064999998</v>
      </c>
      <c r="T10" s="74">
        <f t="shared" si="35"/>
        <v>6323.9506540649991</v>
      </c>
      <c r="U10" s="72">
        <f t="shared" si="36"/>
        <v>638719.0160605649</v>
      </c>
      <c r="V10" s="74">
        <f t="shared" si="37"/>
        <v>9580.7852409084735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10000</v>
      </c>
      <c r="AF10" s="341">
        <f t="shared" si="44"/>
        <v>4391.9999999999991</v>
      </c>
      <c r="AG10" s="342"/>
      <c r="AH10" s="76">
        <f t="shared" si="45"/>
        <v>366</v>
      </c>
      <c r="AI10" s="76">
        <f t="shared" si="15"/>
        <v>1220</v>
      </c>
      <c r="AJ10" s="76">
        <f>J10*Pricing!Q6</f>
        <v>0</v>
      </c>
      <c r="AK10" s="76">
        <f>J10*Pricing!R6</f>
        <v>0</v>
      </c>
      <c r="AL10" s="76">
        <f t="shared" si="16"/>
        <v>96126.825599999996</v>
      </c>
      <c r="AM10" s="77">
        <f t="shared" si="17"/>
        <v>0</v>
      </c>
      <c r="AN10" s="76">
        <f t="shared" si="18"/>
        <v>76901.460479999994</v>
      </c>
      <c r="AO10" s="72">
        <f t="shared" si="19"/>
        <v>664277.8013014734</v>
      </c>
      <c r="AP10" s="74">
        <f t="shared" si="20"/>
        <v>830347.25162684172</v>
      </c>
      <c r="AQ10" s="74">
        <f t="shared" si="46"/>
        <v>0</v>
      </c>
      <c r="AR10" s="74">
        <f t="shared" si="22"/>
        <v>16736.372983610083</v>
      </c>
      <c r="AS10" s="72">
        <f t="shared" si="23"/>
        <v>1667653.339008315</v>
      </c>
      <c r="AT10" s="72">
        <f t="shared" si="24"/>
        <v>18673.892983610083</v>
      </c>
      <c r="AU10" s="78">
        <f t="shared" si="47"/>
        <v>1734.8469884438948</v>
      </c>
      <c r="AV10" s="79">
        <f t="shared" si="26"/>
        <v>0.57252803979539169</v>
      </c>
      <c r="AW10" s="80">
        <f t="shared" si="27"/>
        <v>674.42131502309121</v>
      </c>
      <c r="AX10" s="81">
        <f t="shared" si="28"/>
        <v>1060.4256734208041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WITH TOP &amp; BOTTOM FIXED</v>
      </c>
      <c r="D11" s="131" t="str">
        <f>Pricing!B7</f>
        <v>W3</v>
      </c>
      <c r="E11" s="132" t="str">
        <f>Pricing!N7</f>
        <v>8MM</v>
      </c>
      <c r="F11" s="68">
        <f>Pricing!G7</f>
        <v>915</v>
      </c>
      <c r="G11" s="68">
        <f>Pricing!H7</f>
        <v>2286</v>
      </c>
      <c r="H11" s="100">
        <f t="shared" si="0"/>
        <v>2.0916899999999998</v>
      </c>
      <c r="I11" s="70">
        <f>Pricing!I7</f>
        <v>8</v>
      </c>
      <c r="J11" s="69">
        <f t="shared" si="30"/>
        <v>16.733519999999999</v>
      </c>
      <c r="K11" s="71">
        <f t="shared" si="31"/>
        <v>180.11960927999996</v>
      </c>
      <c r="L11" s="69"/>
      <c r="M11" s="72"/>
      <c r="N11" s="72"/>
      <c r="O11" s="72">
        <f t="shared" si="3"/>
        <v>0</v>
      </c>
      <c r="P11" s="73">
        <f>Pricing!M7</f>
        <v>125635.44</v>
      </c>
      <c r="Q11" s="74">
        <f t="shared" si="32"/>
        <v>12563.544000000002</v>
      </c>
      <c r="R11" s="74">
        <f t="shared" si="33"/>
        <v>15201.88824</v>
      </c>
      <c r="S11" s="74">
        <f t="shared" si="34"/>
        <v>767.00436119999995</v>
      </c>
      <c r="T11" s="74">
        <f t="shared" si="35"/>
        <v>1541.6787660120001</v>
      </c>
      <c r="U11" s="72">
        <f t="shared" si="36"/>
        <v>155709.55536721199</v>
      </c>
      <c r="V11" s="74">
        <f t="shared" si="37"/>
        <v>2335.6433305081796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4198.0327868852455</v>
      </c>
      <c r="AF11" s="341">
        <f t="shared" si="44"/>
        <v>1843.7759999999998</v>
      </c>
      <c r="AG11" s="342"/>
      <c r="AH11" s="76">
        <f t="shared" si="45"/>
        <v>153.648</v>
      </c>
      <c r="AI11" s="76">
        <f t="shared" si="15"/>
        <v>512.16</v>
      </c>
      <c r="AJ11" s="76">
        <f>J11*Pricing!Q7</f>
        <v>0</v>
      </c>
      <c r="AK11" s="76">
        <f>J11*Pricing!R7</f>
        <v>0</v>
      </c>
      <c r="AL11" s="76">
        <f t="shared" si="16"/>
        <v>18011.960927999997</v>
      </c>
      <c r="AM11" s="77">
        <f t="shared" si="17"/>
        <v>0</v>
      </c>
      <c r="AN11" s="76">
        <f t="shared" si="18"/>
        <v>14409.568742399997</v>
      </c>
      <c r="AO11" s="72">
        <f t="shared" si="19"/>
        <v>164752.81548460541</v>
      </c>
      <c r="AP11" s="74">
        <f t="shared" si="20"/>
        <v>205941.01935575675</v>
      </c>
      <c r="AQ11" s="74">
        <f t="shared" si="46"/>
        <v>0</v>
      </c>
      <c r="AR11" s="74">
        <f t="shared" si="22"/>
        <v>22152.770895804482</v>
      </c>
      <c r="AS11" s="72">
        <f t="shared" si="23"/>
        <v>403115.36451076216</v>
      </c>
      <c r="AT11" s="72">
        <f t="shared" si="24"/>
        <v>24090.290895804479</v>
      </c>
      <c r="AU11" s="78">
        <f t="shared" si="47"/>
        <v>2238.0426324604682</v>
      </c>
      <c r="AV11" s="79">
        <f t="shared" si="26"/>
        <v>0.1072786146698578</v>
      </c>
      <c r="AW11" s="80">
        <f t="shared" si="27"/>
        <v>877.44582241478975</v>
      </c>
      <c r="AX11" s="81">
        <f t="shared" si="28"/>
        <v>1360.5968100456789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 WITH TOP &amp; BOTTOM FIXED</v>
      </c>
      <c r="D12" s="131" t="str">
        <f>Pricing!B8</f>
        <v>W4</v>
      </c>
      <c r="E12" s="132" t="str">
        <f>Pricing!N8</f>
        <v>8MM</v>
      </c>
      <c r="F12" s="68">
        <f>Pricing!G8</f>
        <v>915</v>
      </c>
      <c r="G12" s="68">
        <f>Pricing!H8</f>
        <v>2286</v>
      </c>
      <c r="H12" s="100">
        <f t="shared" si="0"/>
        <v>2.0916899999999998</v>
      </c>
      <c r="I12" s="70">
        <f>Pricing!I8</f>
        <v>8</v>
      </c>
      <c r="J12" s="69">
        <f t="shared" si="30"/>
        <v>16.733519999999999</v>
      </c>
      <c r="K12" s="71">
        <f t="shared" si="31"/>
        <v>180.11960927999996</v>
      </c>
      <c r="L12" s="69"/>
      <c r="M12" s="72"/>
      <c r="N12" s="72"/>
      <c r="O12" s="72">
        <f t="shared" si="3"/>
        <v>0</v>
      </c>
      <c r="P12" s="73">
        <f>Pricing!M8</f>
        <v>153384</v>
      </c>
      <c r="Q12" s="74">
        <f t="shared" si="32"/>
        <v>15338.400000000001</v>
      </c>
      <c r="R12" s="74">
        <f t="shared" si="33"/>
        <v>18559.464</v>
      </c>
      <c r="S12" s="74">
        <f t="shared" si="34"/>
        <v>936.40931999999998</v>
      </c>
      <c r="T12" s="74">
        <f t="shared" si="35"/>
        <v>1882.1827332</v>
      </c>
      <c r="U12" s="72">
        <f t="shared" si="36"/>
        <v>190100.4560532</v>
      </c>
      <c r="V12" s="74">
        <f t="shared" si="37"/>
        <v>2851.5068407979998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4198.0327868852455</v>
      </c>
      <c r="AF12" s="341">
        <f t="shared" si="44"/>
        <v>1843.7759999999998</v>
      </c>
      <c r="AG12" s="342"/>
      <c r="AH12" s="76">
        <f t="shared" si="45"/>
        <v>153.648</v>
      </c>
      <c r="AI12" s="76">
        <f t="shared" si="15"/>
        <v>512.16</v>
      </c>
      <c r="AJ12" s="76">
        <f>J12*Pricing!Q8</f>
        <v>0</v>
      </c>
      <c r="AK12" s="76">
        <f>J12*Pricing!R8</f>
        <v>0</v>
      </c>
      <c r="AL12" s="76">
        <f t="shared" si="16"/>
        <v>18011.960927999997</v>
      </c>
      <c r="AM12" s="77">
        <f t="shared" si="17"/>
        <v>0</v>
      </c>
      <c r="AN12" s="76">
        <f t="shared" si="18"/>
        <v>14409.568742399997</v>
      </c>
      <c r="AO12" s="72">
        <f t="shared" si="19"/>
        <v>199659.57968088327</v>
      </c>
      <c r="AP12" s="74">
        <f t="shared" si="20"/>
        <v>249574.4746011041</v>
      </c>
      <c r="AQ12" s="74">
        <f t="shared" si="46"/>
        <v>0</v>
      </c>
      <c r="AR12" s="74">
        <f t="shared" si="22"/>
        <v>26846.357149122683</v>
      </c>
      <c r="AS12" s="72">
        <f t="shared" si="23"/>
        <v>481655.58395238733</v>
      </c>
      <c r="AT12" s="72">
        <f t="shared" si="24"/>
        <v>28783.87714912268</v>
      </c>
      <c r="AU12" s="78">
        <f t="shared" si="47"/>
        <v>2674.0874348869083</v>
      </c>
      <c r="AV12" s="79">
        <f t="shared" si="26"/>
        <v>0.1072786146698578</v>
      </c>
      <c r="AW12" s="80">
        <f t="shared" si="27"/>
        <v>1071.2435123820965</v>
      </c>
      <c r="AX12" s="81">
        <f t="shared" si="28"/>
        <v>1602.8439225048121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TOP HUNG WINDOWS WITH CENTER FIXED</v>
      </c>
      <c r="D13" s="131" t="str">
        <f>Pricing!B9</f>
        <v>W5</v>
      </c>
      <c r="E13" s="132" t="str">
        <f>Pricing!N9</f>
        <v>8MM</v>
      </c>
      <c r="F13" s="68">
        <f>Pricing!G9</f>
        <v>3965</v>
      </c>
      <c r="G13" s="68">
        <f>Pricing!H9</f>
        <v>1372</v>
      </c>
      <c r="H13" s="100">
        <f t="shared" si="0"/>
        <v>5.4399800000000003</v>
      </c>
      <c r="I13" s="70">
        <f>Pricing!I9</f>
        <v>2</v>
      </c>
      <c r="J13" s="69">
        <f t="shared" si="30"/>
        <v>10.879960000000001</v>
      </c>
      <c r="K13" s="71">
        <f t="shared" si="31"/>
        <v>117.11188944</v>
      </c>
      <c r="L13" s="69"/>
      <c r="M13" s="72"/>
      <c r="N13" s="72"/>
      <c r="O13" s="72">
        <f t="shared" si="3"/>
        <v>0</v>
      </c>
      <c r="P13" s="73">
        <f>Pricing!M9</f>
        <v>72000.84</v>
      </c>
      <c r="Q13" s="74">
        <f t="shared" si="32"/>
        <v>7200.0839999999998</v>
      </c>
      <c r="R13" s="74">
        <f t="shared" si="33"/>
        <v>8712.1016400000008</v>
      </c>
      <c r="S13" s="74">
        <f t="shared" si="34"/>
        <v>439.56512820000006</v>
      </c>
      <c r="T13" s="74">
        <f t="shared" si="35"/>
        <v>883.52590768200014</v>
      </c>
      <c r="U13" s="72">
        <f t="shared" si="36"/>
        <v>89236.116675882004</v>
      </c>
      <c r="V13" s="74">
        <f t="shared" si="37"/>
        <v>1338.5417501382301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1749.8360655737706</v>
      </c>
      <c r="AF13" s="341">
        <f t="shared" si="44"/>
        <v>768.52800000000002</v>
      </c>
      <c r="AG13" s="342"/>
      <c r="AH13" s="76">
        <f t="shared" si="45"/>
        <v>64.043999999999997</v>
      </c>
      <c r="AI13" s="76">
        <f t="shared" si="15"/>
        <v>213.48</v>
      </c>
      <c r="AJ13" s="76">
        <f>J13*Pricing!Q9</f>
        <v>0</v>
      </c>
      <c r="AK13" s="76">
        <f>J13*Pricing!R9</f>
        <v>0</v>
      </c>
      <c r="AL13" s="76">
        <f t="shared" si="16"/>
        <v>11711.188944</v>
      </c>
      <c r="AM13" s="77">
        <f t="shared" si="17"/>
        <v>0</v>
      </c>
      <c r="AN13" s="76">
        <f t="shared" si="18"/>
        <v>9368.9511551999985</v>
      </c>
      <c r="AO13" s="72">
        <f t="shared" si="19"/>
        <v>93370.54649159401</v>
      </c>
      <c r="AP13" s="74">
        <f t="shared" si="20"/>
        <v>116713.18311449251</v>
      </c>
      <c r="AQ13" s="74">
        <f t="shared" si="46"/>
        <v>0</v>
      </c>
      <c r="AR13" s="74">
        <f t="shared" si="22"/>
        <v>19309.237313931899</v>
      </c>
      <c r="AS13" s="72">
        <f t="shared" si="23"/>
        <v>231163.86970528652</v>
      </c>
      <c r="AT13" s="72">
        <f t="shared" si="24"/>
        <v>21246.757313931899</v>
      </c>
      <c r="AU13" s="78">
        <f t="shared" si="47"/>
        <v>1973.871916939047</v>
      </c>
      <c r="AV13" s="79">
        <f t="shared" si="26"/>
        <v>6.9751435230810149E-2</v>
      </c>
      <c r="AW13" s="80">
        <f t="shared" si="27"/>
        <v>773.40275918291286</v>
      </c>
      <c r="AX13" s="81">
        <f t="shared" si="28"/>
        <v>1200.4691577561339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1">
        <f t="shared" si="44"/>
        <v>0</v>
      </c>
      <c r="AG14" s="342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1">
        <f t="shared" si="44"/>
        <v>0</v>
      </c>
      <c r="AG15" s="342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1">
        <f t="shared" si="44"/>
        <v>0</v>
      </c>
      <c r="AG16" s="342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1">
        <f t="shared" si="44"/>
        <v>0</v>
      </c>
      <c r="AG17" s="342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1">
        <f t="shared" si="44"/>
        <v>0</v>
      </c>
      <c r="AG18" s="342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1">
        <f t="shared" si="44"/>
        <v>0</v>
      </c>
      <c r="AG19" s="342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1">
        <f t="shared" si="44"/>
        <v>0</v>
      </c>
      <c r="AG20" s="342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1">
        <f t="shared" si="44"/>
        <v>0</v>
      </c>
      <c r="AG21" s="342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1">
        <f t="shared" si="44"/>
        <v>0</v>
      </c>
      <c r="AG22" s="342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1">
        <f t="shared" si="44"/>
        <v>0</v>
      </c>
      <c r="AG23" s="342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1">
        <f t="shared" si="44"/>
        <v>0</v>
      </c>
      <c r="AG24" s="342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1">
        <f t="shared" si="44"/>
        <v>0</v>
      </c>
      <c r="AG25" s="342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1">
        <f t="shared" si="44"/>
        <v>0</v>
      </c>
      <c r="AG26" s="342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1">
        <f t="shared" si="44"/>
        <v>0</v>
      </c>
      <c r="AG27" s="342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1">
        <f t="shared" si="44"/>
        <v>0</v>
      </c>
      <c r="AG28" s="342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1">
        <f t="shared" si="44"/>
        <v>0</v>
      </c>
      <c r="AG29" s="342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1">
        <f t="shared" si="44"/>
        <v>0</v>
      </c>
      <c r="AG30" s="342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1">
        <f t="shared" si="44"/>
        <v>0</v>
      </c>
      <c r="AG31" s="342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1">
        <f t="shared" si="44"/>
        <v>0</v>
      </c>
      <c r="AG32" s="342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1">
        <f t="shared" si="44"/>
        <v>0</v>
      </c>
      <c r="AG33" s="34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29.719200000000001</v>
      </c>
      <c r="I109" s="87">
        <f>SUM(I8:I108)</f>
        <v>32</v>
      </c>
      <c r="J109" s="88">
        <f>SUM(J8:J108)</f>
        <v>155.98188000000002</v>
      </c>
      <c r="K109" s="89">
        <f>SUM(K8:K108)</f>
        <v>1678.9889563199997</v>
      </c>
      <c r="L109" s="88">
        <f>SUM(L8:L8)</f>
        <v>0</v>
      </c>
      <c r="M109" s="88"/>
      <c r="N109" s="88"/>
      <c r="O109" s="88"/>
      <c r="P109" s="87">
        <f>SUM(P8:P108)</f>
        <v>998226.05999999994</v>
      </c>
      <c r="Q109" s="88">
        <f t="shared" ref="Q109:AE109" si="156">SUM(Q8:Q108)</f>
        <v>99822.606</v>
      </c>
      <c r="R109" s="88">
        <f t="shared" si="156"/>
        <v>120785.35326</v>
      </c>
      <c r="S109" s="88">
        <f t="shared" si="156"/>
        <v>6094.1700962999994</v>
      </c>
      <c r="T109" s="88">
        <f t="shared" si="156"/>
        <v>12249.281893562998</v>
      </c>
      <c r="U109" s="88">
        <f t="shared" si="156"/>
        <v>1237177.4712498628</v>
      </c>
      <c r="V109" s="88">
        <f t="shared" si="156"/>
        <v>18557.662068747941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23246.229508196724</v>
      </c>
      <c r="AF109" s="352">
        <f>SUM(AF8:AG108)</f>
        <v>10209.743999999999</v>
      </c>
      <c r="AG109" s="353"/>
      <c r="AH109" s="88">
        <f t="shared" ref="AH109:AQ109" si="157">SUM(AH8:AH108)</f>
        <v>850.81200000000001</v>
      </c>
      <c r="AI109" s="88">
        <f t="shared" si="157"/>
        <v>2836.04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167898.89563199997</v>
      </c>
      <c r="AM109" s="88">
        <f t="shared" si="157"/>
        <v>0</v>
      </c>
      <c r="AN109" s="88">
        <f t="shared" si="157"/>
        <v>134319.11650559996</v>
      </c>
      <c r="AO109" s="88">
        <f t="shared" si="157"/>
        <v>1292877.9588268076</v>
      </c>
      <c r="AP109" s="88">
        <f t="shared" si="157"/>
        <v>1616097.4485335096</v>
      </c>
      <c r="AQ109" s="88">
        <f t="shared" si="157"/>
        <v>0</v>
      </c>
      <c r="AR109" s="88"/>
      <c r="AS109" s="87">
        <f>SUM(AS8:AS108)</f>
        <v>3211193.4194979165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10209.743999999999</v>
      </c>
      <c r="AW110" s="84"/>
    </row>
    <row r="111" spans="2:54">
      <c r="AF111" s="174"/>
      <c r="AG111" s="174"/>
      <c r="AH111" s="174">
        <f>SUM(AE109:AI109,AC109)</f>
        <v>37142.825508196722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21" sqref="O2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28515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4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/>
    </row>
    <row r="2" spans="2:15" ht="23.25" customHeight="1">
      <c r="B2" s="427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23.25" customHeight="1">
      <c r="B3" s="427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9"/>
    </row>
    <row r="4" spans="2:15" ht="30" customHeight="1">
      <c r="B4" s="4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9"/>
    </row>
    <row r="5" spans="2:15" ht="30" customHeight="1" thickBot="1">
      <c r="B5" s="4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9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ABPL-DE-19.20-2132-OP-2</v>
      </c>
      <c r="N6" s="473"/>
    </row>
    <row r="7" spans="2:15" ht="24.95" customHeight="1">
      <c r="B7" s="492" t="s">
        <v>126</v>
      </c>
      <c r="C7" s="493"/>
      <c r="D7" s="493"/>
      <c r="E7" s="493"/>
      <c r="F7" s="433" t="str">
        <f>'BD Team'!E2</f>
        <v>Inheritance Furniture &amp; Decor</v>
      </c>
      <c r="G7" s="433"/>
      <c r="H7" s="433"/>
      <c r="I7" s="433"/>
      <c r="J7" s="434"/>
      <c r="K7" s="500" t="s">
        <v>104</v>
      </c>
      <c r="L7" s="493"/>
      <c r="M7" s="498">
        <f>'BD Team'!J3</f>
        <v>43675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180</v>
      </c>
      <c r="H8" s="485"/>
      <c r="I8" s="433" t="str">
        <f>'BD Team'!G3</f>
        <v>1.5Kpa</v>
      </c>
      <c r="J8" s="434"/>
      <c r="K8" s="500" t="s">
        <v>105</v>
      </c>
      <c r="L8" s="493"/>
      <c r="M8" s="178" t="s">
        <v>365</v>
      </c>
      <c r="N8" s="179">
        <v>43675</v>
      </c>
    </row>
    <row r="9" spans="2:15" ht="24.95" customHeight="1">
      <c r="B9" s="492" t="s">
        <v>169</v>
      </c>
      <c r="C9" s="493"/>
      <c r="D9" s="493"/>
      <c r="E9" s="493"/>
      <c r="F9" s="433" t="str">
        <f>'BD Team'!E4</f>
        <v>Ms. Rachana: 9154030271</v>
      </c>
      <c r="G9" s="433"/>
      <c r="H9" s="433"/>
      <c r="I9" s="433"/>
      <c r="J9" s="434"/>
      <c r="K9" s="500" t="s">
        <v>179</v>
      </c>
      <c r="L9" s="493"/>
      <c r="M9" s="474" t="str">
        <f>'BD Team'!J4</f>
        <v>Nikhil</v>
      </c>
      <c r="N9" s="475"/>
    </row>
    <row r="10" spans="2:15" ht="27.75" customHeight="1" thickBot="1">
      <c r="B10" s="494" t="s">
        <v>177</v>
      </c>
      <c r="C10" s="495"/>
      <c r="D10" s="495"/>
      <c r="E10" s="495"/>
      <c r="F10" s="217" t="str">
        <f>'BD Team'!E5</f>
        <v>Anodized</v>
      </c>
      <c r="G10" s="505" t="s">
        <v>178</v>
      </c>
      <c r="H10" s="506"/>
      <c r="I10" s="503" t="str">
        <f>'BD Team'!G5</f>
        <v>Black</v>
      </c>
      <c r="J10" s="504"/>
      <c r="K10" s="501" t="s">
        <v>374</v>
      </c>
      <c r="L10" s="502"/>
      <c r="M10" s="496">
        <f>'BD Team'!J5</f>
        <v>0</v>
      </c>
      <c r="N10" s="497"/>
    </row>
    <row r="11" spans="2:15" ht="19.5" thickTop="1">
      <c r="B11" s="430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2"/>
    </row>
    <row r="12" spans="2:15" s="93" customFormat="1" ht="19.5" thickBot="1">
      <c r="B12" s="430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2"/>
    </row>
    <row r="13" spans="2:15" s="93" customFormat="1" ht="18" customHeight="1" thickTop="1" thickBot="1">
      <c r="B13" s="486" t="s">
        <v>170</v>
      </c>
      <c r="C13" s="487"/>
      <c r="D13" s="490" t="s">
        <v>171</v>
      </c>
      <c r="E13" s="490" t="s">
        <v>172</v>
      </c>
      <c r="F13" s="490" t="s">
        <v>37</v>
      </c>
      <c r="G13" s="488" t="s">
        <v>63</v>
      </c>
      <c r="H13" s="488" t="s">
        <v>210</v>
      </c>
      <c r="I13" s="488" t="s">
        <v>209</v>
      </c>
      <c r="J13" s="489" t="s">
        <v>173</v>
      </c>
      <c r="K13" s="489" t="s">
        <v>174</v>
      </c>
      <c r="L13" s="487" t="s">
        <v>211</v>
      </c>
      <c r="M13" s="489" t="s">
        <v>175</v>
      </c>
      <c r="N13" s="491" t="s">
        <v>176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09">
        <f>Pricing!A4</f>
        <v>1</v>
      </c>
      <c r="C16" s="410"/>
      <c r="D16" s="187" t="str">
        <f>Pricing!B4</f>
        <v>W</v>
      </c>
      <c r="E16" s="187" t="str">
        <f>Pricing!C4</f>
        <v>M14600</v>
      </c>
      <c r="F16" s="187" t="str">
        <f>Pricing!D4</f>
        <v>2 TRACK 2 SHUTTER SLIDING DOOR</v>
      </c>
      <c r="G16" s="187" t="str">
        <f>Pricing!N4</f>
        <v>8MM</v>
      </c>
      <c r="H16" s="187" t="str">
        <f>Pricing!F4</f>
        <v>NA</v>
      </c>
      <c r="I16" s="216" t="str">
        <f>Pricing!E4</f>
        <v>NO</v>
      </c>
      <c r="J16" s="216">
        <f>Pricing!G4</f>
        <v>1678</v>
      </c>
      <c r="K16" s="216">
        <f>Pricing!H4</f>
        <v>2440</v>
      </c>
      <c r="L16" s="216">
        <f>Pricing!I4</f>
        <v>2</v>
      </c>
      <c r="M16" s="188">
        <f t="shared" ref="M16:M24" si="0">J16*K16*L16/1000000</f>
        <v>8.1886399999999995</v>
      </c>
      <c r="N16" s="189">
        <f>'Cost Calculation'!AS8</f>
        <v>187201.70919400163</v>
      </c>
      <c r="O16" s="95"/>
    </row>
    <row r="17" spans="2:15" s="94" customFormat="1" ht="49.9" customHeight="1" thickTop="1" thickBot="1">
      <c r="B17" s="409">
        <f>Pricing!A5</f>
        <v>2</v>
      </c>
      <c r="C17" s="410"/>
      <c r="D17" s="187" t="str">
        <f>Pricing!B5</f>
        <v>W1</v>
      </c>
      <c r="E17" s="187" t="str">
        <f>Pricing!C5</f>
        <v>M14600</v>
      </c>
      <c r="F17" s="187" t="str">
        <f>Pricing!D5</f>
        <v>2 TRACK 2 SHUTTER SLIDING DOOR</v>
      </c>
      <c r="G17" s="187" t="str">
        <f>Pricing!N5</f>
        <v>10MM</v>
      </c>
      <c r="H17" s="187" t="str">
        <f>Pricing!F5</f>
        <v>NA</v>
      </c>
      <c r="I17" s="216" t="str">
        <f>Pricing!E5</f>
        <v>NO</v>
      </c>
      <c r="J17" s="216">
        <f>Pricing!G5</f>
        <v>2898</v>
      </c>
      <c r="K17" s="216">
        <f>Pricing!H5</f>
        <v>2440</v>
      </c>
      <c r="L17" s="216">
        <f>Pricing!I5</f>
        <v>2</v>
      </c>
      <c r="M17" s="188">
        <f t="shared" si="0"/>
        <v>14.142239999999999</v>
      </c>
      <c r="N17" s="189">
        <f>'Cost Calculation'!AS9</f>
        <v>240403.55312716422</v>
      </c>
      <c r="O17" s="95"/>
    </row>
    <row r="18" spans="2:15" s="94" customFormat="1" ht="49.9" customHeight="1" thickTop="1" thickBot="1">
      <c r="B18" s="409">
        <f>Pricing!A6</f>
        <v>3</v>
      </c>
      <c r="C18" s="410"/>
      <c r="D18" s="187" t="str">
        <f>Pricing!B6</f>
        <v>W2</v>
      </c>
      <c r="E18" s="187" t="str">
        <f>Pricing!C6</f>
        <v>M14600</v>
      </c>
      <c r="F18" s="187" t="str">
        <f>Pricing!D6</f>
        <v>2 TRACK 2 SHUTTER SLIDING DOOR WITH 2 FIXED</v>
      </c>
      <c r="G18" s="187" t="str">
        <f>Pricing!N6</f>
        <v>10MM</v>
      </c>
      <c r="H18" s="187" t="str">
        <f>Pricing!F6</f>
        <v>NA</v>
      </c>
      <c r="I18" s="216" t="str">
        <f>Pricing!E6</f>
        <v>NO</v>
      </c>
      <c r="J18" s="216">
        <f>Pricing!G6</f>
        <v>3660</v>
      </c>
      <c r="K18" s="216">
        <f>Pricing!H6</f>
        <v>2440</v>
      </c>
      <c r="L18" s="216">
        <f>Pricing!I6</f>
        <v>10</v>
      </c>
      <c r="M18" s="188">
        <f t="shared" si="0"/>
        <v>89.304000000000002</v>
      </c>
      <c r="N18" s="189">
        <f>'Cost Calculation'!AS10</f>
        <v>1667653.339008315</v>
      </c>
      <c r="O18" s="95"/>
    </row>
    <row r="19" spans="2:15" s="94" customFormat="1" ht="49.9" customHeight="1" thickTop="1" thickBot="1">
      <c r="B19" s="409">
        <f>Pricing!A7</f>
        <v>4</v>
      </c>
      <c r="C19" s="410"/>
      <c r="D19" s="187" t="str">
        <f>Pricing!B7</f>
        <v>W3</v>
      </c>
      <c r="E19" s="187" t="str">
        <f>Pricing!C7</f>
        <v>M15000</v>
      </c>
      <c r="F19" s="187" t="str">
        <f>Pricing!D7</f>
        <v>SIDE HUNG WINDOW WITH TOP &amp; BOTTOM FIXED</v>
      </c>
      <c r="G19" s="187" t="str">
        <f>Pricing!N7</f>
        <v>8MM</v>
      </c>
      <c r="H19" s="187" t="str">
        <f>Pricing!F7</f>
        <v>NA</v>
      </c>
      <c r="I19" s="216" t="str">
        <f>Pricing!E7</f>
        <v>NO</v>
      </c>
      <c r="J19" s="216">
        <f>Pricing!G7</f>
        <v>915</v>
      </c>
      <c r="K19" s="216">
        <f>Pricing!H7</f>
        <v>2286</v>
      </c>
      <c r="L19" s="216">
        <f>Pricing!I7</f>
        <v>8</v>
      </c>
      <c r="M19" s="188">
        <f t="shared" si="0"/>
        <v>16.733519999999999</v>
      </c>
      <c r="N19" s="189">
        <f>'Cost Calculation'!AS11</f>
        <v>403115.36451076216</v>
      </c>
      <c r="O19" s="95"/>
    </row>
    <row r="20" spans="2:15" s="94" customFormat="1" ht="49.9" customHeight="1" thickTop="1" thickBot="1">
      <c r="B20" s="409">
        <f>Pricing!A8</f>
        <v>5</v>
      </c>
      <c r="C20" s="410"/>
      <c r="D20" s="187" t="str">
        <f>Pricing!B8</f>
        <v>W4</v>
      </c>
      <c r="E20" s="187" t="str">
        <f>Pricing!C8</f>
        <v>M15000</v>
      </c>
      <c r="F20" s="187" t="str">
        <f>Pricing!D8</f>
        <v>TOP HUNG WINDOW WITH TOP &amp; BOTTOM FIXED</v>
      </c>
      <c r="G20" s="187" t="str">
        <f>Pricing!N8</f>
        <v>8MM</v>
      </c>
      <c r="H20" s="187" t="str">
        <f>Pricing!F8</f>
        <v>NA</v>
      </c>
      <c r="I20" s="216" t="str">
        <f>Pricing!E8</f>
        <v>NO</v>
      </c>
      <c r="J20" s="216">
        <f>Pricing!G8</f>
        <v>915</v>
      </c>
      <c r="K20" s="216">
        <f>Pricing!H8</f>
        <v>2286</v>
      </c>
      <c r="L20" s="216">
        <f>Pricing!I8</f>
        <v>8</v>
      </c>
      <c r="M20" s="188">
        <f t="shared" si="0"/>
        <v>16.733519999999999</v>
      </c>
      <c r="N20" s="189">
        <f>'Cost Calculation'!AS12</f>
        <v>481655.58395238733</v>
      </c>
      <c r="O20" s="95"/>
    </row>
    <row r="21" spans="2:15" s="94" customFormat="1" ht="49.9" customHeight="1" thickTop="1" thickBot="1">
      <c r="B21" s="409">
        <f>Pricing!A9</f>
        <v>6</v>
      </c>
      <c r="C21" s="410"/>
      <c r="D21" s="187" t="str">
        <f>Pricing!B9</f>
        <v>W5</v>
      </c>
      <c r="E21" s="187" t="str">
        <f>Pricing!C9</f>
        <v>M15000</v>
      </c>
      <c r="F21" s="187" t="str">
        <f>Pricing!D9</f>
        <v>2 TOP HUNG WINDOWS WITH CENTER FIXED</v>
      </c>
      <c r="G21" s="187" t="str">
        <f>Pricing!N9</f>
        <v>8MM</v>
      </c>
      <c r="H21" s="187" t="str">
        <f>Pricing!F9</f>
        <v>NA</v>
      </c>
      <c r="I21" s="216" t="str">
        <f>Pricing!E9</f>
        <v>NO</v>
      </c>
      <c r="J21" s="216">
        <f>Pricing!G9</f>
        <v>3965</v>
      </c>
      <c r="K21" s="216">
        <f>Pricing!H9</f>
        <v>1372</v>
      </c>
      <c r="L21" s="216">
        <f>Pricing!I9</f>
        <v>2</v>
      </c>
      <c r="M21" s="188">
        <f t="shared" si="0"/>
        <v>10.879960000000001</v>
      </c>
      <c r="N21" s="189">
        <f>'Cost Calculation'!AS13</f>
        <v>231163.86970528652</v>
      </c>
      <c r="O21" s="95"/>
    </row>
    <row r="22" spans="2:15" s="94" customFormat="1" ht="49.9" hidden="1" customHeight="1" thickTop="1" thickBot="1">
      <c r="B22" s="409">
        <f>Pricing!A10</f>
        <v>7</v>
      </c>
      <c r="C22" s="410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9">
        <f>Pricing!A11</f>
        <v>8</v>
      </c>
      <c r="C23" s="410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9">
        <f>Pricing!A12</f>
        <v>9</v>
      </c>
      <c r="C24" s="410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9">
        <f>Pricing!A13</f>
        <v>10</v>
      </c>
      <c r="C25" s="410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9">
        <f>Pricing!A14</f>
        <v>11</v>
      </c>
      <c r="C26" s="410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9">
        <f>Pricing!A15</f>
        <v>12</v>
      </c>
      <c r="C27" s="410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9">
        <f>Pricing!A16</f>
        <v>13</v>
      </c>
      <c r="C28" s="410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9">
        <f>Pricing!A17</f>
        <v>14</v>
      </c>
      <c r="C29" s="410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9">
        <f>Pricing!A18</f>
        <v>15</v>
      </c>
      <c r="C30" s="410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9">
        <f>Pricing!A19</f>
        <v>16</v>
      </c>
      <c r="C31" s="410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9">
        <f>Pricing!A20</f>
        <v>17</v>
      </c>
      <c r="C32" s="410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9">
        <f>Pricing!A21</f>
        <v>18</v>
      </c>
      <c r="C33" s="410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9">
        <f>Pricing!A22</f>
        <v>19</v>
      </c>
      <c r="C34" s="410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9">
        <f>Pricing!A23</f>
        <v>20</v>
      </c>
      <c r="C35" s="410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9">
        <f>Pricing!A24</f>
        <v>21</v>
      </c>
      <c r="C36" s="410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9">
        <f>Pricing!A25</f>
        <v>22</v>
      </c>
      <c r="C37" s="410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9">
        <f>Pricing!A26</f>
        <v>23</v>
      </c>
      <c r="C38" s="410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9">
        <f>Pricing!A27</f>
        <v>24</v>
      </c>
      <c r="C39" s="410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9">
        <f>Pricing!A28</f>
        <v>25</v>
      </c>
      <c r="C40" s="410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9">
        <f>Pricing!A29</f>
        <v>26</v>
      </c>
      <c r="C41" s="410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9">
        <f>Pricing!A30</f>
        <v>27</v>
      </c>
      <c r="C42" s="410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9">
        <f>Pricing!A31</f>
        <v>28</v>
      </c>
      <c r="C43" s="410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9">
        <f>Pricing!A32</f>
        <v>29</v>
      </c>
      <c r="C44" s="410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9">
        <f>Pricing!A33</f>
        <v>30</v>
      </c>
      <c r="C45" s="410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9">
        <f>Pricing!A34</f>
        <v>31</v>
      </c>
      <c r="C46" s="410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9">
        <f>Pricing!A35</f>
        <v>32</v>
      </c>
      <c r="C47" s="410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9">
        <f>Pricing!A36</f>
        <v>33</v>
      </c>
      <c r="C48" s="410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9">
        <f>Pricing!A37</f>
        <v>34</v>
      </c>
      <c r="C49" s="410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9">
        <f>Pricing!A38</f>
        <v>35</v>
      </c>
      <c r="C50" s="410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9">
        <f>Pricing!A39</f>
        <v>36</v>
      </c>
      <c r="C51" s="410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9">
        <f>Pricing!A40</f>
        <v>37</v>
      </c>
      <c r="C52" s="410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9">
        <f>Pricing!A41</f>
        <v>38</v>
      </c>
      <c r="C53" s="410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9">
        <f>Pricing!A42</f>
        <v>39</v>
      </c>
      <c r="C54" s="410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9">
        <f>Pricing!A43</f>
        <v>40</v>
      </c>
      <c r="C55" s="410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9">
        <f>Pricing!A44</f>
        <v>41</v>
      </c>
      <c r="C56" s="410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9">
        <f>Pricing!A45</f>
        <v>42</v>
      </c>
      <c r="C57" s="410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9">
        <f>Pricing!A46</f>
        <v>43</v>
      </c>
      <c r="C58" s="410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9">
        <f>Pricing!A47</f>
        <v>44</v>
      </c>
      <c r="C59" s="410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9">
        <f>Pricing!A48</f>
        <v>45</v>
      </c>
      <c r="C60" s="410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9">
        <f>Pricing!A49</f>
        <v>46</v>
      </c>
      <c r="C61" s="410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9">
        <f>Pricing!A50</f>
        <v>47</v>
      </c>
      <c r="C62" s="410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9">
        <f>Pricing!A51</f>
        <v>48</v>
      </c>
      <c r="C63" s="410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9">
        <f>Pricing!A52</f>
        <v>49</v>
      </c>
      <c r="C64" s="410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9">
        <f>Pricing!A53</f>
        <v>50</v>
      </c>
      <c r="C65" s="410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9">
        <f>Pricing!A54</f>
        <v>51</v>
      </c>
      <c r="C66" s="410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9">
        <f>Pricing!A55</f>
        <v>52</v>
      </c>
      <c r="C67" s="410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9">
        <f>Pricing!A56</f>
        <v>53</v>
      </c>
      <c r="C68" s="410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9">
        <f>Pricing!A57</f>
        <v>54</v>
      </c>
      <c r="C69" s="410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9">
        <f>Pricing!A58</f>
        <v>55</v>
      </c>
      <c r="C70" s="410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9">
        <f>Pricing!A59</f>
        <v>56</v>
      </c>
      <c r="C71" s="410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9">
        <f>Pricing!A60</f>
        <v>57</v>
      </c>
      <c r="C72" s="410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9">
        <f>Pricing!A61</f>
        <v>58</v>
      </c>
      <c r="C73" s="410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9">
        <f>Pricing!A62</f>
        <v>59</v>
      </c>
      <c r="C74" s="410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9">
        <f>Pricing!A63</f>
        <v>60</v>
      </c>
      <c r="C75" s="410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9">
        <f>Pricing!A64</f>
        <v>61</v>
      </c>
      <c r="C76" s="410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9">
        <f>Pricing!A65</f>
        <v>62</v>
      </c>
      <c r="C77" s="410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9">
        <f>Pricing!A66</f>
        <v>63</v>
      </c>
      <c r="C78" s="410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9">
        <f>Pricing!A67</f>
        <v>64</v>
      </c>
      <c r="C79" s="410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9">
        <f>Pricing!A68</f>
        <v>65</v>
      </c>
      <c r="C80" s="410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9">
        <f>Pricing!A69</f>
        <v>66</v>
      </c>
      <c r="C81" s="410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9">
        <f>Pricing!A70</f>
        <v>67</v>
      </c>
      <c r="C82" s="410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9">
        <f>Pricing!A71</f>
        <v>68</v>
      </c>
      <c r="C83" s="410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9">
        <f>Pricing!A72</f>
        <v>69</v>
      </c>
      <c r="C84" s="410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9">
        <f>Pricing!A73</f>
        <v>70</v>
      </c>
      <c r="C85" s="410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9">
        <f>Pricing!A74</f>
        <v>71</v>
      </c>
      <c r="C86" s="410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9">
        <f>Pricing!A75</f>
        <v>72</v>
      </c>
      <c r="C87" s="410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9">
        <f>Pricing!A76</f>
        <v>73</v>
      </c>
      <c r="C88" s="410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9">
        <f>Pricing!A77</f>
        <v>74</v>
      </c>
      <c r="C89" s="410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9">
        <f>Pricing!A78</f>
        <v>75</v>
      </c>
      <c r="C90" s="410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9">
        <f>Pricing!A79</f>
        <v>76</v>
      </c>
      <c r="C91" s="410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9">
        <f>Pricing!A80</f>
        <v>77</v>
      </c>
      <c r="C92" s="410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9">
        <f>Pricing!A81</f>
        <v>78</v>
      </c>
      <c r="C93" s="410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9">
        <f>Pricing!A82</f>
        <v>79</v>
      </c>
      <c r="C94" s="410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9">
        <f>Pricing!A83</f>
        <v>80</v>
      </c>
      <c r="C95" s="410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9">
        <f>Pricing!A84</f>
        <v>81</v>
      </c>
      <c r="C96" s="410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9">
        <f>Pricing!A85</f>
        <v>82</v>
      </c>
      <c r="C97" s="410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9">
        <f>Pricing!A86</f>
        <v>83</v>
      </c>
      <c r="C98" s="410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9">
        <f>Pricing!A87</f>
        <v>84</v>
      </c>
      <c r="C99" s="410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9">
        <f>Pricing!A88</f>
        <v>85</v>
      </c>
      <c r="C100" s="410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9">
        <f>Pricing!A89</f>
        <v>86</v>
      </c>
      <c r="C101" s="410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9">
        <f>Pricing!A90</f>
        <v>87</v>
      </c>
      <c r="C102" s="410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9">
        <f>Pricing!A91</f>
        <v>88</v>
      </c>
      <c r="C103" s="410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9">
        <f>Pricing!A92</f>
        <v>89</v>
      </c>
      <c r="C104" s="410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9">
        <f>Pricing!A93</f>
        <v>90</v>
      </c>
      <c r="C105" s="410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9">
        <f>Pricing!A94</f>
        <v>91</v>
      </c>
      <c r="C106" s="410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9">
        <f>Pricing!A95</f>
        <v>92</v>
      </c>
      <c r="C107" s="410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9">
        <f>Pricing!A96</f>
        <v>93</v>
      </c>
      <c r="C108" s="410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9">
        <f>Pricing!A97</f>
        <v>94</v>
      </c>
      <c r="C109" s="410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9">
        <f>Pricing!A98</f>
        <v>95</v>
      </c>
      <c r="C110" s="410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9">
        <f>Pricing!A99</f>
        <v>96</v>
      </c>
      <c r="C111" s="410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9">
        <f>Pricing!A100</f>
        <v>97</v>
      </c>
      <c r="C112" s="410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9">
        <f>Pricing!A101</f>
        <v>98</v>
      </c>
      <c r="C113" s="410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9">
        <f>Pricing!A102</f>
        <v>99</v>
      </c>
      <c r="C114" s="410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9">
        <f>Pricing!A103</f>
        <v>100</v>
      </c>
      <c r="C115" s="410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32</v>
      </c>
      <c r="M116" s="191">
        <f>SUM(M16:M115)</f>
        <v>155.98188000000002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3211193</v>
      </c>
      <c r="O117" s="95">
        <f>N117/SUM(M116)</f>
        <v>20586.961767610439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578015</v>
      </c>
      <c r="O118" s="95">
        <f>N118/SUM(M116)</f>
        <v>3705.6547850301581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3789208</v>
      </c>
      <c r="O119" s="95">
        <f>N119/SUM(M116)</f>
        <v>24292.6165526406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1912.575415051137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1">
        <v>1</v>
      </c>
      <c r="C122" s="412"/>
      <c r="D122" s="438" t="s">
        <v>441</v>
      </c>
      <c r="E122" s="438"/>
      <c r="F122" s="438"/>
      <c r="G122" s="438"/>
      <c r="H122" s="438"/>
      <c r="I122" s="438"/>
      <c r="J122" s="438"/>
      <c r="K122" s="438"/>
      <c r="L122" s="438"/>
      <c r="M122" s="438"/>
      <c r="N122" s="439"/>
    </row>
    <row r="123" spans="2:15" s="93" customFormat="1" ht="24.95" customHeight="1">
      <c r="B123" s="442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18" t="s">
        <v>207</v>
      </c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20"/>
      <c r="O124" s="138"/>
    </row>
    <row r="125" spans="2:15" s="93" customFormat="1" ht="24.95" customHeight="1">
      <c r="B125" s="411">
        <v>1</v>
      </c>
      <c r="C125" s="412"/>
      <c r="D125" s="413" t="s">
        <v>434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2</v>
      </c>
      <c r="C126" s="412"/>
      <c r="D126" s="413" t="s">
        <v>435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139" customFormat="1" ht="30" customHeight="1">
      <c r="B127" s="418" t="s">
        <v>140</v>
      </c>
      <c r="C127" s="419"/>
      <c r="D127" s="419"/>
      <c r="E127" s="419"/>
      <c r="F127" s="419"/>
      <c r="G127" s="419"/>
      <c r="H127" s="419"/>
      <c r="I127" s="419"/>
      <c r="J127" s="419"/>
      <c r="K127" s="419"/>
      <c r="L127" s="419"/>
      <c r="M127" s="419"/>
      <c r="N127" s="420"/>
      <c r="O127" s="138"/>
    </row>
    <row r="128" spans="2:15" s="93" customFormat="1" ht="24.95" customHeight="1">
      <c r="B128" s="411">
        <v>1</v>
      </c>
      <c r="C128" s="412"/>
      <c r="D128" s="413" t="s">
        <v>364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2</v>
      </c>
      <c r="C129" s="412"/>
      <c r="D129" s="413" t="s">
        <v>389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93" customFormat="1" ht="24.95" customHeight="1">
      <c r="B130" s="411">
        <v>3</v>
      </c>
      <c r="C130" s="412"/>
      <c r="D130" s="438" t="s">
        <v>405</v>
      </c>
      <c r="E130" s="438"/>
      <c r="F130" s="438"/>
      <c r="G130" s="438"/>
      <c r="H130" s="438"/>
      <c r="I130" s="438"/>
      <c r="J130" s="438"/>
      <c r="K130" s="438"/>
      <c r="L130" s="438"/>
      <c r="M130" s="438"/>
      <c r="N130" s="439"/>
    </row>
    <row r="131" spans="2:14" s="93" customFormat="1" ht="24.95" customHeight="1">
      <c r="B131" s="411">
        <v>4</v>
      </c>
      <c r="C131" s="412"/>
      <c r="D131" s="438" t="s">
        <v>436</v>
      </c>
      <c r="E131" s="438"/>
      <c r="F131" s="438"/>
      <c r="G131" s="438"/>
      <c r="H131" s="438"/>
      <c r="I131" s="438"/>
      <c r="J131" s="438"/>
      <c r="K131" s="438"/>
      <c r="L131" s="438"/>
      <c r="M131" s="438"/>
      <c r="N131" s="439"/>
    </row>
    <row r="132" spans="2:14" s="139" customFormat="1" ht="30" customHeight="1">
      <c r="B132" s="415" t="s">
        <v>141</v>
      </c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</row>
    <row r="133" spans="2:14" s="93" customFormat="1" ht="24.95" customHeight="1">
      <c r="B133" s="411">
        <v>1</v>
      </c>
      <c r="C133" s="412"/>
      <c r="D133" s="413" t="s">
        <v>142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93" customFormat="1" ht="24.95" customHeight="1">
      <c r="B134" s="411">
        <v>2</v>
      </c>
      <c r="C134" s="412"/>
      <c r="D134" s="413" t="s">
        <v>143</v>
      </c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411">
        <v>3</v>
      </c>
      <c r="C135" s="412"/>
      <c r="D135" s="413" t="s">
        <v>144</v>
      </c>
      <c r="E135" s="413"/>
      <c r="F135" s="413"/>
      <c r="G135" s="413"/>
      <c r="H135" s="413"/>
      <c r="I135" s="413"/>
      <c r="J135" s="413"/>
      <c r="K135" s="413"/>
      <c r="L135" s="413"/>
      <c r="M135" s="413"/>
      <c r="N135" s="414"/>
    </row>
    <row r="136" spans="2:14" s="139" customFormat="1" ht="30" customHeight="1">
      <c r="B136" s="415" t="s">
        <v>145</v>
      </c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7"/>
    </row>
    <row r="137" spans="2:14" s="139" customFormat="1" ht="30" customHeight="1">
      <c r="B137" s="435" t="s">
        <v>146</v>
      </c>
      <c r="C137" s="436"/>
      <c r="D137" s="436"/>
      <c r="E137" s="436"/>
      <c r="F137" s="436"/>
      <c r="G137" s="436"/>
      <c r="H137" s="436"/>
      <c r="I137" s="436"/>
      <c r="J137" s="436"/>
      <c r="K137" s="436"/>
      <c r="L137" s="436"/>
      <c r="M137" s="436"/>
      <c r="N137" s="437"/>
    </row>
    <row r="138" spans="2:14" s="93" customFormat="1" ht="24.95" customHeight="1">
      <c r="B138" s="411">
        <v>1</v>
      </c>
      <c r="C138" s="412"/>
      <c r="D138" s="413" t="s">
        <v>147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2</v>
      </c>
      <c r="C139" s="412"/>
      <c r="D139" s="413" t="s">
        <v>402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3</v>
      </c>
      <c r="C140" s="412"/>
      <c r="D140" s="413" t="s">
        <v>148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4</v>
      </c>
      <c r="C141" s="412"/>
      <c r="D141" s="413" t="s">
        <v>149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93" customFormat="1" ht="24.95" customHeight="1">
      <c r="B142" s="411">
        <v>5</v>
      </c>
      <c r="C142" s="412"/>
      <c r="D142" s="413" t="s">
        <v>150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93" customFormat="1" ht="24.95" customHeight="1">
      <c r="B143" s="411">
        <v>6</v>
      </c>
      <c r="C143" s="412"/>
      <c r="D143" s="413" t="s">
        <v>151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140" customFormat="1" ht="30" customHeight="1">
      <c r="B144" s="415" t="s">
        <v>152</v>
      </c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7"/>
    </row>
    <row r="145" spans="2:14" s="93" customFormat="1" ht="24.95" customHeight="1">
      <c r="B145" s="411">
        <v>1</v>
      </c>
      <c r="C145" s="412"/>
      <c r="D145" s="413" t="s">
        <v>153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93" customFormat="1" ht="135" customHeight="1">
      <c r="B146" s="411">
        <v>2</v>
      </c>
      <c r="C146" s="412"/>
      <c r="D146" s="421" t="s">
        <v>154</v>
      </c>
      <c r="E146" s="422"/>
      <c r="F146" s="422"/>
      <c r="G146" s="422"/>
      <c r="H146" s="422"/>
      <c r="I146" s="422"/>
      <c r="J146" s="422"/>
      <c r="K146" s="422"/>
      <c r="L146" s="422"/>
      <c r="M146" s="422"/>
      <c r="N146" s="423"/>
    </row>
    <row r="147" spans="2:14" s="93" customFormat="1" ht="24.95" customHeight="1">
      <c r="B147" s="411">
        <v>3</v>
      </c>
      <c r="C147" s="412"/>
      <c r="D147" s="413" t="s">
        <v>155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93" customFormat="1" ht="24.95" customHeight="1">
      <c r="B148" s="411">
        <v>4</v>
      </c>
      <c r="C148" s="412"/>
      <c r="D148" s="413" t="s">
        <v>156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140" customFormat="1" ht="30" customHeight="1">
      <c r="B149" s="415" t="s">
        <v>157</v>
      </c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7"/>
    </row>
    <row r="150" spans="2:14" s="93" customFormat="1" ht="24.95" customHeight="1">
      <c r="B150" s="411">
        <v>1</v>
      </c>
      <c r="C150" s="412"/>
      <c r="D150" s="413" t="s">
        <v>158</v>
      </c>
      <c r="E150" s="413"/>
      <c r="F150" s="413"/>
      <c r="G150" s="413"/>
      <c r="H150" s="413"/>
      <c r="I150" s="413"/>
      <c r="J150" s="413"/>
      <c r="K150" s="413"/>
      <c r="L150" s="413"/>
      <c r="M150" s="413"/>
      <c r="N150" s="414"/>
    </row>
    <row r="151" spans="2:14" s="93" customFormat="1" ht="55.9" customHeight="1">
      <c r="B151" s="411">
        <v>2</v>
      </c>
      <c r="C151" s="412"/>
      <c r="D151" s="421" t="s">
        <v>159</v>
      </c>
      <c r="E151" s="422"/>
      <c r="F151" s="422"/>
      <c r="G151" s="422"/>
      <c r="H151" s="422"/>
      <c r="I151" s="422"/>
      <c r="J151" s="422"/>
      <c r="K151" s="422"/>
      <c r="L151" s="422"/>
      <c r="M151" s="422"/>
      <c r="N151" s="423"/>
    </row>
    <row r="152" spans="2:14" s="140" customFormat="1" ht="30" customHeight="1">
      <c r="B152" s="415" t="s">
        <v>160</v>
      </c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</row>
    <row r="153" spans="2:14" s="93" customFormat="1" ht="24.95" customHeight="1">
      <c r="B153" s="411">
        <v>1</v>
      </c>
      <c r="C153" s="412"/>
      <c r="D153" s="440" t="s">
        <v>161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24.95" customHeight="1">
      <c r="B154" s="411">
        <v>2</v>
      </c>
      <c r="C154" s="412"/>
      <c r="D154" s="440" t="s">
        <v>162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49.9" customHeight="1">
      <c r="B155" s="411">
        <v>3</v>
      </c>
      <c r="C155" s="412"/>
      <c r="D155" s="445" t="s">
        <v>163</v>
      </c>
      <c r="E155" s="446"/>
      <c r="F155" s="446"/>
      <c r="G155" s="446"/>
      <c r="H155" s="446"/>
      <c r="I155" s="446"/>
      <c r="J155" s="446"/>
      <c r="K155" s="446"/>
      <c r="L155" s="446"/>
      <c r="M155" s="446"/>
      <c r="N155" s="447"/>
    </row>
    <row r="156" spans="2:14" s="93" customFormat="1" ht="24.95" customHeight="1">
      <c r="B156" s="411">
        <v>4</v>
      </c>
      <c r="C156" s="412"/>
      <c r="D156" s="440" t="s">
        <v>164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140" customFormat="1" ht="30" customHeight="1">
      <c r="B157" s="415" t="s">
        <v>165</v>
      </c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7"/>
    </row>
    <row r="158" spans="2:14" s="93" customFormat="1" ht="24.95" customHeight="1">
      <c r="B158" s="411">
        <v>1</v>
      </c>
      <c r="C158" s="412"/>
      <c r="D158" s="440" t="s">
        <v>166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1">
        <v>2</v>
      </c>
      <c r="C159" s="412"/>
      <c r="D159" s="440" t="s">
        <v>167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1">
        <v>3</v>
      </c>
      <c r="C160" s="412"/>
      <c r="D160" s="440" t="s">
        <v>168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11">
        <v>4</v>
      </c>
      <c r="C161" s="412"/>
      <c r="D161" s="440" t="s">
        <v>401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42" t="s">
        <v>240</v>
      </c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24.95" customHeight="1">
      <c r="B163" s="442" t="s">
        <v>241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41.25" customHeight="1">
      <c r="B164" s="460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2"/>
    </row>
    <row r="165" spans="2:14" s="93" customFormat="1" ht="39.950000000000003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41.25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39.950000000000003" customHeight="1" thickBot="1">
      <c r="B167" s="466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8"/>
    </row>
    <row r="168" spans="2:14" s="93" customFormat="1" ht="30" customHeight="1" thickTop="1">
      <c r="B168" s="450" t="s">
        <v>110</v>
      </c>
      <c r="C168" s="451"/>
      <c r="D168" s="451"/>
      <c r="E168" s="454"/>
      <c r="F168" s="455"/>
      <c r="G168" s="455"/>
      <c r="H168" s="455"/>
      <c r="I168" s="455"/>
      <c r="J168" s="455"/>
      <c r="K168" s="455"/>
      <c r="L168" s="456"/>
      <c r="M168" s="451" t="s">
        <v>205</v>
      </c>
      <c r="N168" s="452"/>
    </row>
    <row r="169" spans="2:14" s="93" customFormat="1" ht="33" customHeight="1" thickBot="1">
      <c r="B169" s="453" t="s">
        <v>107</v>
      </c>
      <c r="C169" s="448"/>
      <c r="D169" s="448"/>
      <c r="E169" s="457"/>
      <c r="F169" s="458"/>
      <c r="G169" s="458"/>
      <c r="H169" s="458"/>
      <c r="I169" s="458"/>
      <c r="J169" s="458"/>
      <c r="K169" s="458"/>
      <c r="L169" s="459"/>
      <c r="M169" s="448" t="s">
        <v>108</v>
      </c>
      <c r="N169" s="44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43675</v>
      </c>
      <c r="F2" s="517" t="s">
        <v>245</v>
      </c>
      <c r="G2" s="517"/>
    </row>
    <row r="3" spans="3:13">
      <c r="C3" s="297" t="s">
        <v>126</v>
      </c>
      <c r="D3" s="518" t="str">
        <f>QUOTATION!F7</f>
        <v>Inheritance Furniture &amp; Decor</v>
      </c>
      <c r="E3" s="518"/>
      <c r="F3" s="521" t="s">
        <v>246</v>
      </c>
      <c r="G3" s="522">
        <f>QUOTATION!N8</f>
        <v>43675</v>
      </c>
    </row>
    <row r="4" spans="3:13">
      <c r="C4" s="297" t="s">
        <v>243</v>
      </c>
      <c r="D4" s="519" t="str">
        <f>QUOTATION!M6</f>
        <v>ABPL-DE-19.20-2132-OP-2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Ms. Rachana: 9154030271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Black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Nikhil</v>
      </c>
      <c r="E11" s="518"/>
      <c r="F11" s="521"/>
      <c r="G11" s="523"/>
    </row>
    <row r="12" spans="3:13">
      <c r="C12" s="297" t="s">
        <v>244</v>
      </c>
      <c r="D12" s="520">
        <f>QUOTATION!M7</f>
        <v>43675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12026.82</v>
      </c>
      <c r="F14" s="205"/>
      <c r="G14" s="206">
        <f>E14</f>
        <v>12026.82</v>
      </c>
    </row>
    <row r="15" spans="3:13">
      <c r="C15" s="194" t="s">
        <v>235</v>
      </c>
      <c r="D15" s="296">
        <f>'Changable Values'!D4</f>
        <v>83</v>
      </c>
      <c r="E15" s="199">
        <f>E14*D15</f>
        <v>998226.05999999994</v>
      </c>
      <c r="F15" s="205"/>
      <c r="G15" s="207">
        <f>E15</f>
        <v>998226.05999999994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99822.606</v>
      </c>
      <c r="F16" s="208">
        <f>'Changable Values'!D5</f>
        <v>0.1</v>
      </c>
      <c r="G16" s="207">
        <f>G15*F16</f>
        <v>99822.606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120785.35326</v>
      </c>
      <c r="F17" s="208">
        <f>'Changable Values'!D6</f>
        <v>0.11</v>
      </c>
      <c r="G17" s="207">
        <f>SUM(G15:G16)*F17</f>
        <v>120785.35326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6094.1700963000003</v>
      </c>
      <c r="F18" s="208">
        <f>'Changable Values'!D7</f>
        <v>5.0000000000000001E-3</v>
      </c>
      <c r="G18" s="207">
        <f>SUM(G15:G17)*F18</f>
        <v>6094.1700963000003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12249.281893563</v>
      </c>
      <c r="F19" s="208">
        <f>'Changable Values'!D8</f>
        <v>0.01</v>
      </c>
      <c r="G19" s="207">
        <f>SUM(G15:G18)*F19</f>
        <v>12249.281893563</v>
      </c>
    </row>
    <row r="20" spans="3:7">
      <c r="C20" s="195" t="s">
        <v>99</v>
      </c>
      <c r="D20" s="201"/>
      <c r="E20" s="199">
        <f>SUM(E15:E19)</f>
        <v>1237177.471249863</v>
      </c>
      <c r="F20" s="208"/>
      <c r="G20" s="207">
        <f>SUM(G15:G19)</f>
        <v>1237177.471249863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18557.662068747944</v>
      </c>
      <c r="F21" s="208">
        <f>'Changable Values'!D9</f>
        <v>1.4999999999999999E-2</v>
      </c>
      <c r="G21" s="207">
        <f>G20*F21</f>
        <v>18557.662068747944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0</v>
      </c>
      <c r="F23" s="209"/>
      <c r="G23" s="207">
        <f t="shared" si="0"/>
        <v>0</v>
      </c>
    </row>
    <row r="24" spans="3:7">
      <c r="C24" s="195" t="s">
        <v>230</v>
      </c>
      <c r="D24" s="198"/>
      <c r="E24" s="199">
        <f>'Cost Calculation'!AH111</f>
        <v>37142.825508196722</v>
      </c>
      <c r="F24" s="209"/>
      <c r="G24" s="207">
        <f t="shared" si="0"/>
        <v>37142.825508196722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167898.89563199997</v>
      </c>
      <c r="F27" s="209"/>
      <c r="G27" s="207">
        <f t="shared" si="0"/>
        <v>167898.89563199997</v>
      </c>
    </row>
    <row r="28" spans="3:7">
      <c r="C28" s="195" t="s">
        <v>88</v>
      </c>
      <c r="D28" s="198"/>
      <c r="E28" s="199">
        <f>'Cost Calculation'!AN109</f>
        <v>134319.11650559996</v>
      </c>
      <c r="F28" s="209"/>
      <c r="G28" s="207">
        <f t="shared" si="0"/>
        <v>134319.11650559996</v>
      </c>
    </row>
    <row r="29" spans="3:7">
      <c r="C29" s="293" t="s">
        <v>379</v>
      </c>
      <c r="D29" s="294"/>
      <c r="E29" s="295">
        <f>SUM(E20:E28)</f>
        <v>1595095.9709644078</v>
      </c>
      <c r="F29" s="209"/>
      <c r="G29" s="207">
        <f>SUM(G20:G21,G24)</f>
        <v>1292877.9588268078</v>
      </c>
    </row>
    <row r="30" spans="3:7">
      <c r="C30" s="293" t="s">
        <v>380</v>
      </c>
      <c r="D30" s="294"/>
      <c r="E30" s="295">
        <f>E29/E33</f>
        <v>950.03362884561898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1616097.4485335099</v>
      </c>
      <c r="F31" s="214">
        <f>'Changable Values'!D23</f>
        <v>1.25</v>
      </c>
      <c r="G31" s="207">
        <f>G29*F31</f>
        <v>1616097.4485335099</v>
      </c>
    </row>
    <row r="32" spans="3:7">
      <c r="C32" s="290" t="s">
        <v>5</v>
      </c>
      <c r="D32" s="291"/>
      <c r="E32" s="292">
        <f>E31+E29</f>
        <v>3211193.4194979174</v>
      </c>
      <c r="F32" s="205"/>
      <c r="G32" s="207">
        <f>SUM(G25:G31,G22:G23)</f>
        <v>3211193.4194979174</v>
      </c>
    </row>
    <row r="33" spans="3:7">
      <c r="C33" s="300" t="s">
        <v>231</v>
      </c>
      <c r="D33" s="301"/>
      <c r="E33" s="308">
        <f>'Cost Calculation'!K109</f>
        <v>1678.9889563199997</v>
      </c>
      <c r="F33" s="210"/>
      <c r="G33" s="211">
        <f>E33</f>
        <v>1678.9889563199997</v>
      </c>
    </row>
    <row r="34" spans="3:7">
      <c r="C34" s="302" t="s">
        <v>9</v>
      </c>
      <c r="D34" s="303"/>
      <c r="E34" s="304">
        <f>QUOTATION!L116</f>
        <v>32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1912.5756649026425</v>
      </c>
      <c r="F35" s="212"/>
      <c r="G35" s="213">
        <f>G32/(G33)</f>
        <v>1912.5756649026425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2019-07-29T10:28:43Z</cp:lastPrinted>
  <dcterms:created xsi:type="dcterms:W3CDTF">2010-12-18T06:34:46Z</dcterms:created>
  <dcterms:modified xsi:type="dcterms:W3CDTF">2019-07-29T11:05:49Z</dcterms:modified>
</cp:coreProperties>
</file>