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Drawings!$C$2:$O$183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9" i="159" l="1"/>
  <c r="AH31" i="159"/>
  <c r="AH52" i="159"/>
  <c r="AH55" i="159"/>
  <c r="AH24" i="159"/>
  <c r="AH29" i="159"/>
  <c r="AH32" i="159"/>
  <c r="AH40" i="159"/>
  <c r="AH45" i="159"/>
  <c r="AH50" i="159"/>
  <c r="AH49" i="159"/>
  <c r="AH11" i="159"/>
  <c r="AH18" i="159"/>
  <c r="AH23" i="159"/>
  <c r="AH26" i="159"/>
  <c r="AH34" i="159"/>
  <c r="AH39" i="159"/>
  <c r="AH42" i="159"/>
  <c r="AH37" i="159"/>
  <c r="AH56" i="159"/>
  <c r="AH53" i="159"/>
  <c r="M45" i="160"/>
  <c r="AH47" i="159"/>
  <c r="AH27" i="159"/>
  <c r="AH30" i="159"/>
  <c r="AH35" i="159"/>
  <c r="AH38" i="159"/>
  <c r="AH43" i="159"/>
  <c r="AH46" i="159"/>
  <c r="AH54" i="159"/>
  <c r="AH57" i="159"/>
  <c r="M40" i="160"/>
  <c r="AH51" i="159"/>
  <c r="AH48" i="159"/>
  <c r="AH25" i="159"/>
  <c r="AH28" i="159"/>
  <c r="AH33" i="159"/>
  <c r="AH36" i="159"/>
  <c r="AH41" i="159"/>
  <c r="AH44" i="159"/>
  <c r="M34" i="160"/>
  <c r="M31" i="160"/>
  <c r="AH22" i="159"/>
  <c r="M30" i="160"/>
  <c r="AH21" i="159"/>
  <c r="AH20" i="159"/>
  <c r="AH19" i="159"/>
  <c r="M26" i="160"/>
  <c r="AH17" i="159"/>
  <c r="AH16" i="159"/>
  <c r="AH15" i="159"/>
  <c r="AH14" i="159"/>
  <c r="AH13" i="159"/>
  <c r="AH12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<sst xmlns="http://schemas.openxmlformats.org/spreadsheetml/2006/main" count="2010" uniqueCount="465">
  <si>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</si>
  <si>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</si>
  <si>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</si>
  <si>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</si>
  <si>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</si>
  <si>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</si>
  <si>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</si>
  <si>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</si>
  <si>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</si>
  <si>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</si>
  <si>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</si>
  <si>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</si>
  <si>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</si>
  <si>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</si>
  <si>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</si>
  <si>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</si>
  <si>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</si>
  <si>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</si>
  <si>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</si>
  <si>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</si>
  <si>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</si>
  <si>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</si>
  <si>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</si>
  <si>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</si>
  <si>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</si>
  <si>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</si>
  <si>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</si>
  <si>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</si>
  <si>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</si>
  <si>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</si>
  <si>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</si>
  <si>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</si>
  <si>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</si>
  <si>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</si>
  <si>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</si>
  <si>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</si>
  <si>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</si>
  <si>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</si>
  <si>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</si>
  <si>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</si>
  <si>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</si>
  <si>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</si>
  <si>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</si>
  <si>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</si>
  <si>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</si>
  <si>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</si>
  <si>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</si>
  <si>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</si>
  <si>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</si>
  <si>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</si>
  <si>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</si>
  <si>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</si>
  <si>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</si>
  <si>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</si>
  <si>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</si>
  <si>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</si>
  <si>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</si>
  <si>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</si>
  <si>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</si>
  <si>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</si>
  <si>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</si>
  <si>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</si>
  <si>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</si>
  <si>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</si>
  <si>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</si>
  <si>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</si>
  <si>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</si>
  <si>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</si>
  <si>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</si>
  <si>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</si>
  <si>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</si>
  <si>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</si>
  <si>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</si>
  <si>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</si>
  <si>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</si>
  <si>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</si>
  <si>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</si>
  <si>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</si>
  <si>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</si>
  <si>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</si>
  <si>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</si>
  <si>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</si>
  <si>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</si>
  <si>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</si>
  <si>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</si>
  <si>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</si>
  <si>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</si>
  <si>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</si>
  <si>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</si>
  <si>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</si>
  <si>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</si>
  <si>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</si>
  <si>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</si>
  <si>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</si>
  <si>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</si>
  <si>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</si>
  <si>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</si>
  <si>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</si>
  <si>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</si>
  <si>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</si>
  <si>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</si>
  <si>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</si>
  <si>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</si>
  <si>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</si>
  <si>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</si>
  <si>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</si>
  <si>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</si>
  <si>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</si>
  <si>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</si>
  <si>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</si>
  <si>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</si>
  <si>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</si>
  <si>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</si>
  <si>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</si>
  <si>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</si>
  <si>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</si>
  <si>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</si>
  <si>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</si>
  <si>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</si>
  <si>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</si>
  <si>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</si>
  <si>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</si>
  <si>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</si>
  <si>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</si>
  <si>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</si>
  <si>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</si>
  <si>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</si>
  <si>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</si>
  <si>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</si>
  <si>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</si>
  <si>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</si>
  <si>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</si>
  <si>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</si>
  <si>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</si>
  <si>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</si>
  <si>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</si>
  <si>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</si>
  <si>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</si>
  <si>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</si>
  <si>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</si>
  <si>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</si>
  <si>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</si>
  <si>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</si>
  <si>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</si>
  <si>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</si>
  <si>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</si>
  <si>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</si>
  <si>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</si>
  <si>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</si>
  <si>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</si>
  <si>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</si>
  <si>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</si>
  <si>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</si>
  <si>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</si>
  <si>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</si>
  <si>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</si>
  <si>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</si>
  <si>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</si>
  <si>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</si>
  <si>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</si>
  <si>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</si>
  <si>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</si>
  <si>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</si>
  <si>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</si>
  <si>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</si>
  <si>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</si>
  <si>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</si>
  <si>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</si>
  <si>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</si>
  <si>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</si>
  <si>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</si>
  <si>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</si>
  <si>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</si>
  <si>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</si>
  <si>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</si>
  <si>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</si>
  <si>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</si>
  <si>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</si>
  <si>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</si>
  <si>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</si>
  <si>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</si>
  <si>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</si>
  <si>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</si>
  <si>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</si>
  <si>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</si>
  <si>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</si>
  <si>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</si>
  <si>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</si>
  <si>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</si>
  <si>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</si>
  <si>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</si>
  <si>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</si>
  <si>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</si>
  <si>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</si>
  <si>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</si>
  <si>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</si>
  <si>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</si>
  <si>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</si>
  <si>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</si>
  <si>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</si>
  <si>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</si>
  <si>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</si>
  <si>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</si>
  <si>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</si>
  <si>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</si>
  <si>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</si>
  <si>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</si>
  <si>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</si>
  <si>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</si>
  <si>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</si>
  <si>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</si>
  <si>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</si>
  <si>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</si>
  <si>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</si>
  <si>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</si>
  <si>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</si>
  <si>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</si>
  <si>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</si>
  <si>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</si>
  <si>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</si>
  <si>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</si>
  <si>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</si>
  <si>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</si>
  <si>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</si>
  <si>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</si>
  <si>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</si>
  <si>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</si>
  <si>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</si>
  <si>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</si>
  <si>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</si>
  <si>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</si>
  <si>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</si>
  <si>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</si>
  <si>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</si>
  <si>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</si>
  <si>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</si>
  <si>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</si>
  <si>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</si>
  <si>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</si>
  <si>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</si>
  <si>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</si>
  <si>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</si>
  <si>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</si>
  <si>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</si>
  <si>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</si>
  <si>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</si>
  <si>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</si>
  <si>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</si>
  <si>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</si>
  <si>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</si>
  <si>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</si>
  <si>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</si>
  <si>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</si>
  <si>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</si>
  <si>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</si>
  <si>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</si>
  <si>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</si>
  <si>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</si>
  <si>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</si>
  <si>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</si>
  <si>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</si>
  <si>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</si>
  <si>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</si>
  <si>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</si>
  <si>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</si>
  <si>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</si>
  <si>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</si>
  <si>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</si>
  <si>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</si>
  <si>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</si>
  <si>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</si>
  <si>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</si>
  <si>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</si>
  <si>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</si>
  <si>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</si>
  <si>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</si>
  <si>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</si>
  <si>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</si>
  <si>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</si>
  <si>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</si>
  <si>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</si>
  <si>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</si>
  <si>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</si>
  <si>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</si>
  <si>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</si>
  <si>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</si>
  <si>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</si>
  <si>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</si>
  <si>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</si>
  <si>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</si>
  <si>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</si>
  <si>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</si>
  <si>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</si>
  <si>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</si>
  <si>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</si>
  <si>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</si>
  <si>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</si>
  <si>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</si>
  <si>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</si>
  <si>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</si>
  <si>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</si>
  <si>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</si>
  <si>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</si>
  <si>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</si>
  <si>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</si>
  <si>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</si>
  <si>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</si>
  <si>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</si>
  <si>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</si>
  <si>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</si>
  <si>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</si>
  <si>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</si>
  <si>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</si>
  <si>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</si>
  <si>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</si>
  <si>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</si>
  <si>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</si>
  <si>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</si>
  <si>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</si>
  <si>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</si>
  <si>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</si>
  <si>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</si>
  <si>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</si>
  <si>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</si>
  <si>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</si>
  <si>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</si>
  <si>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</si>
  <si>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</si>
  <si>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</si>
  <si>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</si>
  <si>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</si>
  <si>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</si>
  <si>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</si>
  <si>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</si>
  <si>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</si>
  <si>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</si>
  <si>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</si>
  <si>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</si>
  <si>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</si>
  <si>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</si>
  <si>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</si>
  <si>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</si>
  <si>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</si>
  <si>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</si>
  <si>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</si>
  <si>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</si>
  <si>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</si>
  <si>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</si>
  <si>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</si>
  <si>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</si>
  <si>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</si>
  <si>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</si>
  <si>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</si>
  <si>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</si>
  <si>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</si>
  <si>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</si>
  <si>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</si>
  <si>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</si>
  <si>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</si>
  <si>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</si>
  <si>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</si>
  <si>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</si>
  <si>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</si>
  <si>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</si>
  <si>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</si>
  <si>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</si>
  <si>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</si>
  <si>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</si>
  <si>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</si>
  <si>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</si>
  <si>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</si>
  <si>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</si>
  <si>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</si>
  <si>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</si>
  <si>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</si>
  <si>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</si>
  <si>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</si>
  <si>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</si>
  <si>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</si>
  <si>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</si>
  <si>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</si>
  <si>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</si>
  <si>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</si>
  <si>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</si>
  <si>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</si>
  <si>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</si>
  <si>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</si>
  <si>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</si>
  <si>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</si>
  <si>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</si>
  <si>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</si>
  <si>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</si>
  <si>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</si>
  <si>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</si>
  <si>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</si>
  <si>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</si>
  <si>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</si>
  <si>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</si>
  <si>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</si>
  <si>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</si>
  <si>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</si>
  <si>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</si>
  <si>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</si>
  <si>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</si>
  <si>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</si>
  <si>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</si>
  <si>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</si>
  <si>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</si>
  <si>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</si>
  <si>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</si>
  <si>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</si>
  <si>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</si>
  <si>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</si>
  <si>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</si>
  <si>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</si>
  <si>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</si>
  <si>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</si>
  <si>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</si>
  <si>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Dr. Keerthi</t>
  </si>
  <si>
    <t>Hyderabad</t>
  </si>
  <si>
    <t>Anodized</t>
  </si>
  <si>
    <t>SD1</t>
  </si>
  <si>
    <t>M14600</t>
  </si>
  <si>
    <t>NA</t>
  </si>
  <si>
    <t>SD2</t>
  </si>
  <si>
    <t>SD3</t>
  </si>
  <si>
    <t>SD4</t>
  </si>
  <si>
    <t>CW</t>
  </si>
  <si>
    <t>M15000</t>
  </si>
  <si>
    <t>2 SINGLE DOOR WITH CORNOR GLASS</t>
  </si>
  <si>
    <t>NO</t>
  </si>
  <si>
    <t>W1</t>
  </si>
  <si>
    <t>CORNOR WINDOW</t>
  </si>
  <si>
    <t>KITCHEN</t>
  </si>
  <si>
    <t>W2</t>
  </si>
  <si>
    <t>SIDE HUNG WINDOW</t>
  </si>
  <si>
    <t>M BED ROOM</t>
  </si>
  <si>
    <t>W3</t>
  </si>
  <si>
    <t>M900</t>
  </si>
  <si>
    <t>20MM</t>
  </si>
  <si>
    <t>C BED ROOM 1</t>
  </si>
  <si>
    <t>W4</t>
  </si>
  <si>
    <t>HOME HEALTH</t>
  </si>
  <si>
    <t>W5</t>
  </si>
  <si>
    <t>POOJA</t>
  </si>
  <si>
    <t>W6</t>
  </si>
  <si>
    <t>STORE</t>
  </si>
  <si>
    <t>W7</t>
  </si>
  <si>
    <t>FORMAL LIVING</t>
  </si>
  <si>
    <t>W8</t>
  </si>
  <si>
    <t>OUTSIDE STAIRCASE</t>
  </si>
  <si>
    <t>V1</t>
  </si>
  <si>
    <t>M940</t>
  </si>
  <si>
    <t>FIXED GLASS WITH GLASS LOUVERS AND EXHAUST PROVISION</t>
  </si>
  <si>
    <t>6MM (F)</t>
  </si>
  <si>
    <t>VENTILATOR 1</t>
  </si>
  <si>
    <t>V2</t>
  </si>
  <si>
    <t>VENTILATOR 2</t>
  </si>
  <si>
    <t>V3</t>
  </si>
  <si>
    <t>VENTILATOR 3</t>
  </si>
  <si>
    <t>20mm :- 5mm Clear Toughened Glass + 10mm Spacer + 5mm Clear Toughened Glass</t>
  </si>
  <si>
    <t>6mm :- 6mm Frosted Toughened Glass</t>
  </si>
  <si>
    <t>ABPL-DE-19.20-2139-OP-2</t>
  </si>
  <si>
    <t>2 TRACK 2 SHUTTER SLIDING DOOR</t>
  </si>
  <si>
    <t>2 TRACK 2 SHUTTER 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</si>
</sst>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115955</xdr:colOff>
      <xdr:row>52</xdr:row>
      <xdr:rowOff>57978</xdr:rowOff>
    </xdr:from>
    <xdr:to>
      <xdr:col>7</xdr:col>
      <xdr:colOff>41412</xdr:colOff>
      <xdr:row>60</xdr:row>
      <xdr:rowOff>202277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14784456"/>
          <a:ext cx="2294283" cy="2662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720587</xdr:colOff>
      <xdr:row>74</xdr:row>
      <xdr:rowOff>91108</xdr:rowOff>
    </xdr:from>
    <xdr:to>
      <xdr:col>5</xdr:col>
      <xdr:colOff>1664805</xdr:colOff>
      <xdr:row>82</xdr:row>
      <xdr:rowOff>231373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8587" y="21443673"/>
          <a:ext cx="944218" cy="2658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85</xdr:row>
      <xdr:rowOff>132521</xdr:rowOff>
    </xdr:from>
    <xdr:to>
      <xdr:col>6</xdr:col>
      <xdr:colOff>207066</xdr:colOff>
      <xdr:row>93</xdr:row>
      <xdr:rowOff>27644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24798130"/>
          <a:ext cx="2062370" cy="2413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356151</xdr:colOff>
      <xdr:row>96</xdr:row>
      <xdr:rowOff>289890</xdr:rowOff>
    </xdr:from>
    <xdr:to>
      <xdr:col>7</xdr:col>
      <xdr:colOff>33130</xdr:colOff>
      <xdr:row>103</xdr:row>
      <xdr:rowOff>211795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412" y="28268542"/>
          <a:ext cx="2741544" cy="2125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</xdr:colOff>
      <xdr:row>107</xdr:row>
      <xdr:rowOff>190499</xdr:rowOff>
    </xdr:from>
    <xdr:to>
      <xdr:col>5</xdr:col>
      <xdr:colOff>1880152</xdr:colOff>
      <xdr:row>115</xdr:row>
      <xdr:rowOff>150155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5" y="31482195"/>
          <a:ext cx="1797327" cy="247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140803</xdr:colOff>
      <xdr:row>118</xdr:row>
      <xdr:rowOff>265043</xdr:rowOff>
    </xdr:from>
    <xdr:to>
      <xdr:col>5</xdr:col>
      <xdr:colOff>1780760</xdr:colOff>
      <xdr:row>125</xdr:row>
      <xdr:rowOff>238144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3" y="34869782"/>
          <a:ext cx="1639957" cy="21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223629</xdr:colOff>
      <xdr:row>129</xdr:row>
      <xdr:rowOff>265044</xdr:rowOff>
    </xdr:from>
    <xdr:to>
      <xdr:col>5</xdr:col>
      <xdr:colOff>1913282</xdr:colOff>
      <xdr:row>136</xdr:row>
      <xdr:rowOff>304093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9" y="38182827"/>
          <a:ext cx="1689653" cy="2242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140</xdr:row>
      <xdr:rowOff>140805</xdr:rowOff>
    </xdr:from>
    <xdr:to>
      <xdr:col>5</xdr:col>
      <xdr:colOff>1648239</xdr:colOff>
      <xdr:row>148</xdr:row>
      <xdr:rowOff>77654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41371631"/>
          <a:ext cx="1383196" cy="24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521803</xdr:colOff>
      <xdr:row>152</xdr:row>
      <xdr:rowOff>66261</xdr:rowOff>
    </xdr:from>
    <xdr:to>
      <xdr:col>8</xdr:col>
      <xdr:colOff>378002</xdr:colOff>
      <xdr:row>158</xdr:row>
      <xdr:rowOff>248479</xdr:rowOff>
    </xdr:to>
    <xdr:grpSp>
      <xdr:nvGrpSpPr>
        <xdr:cNvPr id="22" name="Group 21"/>
        <xdr:cNvGrpSpPr/>
      </xdr:nvGrpSpPr>
      <xdr:grpSpPr>
        <a:xfrm>
          <a:off x="2285999" y="44924870"/>
          <a:ext cx="3773873" cy="2070652"/>
          <a:chOff x="2285999" y="44924870"/>
          <a:chExt cx="3773873" cy="2070652"/>
        </a:xfrm>
      </xdr:grpSpPr>
      <xdr:pic>
        <xdr:nvPicPr>
          <xdr:cNvPr id="15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5999" y="44924870"/>
            <a:ext cx="3773873" cy="20706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7" name="Straight Connector 16"/>
          <xdr:cNvCxnSpPr/>
        </xdr:nvCxnSpPr>
        <xdr:spPr>
          <a:xfrm>
            <a:off x="4166152" y="45405260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4166152" y="45496369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4166152" y="45587477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4166152" y="45678586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4166152" y="45777977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538368</xdr:colOff>
      <xdr:row>163</xdr:row>
      <xdr:rowOff>173935</xdr:rowOff>
    </xdr:from>
    <xdr:to>
      <xdr:col>9</xdr:col>
      <xdr:colOff>52524</xdr:colOff>
      <xdr:row>169</xdr:row>
      <xdr:rowOff>281609</xdr:rowOff>
    </xdr:to>
    <xdr:grpSp>
      <xdr:nvGrpSpPr>
        <xdr:cNvPr id="29" name="Group 28"/>
        <xdr:cNvGrpSpPr/>
      </xdr:nvGrpSpPr>
      <xdr:grpSpPr>
        <a:xfrm>
          <a:off x="2302564" y="48345587"/>
          <a:ext cx="4019895" cy="1996109"/>
          <a:chOff x="2302564" y="48345587"/>
          <a:chExt cx="4019895" cy="1996109"/>
        </a:xfrm>
      </xdr:grpSpPr>
      <xdr:pic>
        <xdr:nvPicPr>
          <xdr:cNvPr id="23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02564" y="48345587"/>
            <a:ext cx="4019895" cy="1996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25" name="Straight Connector 24"/>
          <xdr:cNvCxnSpPr/>
        </xdr:nvCxnSpPr>
        <xdr:spPr>
          <a:xfrm>
            <a:off x="4124739" y="48809413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4124739" y="48908804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4124739" y="49008195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4124739" y="49107587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496956</xdr:colOff>
      <xdr:row>174</xdr:row>
      <xdr:rowOff>82826</xdr:rowOff>
    </xdr:from>
    <xdr:to>
      <xdr:col>8</xdr:col>
      <xdr:colOff>496956</xdr:colOff>
      <xdr:row>180</xdr:row>
      <xdr:rowOff>248131</xdr:rowOff>
    </xdr:to>
    <xdr:grpSp>
      <xdr:nvGrpSpPr>
        <xdr:cNvPr id="37" name="Group 36"/>
        <xdr:cNvGrpSpPr/>
      </xdr:nvGrpSpPr>
      <xdr:grpSpPr>
        <a:xfrm>
          <a:off x="2261152" y="51567522"/>
          <a:ext cx="3917674" cy="2053739"/>
          <a:chOff x="2261152" y="51567522"/>
          <a:chExt cx="3917674" cy="2053739"/>
        </a:xfrm>
      </xdr:grpSpPr>
      <xdr:pic>
        <xdr:nvPicPr>
          <xdr:cNvPr id="30" name="Picture 29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152" y="51567522"/>
            <a:ext cx="3917674" cy="2053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32" name="Straight Connector 31"/>
          <xdr:cNvCxnSpPr/>
        </xdr:nvCxnSpPr>
        <xdr:spPr>
          <a:xfrm>
            <a:off x="4116457" y="52047913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>
            <a:off x="4116457" y="52139022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4116457" y="52238413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4116457" y="52329522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4116457" y="52412348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314739</xdr:colOff>
      <xdr:row>8</xdr:row>
      <xdr:rowOff>132522</xdr:rowOff>
    </xdr:from>
    <xdr:to>
      <xdr:col>8</xdr:col>
      <xdr:colOff>165652</xdr:colOff>
      <xdr:row>16</xdr:row>
      <xdr:rowOff>179607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606826"/>
          <a:ext cx="3180522" cy="2564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372716</xdr:colOff>
      <xdr:row>19</xdr:row>
      <xdr:rowOff>74542</xdr:rowOff>
    </xdr:from>
    <xdr:to>
      <xdr:col>8</xdr:col>
      <xdr:colOff>132520</xdr:colOff>
      <xdr:row>27</xdr:row>
      <xdr:rowOff>250444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7" y="4861890"/>
          <a:ext cx="3089413" cy="2693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30</xdr:row>
      <xdr:rowOff>82826</xdr:rowOff>
    </xdr:from>
    <xdr:to>
      <xdr:col>6</xdr:col>
      <xdr:colOff>331304</xdr:colOff>
      <xdr:row>38</xdr:row>
      <xdr:rowOff>245561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8183217"/>
          <a:ext cx="2286000" cy="268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389281</xdr:colOff>
      <xdr:row>41</xdr:row>
      <xdr:rowOff>49696</xdr:rowOff>
    </xdr:from>
    <xdr:to>
      <xdr:col>6</xdr:col>
      <xdr:colOff>190499</xdr:colOff>
      <xdr:row>49</xdr:row>
      <xdr:rowOff>237779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1" y="11463131"/>
          <a:ext cx="1780761" cy="2705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364433</xdr:colOff>
      <xdr:row>64</xdr:row>
      <xdr:rowOff>115957</xdr:rowOff>
    </xdr:from>
    <xdr:to>
      <xdr:col>8</xdr:col>
      <xdr:colOff>525521</xdr:colOff>
      <xdr:row>70</xdr:row>
      <xdr:rowOff>82826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629" y="18470218"/>
          <a:ext cx="4078762" cy="1855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64" sqref="C64:K7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ABPL-DE-19.20-2139-OP-2</v>
      </c>
      <c r="O2" s="540"/>
      <c r="P2" s="219" t="s">
        <v>257</v>
      </c>
    </row>
    <row r="3" spans="2:16">
      <c r="B3" s="218"/>
      <c r="C3" s="538" t="s">
        <v>126</v>
      </c>
      <c r="D3" s="538"/>
      <c r="E3" s="538"/>
      <c r="F3" s="540" t="str">
        <f>QUOTATION!F7</f>
        <v>Dr. Keerthi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43679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8" t="s">
        <v>169</v>
      </c>
      <c r="D5" s="538"/>
      <c r="E5" s="538"/>
      <c r="F5" s="540" t="str">
        <f>QUOTATION!F9</f>
        <v xml:space="preserve">Mr. Jagadish : 8008103070 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8" t="s">
        <v>177</v>
      </c>
      <c r="D6" s="538"/>
      <c r="E6" s="538"/>
      <c r="F6" s="285" t="str">
        <f>QUOTATION!F10</f>
        <v>Anodized</v>
      </c>
      <c r="G6" s="538"/>
      <c r="H6" s="538"/>
      <c r="I6" s="541" t="s">
        <v>178</v>
      </c>
      <c r="J6" s="541"/>
      <c r="K6" s="540" t="str">
        <f>QUOTATION!I10</f>
        <v>Silver</v>
      </c>
      <c r="L6" s="540"/>
      <c r="M6" s="320" t="s">
        <v>375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254</v>
      </c>
      <c r="D8" s="538"/>
      <c r="E8" s="286" t="str">
        <f>'BD Team'!B9</f>
        <v>SD1</v>
      </c>
      <c r="F8" s="288" t="s">
        <v>255</v>
      </c>
      <c r="G8" s="540" t="str">
        <f>'BD Team'!D9</f>
        <v>2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NA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247</v>
      </c>
      <c r="M10" s="538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178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248</v>
      </c>
      <c r="M12" s="538"/>
      <c r="N12" s="549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249</v>
      </c>
      <c r="M13" s="538"/>
      <c r="N13" s="540" t="str">
        <f>CONCATENATE('BD Team'!H9," X ",'BD Team'!I9)</f>
        <v>3658 X 2440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250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251</v>
      </c>
      <c r="M15" s="538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252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253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254</v>
      </c>
      <c r="D19" s="538"/>
      <c r="E19" s="286" t="str">
        <f>'BD Team'!B10</f>
        <v>SD2</v>
      </c>
      <c r="F19" s="288" t="s">
        <v>255</v>
      </c>
      <c r="G19" s="540" t="str">
        <f>'BD Team'!D10</f>
        <v>2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NA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247</v>
      </c>
      <c r="M21" s="538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178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248</v>
      </c>
      <c r="M23" s="538"/>
      <c r="N23" s="543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249</v>
      </c>
      <c r="M24" s="538"/>
      <c r="N24" s="540" t="str">
        <f>CONCATENATE('BD Team'!H10," X ",'BD Team'!I10)</f>
        <v>3354 X 2440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250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251</v>
      </c>
      <c r="M26" s="538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252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253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254</v>
      </c>
      <c r="D30" s="538"/>
      <c r="E30" s="286" t="str">
        <f>'BD Team'!B11</f>
        <v>SD3</v>
      </c>
      <c r="F30" s="288" t="s">
        <v>255</v>
      </c>
      <c r="G30" s="540" t="str">
        <f>'BD Team'!D11</f>
        <v>2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NA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247</v>
      </c>
      <c r="M32" s="538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178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248</v>
      </c>
      <c r="M34" s="538"/>
      <c r="N34" s="543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249</v>
      </c>
      <c r="M35" s="538"/>
      <c r="N35" s="540" t="str">
        <f>CONCATENATE('BD Team'!H11," X ",'BD Team'!I11)</f>
        <v>2440 X 2440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250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251</v>
      </c>
      <c r="M37" s="538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252</v>
      </c>
      <c r="M38" s="538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253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254</v>
      </c>
      <c r="D41" s="538"/>
      <c r="E41" s="286" t="str">
        <f>'BD Team'!B12</f>
        <v>SD4</v>
      </c>
      <c r="F41" s="288" t="s">
        <v>255</v>
      </c>
      <c r="G41" s="540" t="str">
        <f>'BD Team'!D12</f>
        <v>2 TRACK 2 SHUTTER SLIDING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NA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247</v>
      </c>
      <c r="M43" s="538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178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248</v>
      </c>
      <c r="M45" s="538"/>
      <c r="N45" s="543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249</v>
      </c>
      <c r="M46" s="538"/>
      <c r="N46" s="540" t="str">
        <f>CONCATENATE('BD Team'!H12," X ",'BD Team'!I12)</f>
        <v>1830 X 2440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250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251</v>
      </c>
      <c r="M48" s="538"/>
      <c r="N48" s="540" t="str">
        <f>'BD Team'!C12</f>
        <v>M14600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252</v>
      </c>
      <c r="M49" s="538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253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254</v>
      </c>
      <c r="D52" s="538"/>
      <c r="E52" s="286" t="str">
        <f>'BD Team'!B13</f>
        <v>CW</v>
      </c>
      <c r="F52" s="288" t="s">
        <v>255</v>
      </c>
      <c r="G52" s="540" t="str">
        <f>'BD Team'!D13</f>
        <v>2 SINGLE DOOR WITH CORNOR GLASS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CORNOR WINDOW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247</v>
      </c>
      <c r="M54" s="538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178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248</v>
      </c>
      <c r="M56" s="538"/>
      <c r="N56" s="543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249</v>
      </c>
      <c r="M57" s="538"/>
      <c r="N57" s="540" t="str">
        <f>CONCATENATE('BD Team'!H13," X ",'BD Team'!I13)</f>
        <v>2136 X 2134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250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251</v>
      </c>
      <c r="M59" s="538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252</v>
      </c>
      <c r="M60" s="538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253</v>
      </c>
      <c r="M61" s="538"/>
      <c r="N61" s="540" t="str">
        <f>'BD Team'!F13</f>
        <v>NO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254</v>
      </c>
      <c r="D63" s="538"/>
      <c r="E63" s="286" t="str">
        <f>'BD Team'!B14</f>
        <v>W1</v>
      </c>
      <c r="F63" s="288" t="s">
        <v>255</v>
      </c>
      <c r="G63" s="540" t="str">
        <f>'BD Team'!D14</f>
        <v>2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KITCHEN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247</v>
      </c>
      <c r="M65" s="538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178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248</v>
      </c>
      <c r="M67" s="538"/>
      <c r="N67" s="543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249</v>
      </c>
      <c r="M68" s="538"/>
      <c r="N68" s="540" t="str">
        <f>CONCATENATE('BD Team'!H14," X ",'BD Team'!I14)</f>
        <v>3960 X 1220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250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251</v>
      </c>
      <c r="M70" s="538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252</v>
      </c>
      <c r="M71" s="538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253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254</v>
      </c>
      <c r="D74" s="538"/>
      <c r="E74" s="286" t="str">
        <f>'BD Team'!B15</f>
        <v>W2</v>
      </c>
      <c r="F74" s="288" t="s">
        <v>255</v>
      </c>
      <c r="G74" s="540" t="str">
        <f>'BD Team'!D15</f>
        <v>SIDE HUNG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M BED ROOM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247</v>
      </c>
      <c r="M76" s="538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178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248</v>
      </c>
      <c r="M78" s="538"/>
      <c r="N78" s="543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249</v>
      </c>
      <c r="M79" s="538"/>
      <c r="N79" s="540" t="str">
        <f>CONCATENATE('BD Team'!H15," X ",'BD Team'!I15)</f>
        <v>610 X 2134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250</v>
      </c>
      <c r="M80" s="538"/>
      <c r="N80" s="539">
        <f>'BD Team'!J15</f>
        <v>1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251</v>
      </c>
      <c r="M81" s="538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252</v>
      </c>
      <c r="M82" s="538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253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254</v>
      </c>
      <c r="D85" s="538"/>
      <c r="E85" s="286" t="str">
        <f>'BD Team'!B16</f>
        <v>W3</v>
      </c>
      <c r="F85" s="288" t="s">
        <v>255</v>
      </c>
      <c r="G85" s="540" t="str">
        <f>'BD Team'!D16</f>
        <v>2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C BED ROOM 1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247</v>
      </c>
      <c r="M87" s="538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178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248</v>
      </c>
      <c r="M89" s="538"/>
      <c r="N89" s="543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249</v>
      </c>
      <c r="M90" s="538"/>
      <c r="N90" s="540" t="str">
        <f>CONCATENATE('BD Team'!H16," X ",'BD Team'!I16)</f>
        <v>1524 X 1372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250</v>
      </c>
      <c r="M91" s="538"/>
      <c r="N91" s="539">
        <f>'BD Team'!J16</f>
        <v>1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251</v>
      </c>
      <c r="M92" s="538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252</v>
      </c>
      <c r="M93" s="538"/>
      <c r="N93" s="540" t="str">
        <f>'BD Team'!E16</f>
        <v>20MM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253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254</v>
      </c>
      <c r="D96" s="538"/>
      <c r="E96" s="286" t="str">
        <f>'BD Team'!B17</f>
        <v>W4</v>
      </c>
      <c r="F96" s="288" t="s">
        <v>255</v>
      </c>
      <c r="G96" s="540" t="str">
        <f>'BD Team'!D17</f>
        <v>2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HOME HEALTH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247</v>
      </c>
      <c r="M98" s="538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178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248</v>
      </c>
      <c r="M100" s="538"/>
      <c r="N100" s="543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249</v>
      </c>
      <c r="M101" s="538"/>
      <c r="N101" s="540" t="str">
        <f>CONCATENATE('BD Team'!H17," X ",'BD Team'!I17)</f>
        <v>2440 X 1372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250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251</v>
      </c>
      <c r="M103" s="538"/>
      <c r="N103" s="540" t="str">
        <f>'BD Team'!C17</f>
        <v>M900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252</v>
      </c>
      <c r="M104" s="538"/>
      <c r="N104" s="540" t="str">
        <f>'BD Team'!E17</f>
        <v>20MM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253</v>
      </c>
      <c r="M105" s="538"/>
      <c r="N105" s="540" t="str">
        <f>'BD Team'!F17</f>
        <v>NO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254</v>
      </c>
      <c r="D107" s="538"/>
      <c r="E107" s="286" t="str">
        <f>'BD Team'!B18</f>
        <v>W5</v>
      </c>
      <c r="F107" s="288" t="s">
        <v>255</v>
      </c>
      <c r="G107" s="540" t="str">
        <f>'BD Team'!D18</f>
        <v>2 TRACK 2 SHUTTER SLIDING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POOJA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247</v>
      </c>
      <c r="M109" s="538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178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248</v>
      </c>
      <c r="M111" s="538"/>
      <c r="N111" s="543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249</v>
      </c>
      <c r="M112" s="538"/>
      <c r="N112" s="540" t="str">
        <f>CONCATENATE('BD Team'!H18," X ",'BD Team'!I18)</f>
        <v>1372 X 1524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250</v>
      </c>
      <c r="M113" s="538"/>
      <c r="N113" s="539">
        <f>'BD Team'!J18</f>
        <v>1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251</v>
      </c>
      <c r="M114" s="538"/>
      <c r="N114" s="540" t="str">
        <f>'BD Team'!C18</f>
        <v>M900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252</v>
      </c>
      <c r="M115" s="538"/>
      <c r="N115" s="540" t="str">
        <f>'BD Team'!E18</f>
        <v>20MM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253</v>
      </c>
      <c r="M116" s="538"/>
      <c r="N116" s="540" t="str">
        <f>'BD Team'!F18</f>
        <v>NO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254</v>
      </c>
      <c r="D118" s="538"/>
      <c r="E118" s="286" t="str">
        <f>'BD Team'!B19</f>
        <v>W6</v>
      </c>
      <c r="F118" s="288" t="s">
        <v>255</v>
      </c>
      <c r="G118" s="540" t="str">
        <f>'BD Team'!D19</f>
        <v>SIDE HUNG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STORE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247</v>
      </c>
      <c r="M120" s="538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178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248</v>
      </c>
      <c r="M122" s="538"/>
      <c r="N122" s="543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249</v>
      </c>
      <c r="M123" s="538"/>
      <c r="N123" s="540" t="str">
        <f>CONCATENATE('BD Team'!H19," X ",'BD Team'!I19)</f>
        <v>992 X 1372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250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251</v>
      </c>
      <c r="M125" s="538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252</v>
      </c>
      <c r="M126" s="538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253</v>
      </c>
      <c r="M127" s="538"/>
      <c r="N127" s="540" t="str">
        <f>'BD Team'!F19</f>
        <v>NO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254</v>
      </c>
      <c r="D129" s="538"/>
      <c r="E129" s="286" t="str">
        <f>'BD Team'!B20</f>
        <v>W7</v>
      </c>
      <c r="F129" s="288" t="s">
        <v>255</v>
      </c>
      <c r="G129" s="540" t="str">
        <f>'BD Team'!D20</f>
        <v>SIDE HUNG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FORMAL LIVING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247</v>
      </c>
      <c r="M131" s="538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178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248</v>
      </c>
      <c r="M133" s="538"/>
      <c r="N133" s="543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249</v>
      </c>
      <c r="M134" s="538"/>
      <c r="N134" s="540" t="str">
        <f>CONCATENATE('BD Team'!H20," X ",'BD Team'!I20)</f>
        <v>992 X 1372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250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251</v>
      </c>
      <c r="M136" s="538"/>
      <c r="N136" s="540" t="str">
        <f>'BD Team'!C20</f>
        <v>M15000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252</v>
      </c>
      <c r="M137" s="538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253</v>
      </c>
      <c r="M138" s="538"/>
      <c r="N138" s="540" t="str">
        <f>'BD Team'!F20</f>
        <v>NO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254</v>
      </c>
      <c r="D140" s="538"/>
      <c r="E140" s="286" t="str">
        <f>'BD Team'!B21</f>
        <v>W8</v>
      </c>
      <c r="F140" s="288" t="s">
        <v>255</v>
      </c>
      <c r="G140" s="540" t="str">
        <f>'BD Team'!D21</f>
        <v>2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OUTSIDE STAIRCASE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247</v>
      </c>
      <c r="M142" s="538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178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248</v>
      </c>
      <c r="M144" s="538"/>
      <c r="N144" s="543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249</v>
      </c>
      <c r="M145" s="538"/>
      <c r="N145" s="540" t="str">
        <f>CONCATENATE('BD Team'!H21," X ",'BD Team'!I21)</f>
        <v>916 X 1372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250</v>
      </c>
      <c r="M146" s="538"/>
      <c r="N146" s="539">
        <f>'BD Team'!J21</f>
        <v>1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251</v>
      </c>
      <c r="M147" s="538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252</v>
      </c>
      <c r="M148" s="538"/>
      <c r="N148" s="540" t="str">
        <f>'BD Team'!E21</f>
        <v>20MM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253</v>
      </c>
      <c r="M149" s="538"/>
      <c r="N149" s="540" t="str">
        <f>'BD Team'!F21</f>
        <v>NO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254</v>
      </c>
      <c r="D151" s="538"/>
      <c r="E151" s="286" t="str">
        <f>'BD Team'!B22</f>
        <v>V1</v>
      </c>
      <c r="F151" s="288" t="s">
        <v>255</v>
      </c>
      <c r="G151" s="540" t="str">
        <f>'BD Team'!D22</f>
        <v>FIXED GLASS WITH GLASS LOUVERS AND EXHAUST PROVISION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VENTILATOR 1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247</v>
      </c>
      <c r="M153" s="538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178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248</v>
      </c>
      <c r="M155" s="538"/>
      <c r="N155" s="543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249</v>
      </c>
      <c r="M156" s="538"/>
      <c r="N156" s="540" t="str">
        <f>CONCATENATE('BD Team'!H22," X ",'BD Team'!I22)</f>
        <v>610 X 610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250</v>
      </c>
      <c r="M157" s="538"/>
      <c r="N157" s="539">
        <f>'BD Team'!J22</f>
        <v>3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251</v>
      </c>
      <c r="M158" s="538"/>
      <c r="N158" s="540" t="str">
        <f>'BD Team'!C22</f>
        <v>M940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252</v>
      </c>
      <c r="M159" s="538"/>
      <c r="N159" s="540" t="str">
        <f>'BD Team'!E22</f>
        <v>6MM (F)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253</v>
      </c>
      <c r="M160" s="538"/>
      <c r="N160" s="540" t="str">
        <f>'BD Team'!F22</f>
        <v>NO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254</v>
      </c>
      <c r="D162" s="538"/>
      <c r="E162" s="286" t="str">
        <f>'BD Team'!B23</f>
        <v>V2</v>
      </c>
      <c r="F162" s="288" t="s">
        <v>255</v>
      </c>
      <c r="G162" s="540" t="str">
        <f>'BD Team'!D23</f>
        <v>FIXED GLASS WITH GLASS LOUVERS AND EXHAUST PROVISION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 t="str">
        <f>'BD Team'!G23</f>
        <v>VENTILATOR 2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247</v>
      </c>
      <c r="M164" s="538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178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248</v>
      </c>
      <c r="M166" s="538"/>
      <c r="N166" s="543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249</v>
      </c>
      <c r="M167" s="538"/>
      <c r="N167" s="540" t="str">
        <f>CONCATENATE('BD Team'!H23," X ",'BD Team'!I23)</f>
        <v>840 X 610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250</v>
      </c>
      <c r="M168" s="538"/>
      <c r="N168" s="539">
        <f>'BD Team'!J23</f>
        <v>1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251</v>
      </c>
      <c r="M169" s="538"/>
      <c r="N169" s="540" t="str">
        <f>'BD Team'!C23</f>
        <v>M940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252</v>
      </c>
      <c r="M170" s="538"/>
      <c r="N170" s="540" t="str">
        <f>'BD Team'!E23</f>
        <v>6MM (F)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253</v>
      </c>
      <c r="M171" s="538"/>
      <c r="N171" s="540" t="str">
        <f>'BD Team'!F23</f>
        <v>NO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254</v>
      </c>
      <c r="D173" s="538"/>
      <c r="E173" s="286" t="str">
        <f>'BD Team'!B24</f>
        <v>V3</v>
      </c>
      <c r="F173" s="288" t="s">
        <v>255</v>
      </c>
      <c r="G173" s="540" t="str">
        <f>'BD Team'!D24</f>
        <v>FIXED GLASS WITH GLASS LOUVERS AND EXHAUST PROVISION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 t="str">
        <f>'BD Team'!G24</f>
        <v>VENTILATOR 3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247</v>
      </c>
      <c r="M175" s="538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178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248</v>
      </c>
      <c r="M177" s="538"/>
      <c r="N177" s="543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249</v>
      </c>
      <c r="M178" s="538"/>
      <c r="N178" s="540" t="str">
        <f>CONCATENATE('BD Team'!H24," X ",'BD Team'!I24)</f>
        <v>724 X 610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250</v>
      </c>
      <c r="M179" s="538"/>
      <c r="N179" s="539">
        <f>'BD Team'!J24</f>
        <v>1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251</v>
      </c>
      <c r="M180" s="538"/>
      <c r="N180" s="540" t="str">
        <f>'BD Team'!C24</f>
        <v>M940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252</v>
      </c>
      <c r="M181" s="538"/>
      <c r="N181" s="540" t="str">
        <f>'BD Team'!E24</f>
        <v>6MM (F)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253</v>
      </c>
      <c r="M182" s="538"/>
      <c r="N182" s="540" t="str">
        <f>'BD Team'!F24</f>
        <v>NO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247</v>
      </c>
      <c r="M186" s="538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178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248</v>
      </c>
      <c r="M188" s="538"/>
      <c r="N188" s="543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249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250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251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252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253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247</v>
      </c>
      <c r="M197" s="538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178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248</v>
      </c>
      <c r="M199" s="538"/>
      <c r="N199" s="543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249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250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251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252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253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247</v>
      </c>
      <c r="M208" s="538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178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248</v>
      </c>
      <c r="M210" s="538"/>
      <c r="N210" s="543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249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250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251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252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253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247</v>
      </c>
      <c r="M219" s="538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178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248</v>
      </c>
      <c r="M221" s="538"/>
      <c r="N221" s="543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249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250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251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252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253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247</v>
      </c>
      <c r="M230" s="538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178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248</v>
      </c>
      <c r="M232" s="538"/>
      <c r="N232" s="543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249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250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251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252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253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247</v>
      </c>
      <c r="M241" s="538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178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248</v>
      </c>
      <c r="M243" s="538"/>
      <c r="N243" s="543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249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250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251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252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253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247</v>
      </c>
      <c r="M252" s="538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178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248</v>
      </c>
      <c r="M254" s="538"/>
      <c r="N254" s="543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249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250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251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252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253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247</v>
      </c>
      <c r="M263" s="538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178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248</v>
      </c>
      <c r="M265" s="538"/>
      <c r="N265" s="543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249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250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251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252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253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247</v>
      </c>
      <c r="M274" s="538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178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248</v>
      </c>
      <c r="M276" s="538"/>
      <c r="N276" s="543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249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250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251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252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253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247</v>
      </c>
      <c r="M285" s="538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178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248</v>
      </c>
      <c r="M287" s="538"/>
      <c r="N287" s="543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249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250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251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252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253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247</v>
      </c>
      <c r="M296" s="538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178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248</v>
      </c>
      <c r="M298" s="538"/>
      <c r="N298" s="543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249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250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251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252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253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247</v>
      </c>
      <c r="M307" s="538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178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248</v>
      </c>
      <c r="M309" s="538"/>
      <c r="N309" s="543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249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250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251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252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253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247</v>
      </c>
      <c r="M318" s="538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178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248</v>
      </c>
      <c r="M320" s="538"/>
      <c r="N320" s="543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249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250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251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252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253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247</v>
      </c>
      <c r="M329" s="538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178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248</v>
      </c>
      <c r="M331" s="538"/>
      <c r="N331" s="543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249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250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251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252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253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247</v>
      </c>
      <c r="M340" s="538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178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248</v>
      </c>
      <c r="M342" s="538"/>
      <c r="N342" s="543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249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250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251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252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253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247</v>
      </c>
      <c r="M351" s="538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178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248</v>
      </c>
      <c r="M353" s="538"/>
      <c r="N353" s="543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249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250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251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252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253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247</v>
      </c>
      <c r="M362" s="538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178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248</v>
      </c>
      <c r="M364" s="538"/>
      <c r="N364" s="543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249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250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251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252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253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247</v>
      </c>
      <c r="M373" s="538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178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248</v>
      </c>
      <c r="M375" s="538"/>
      <c r="N375" s="543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249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250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251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252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253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247</v>
      </c>
      <c r="M384" s="538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178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248</v>
      </c>
      <c r="M386" s="538"/>
      <c r="N386" s="543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249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250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251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252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253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247</v>
      </c>
      <c r="M395" s="538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178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248</v>
      </c>
      <c r="M397" s="538"/>
      <c r="N397" s="543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249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250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251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252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253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247</v>
      </c>
      <c r="M406" s="538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178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248</v>
      </c>
      <c r="M408" s="538"/>
      <c r="N408" s="543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249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250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251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252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253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247</v>
      </c>
      <c r="M417" s="538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178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248</v>
      </c>
      <c r="M419" s="538"/>
      <c r="N419" s="543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249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250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251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252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253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247</v>
      </c>
      <c r="M428" s="538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178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248</v>
      </c>
      <c r="M430" s="538"/>
      <c r="N430" s="543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249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250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251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252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253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247</v>
      </c>
      <c r="M439" s="538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178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248</v>
      </c>
      <c r="M441" s="538"/>
      <c r="N441" s="543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249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250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251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252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253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247</v>
      </c>
      <c r="M450" s="538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178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248</v>
      </c>
      <c r="M452" s="538"/>
      <c r="N452" s="543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249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250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251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252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253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247</v>
      </c>
      <c r="M461" s="538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178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248</v>
      </c>
      <c r="M463" s="538"/>
      <c r="N463" s="543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249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250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251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252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253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247</v>
      </c>
      <c r="M472" s="538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178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248</v>
      </c>
      <c r="M474" s="538"/>
      <c r="N474" s="543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249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250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251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252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253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247</v>
      </c>
      <c r="M483" s="538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178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248</v>
      </c>
      <c r="M485" s="538"/>
      <c r="N485" s="543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249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250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251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252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253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247</v>
      </c>
      <c r="M494" s="538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178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248</v>
      </c>
      <c r="M496" s="538"/>
      <c r="N496" s="543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249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250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251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252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253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247</v>
      </c>
      <c r="M505" s="538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178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248</v>
      </c>
      <c r="M507" s="538"/>
      <c r="N507" s="543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249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250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251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252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253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247</v>
      </c>
      <c r="M516" s="538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178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248</v>
      </c>
      <c r="M518" s="538"/>
      <c r="N518" s="543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249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250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251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252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253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247</v>
      </c>
      <c r="M527" s="538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178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248</v>
      </c>
      <c r="M529" s="538"/>
      <c r="N529" s="543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249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250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251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252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253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247</v>
      </c>
      <c r="M538" s="538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178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248</v>
      </c>
      <c r="M540" s="538"/>
      <c r="N540" s="543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249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250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251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252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253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247</v>
      </c>
      <c r="M549" s="538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178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248</v>
      </c>
      <c r="M551" s="538"/>
      <c r="N551" s="543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249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250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251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252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253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247</v>
      </c>
      <c r="M560" s="538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178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248</v>
      </c>
      <c r="M562" s="538"/>
      <c r="N562" s="543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249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250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251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252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253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247</v>
      </c>
      <c r="M571" s="538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178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248</v>
      </c>
      <c r="M573" s="538"/>
      <c r="N573" s="543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249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250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251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252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253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247</v>
      </c>
      <c r="M582" s="538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178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248</v>
      </c>
      <c r="M584" s="538"/>
      <c r="N584" s="543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249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250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251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252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253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247</v>
      </c>
      <c r="M593" s="538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178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248</v>
      </c>
      <c r="M595" s="538"/>
      <c r="N595" s="543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249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250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251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252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253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247</v>
      </c>
      <c r="M604" s="538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178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248</v>
      </c>
      <c r="M606" s="538"/>
      <c r="N606" s="543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249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250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251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252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253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247</v>
      </c>
      <c r="M615" s="538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178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248</v>
      </c>
      <c r="M617" s="538"/>
      <c r="N617" s="543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249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250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251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252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253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247</v>
      </c>
      <c r="M626" s="538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178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248</v>
      </c>
      <c r="M628" s="538"/>
      <c r="N628" s="543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249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250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251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252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253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247</v>
      </c>
      <c r="M637" s="538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178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248</v>
      </c>
      <c r="M639" s="538"/>
      <c r="N639" s="543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249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250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251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252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253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247</v>
      </c>
      <c r="M648" s="538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178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248</v>
      </c>
      <c r="M650" s="538"/>
      <c r="N650" s="543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249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250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251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252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253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247</v>
      </c>
      <c r="M659" s="538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178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248</v>
      </c>
      <c r="M661" s="538"/>
      <c r="N661" s="543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249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250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251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252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253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247</v>
      </c>
      <c r="M670" s="538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178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248</v>
      </c>
      <c r="M672" s="538"/>
      <c r="N672" s="543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249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250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251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252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253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247</v>
      </c>
      <c r="M681" s="538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178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248</v>
      </c>
      <c r="M683" s="538"/>
      <c r="N683" s="543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249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250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251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252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253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247</v>
      </c>
      <c r="M692" s="538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178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248</v>
      </c>
      <c r="M694" s="538"/>
      <c r="N694" s="543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249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250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251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252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253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247</v>
      </c>
      <c r="M703" s="538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178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248</v>
      </c>
      <c r="M705" s="538"/>
      <c r="N705" s="543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249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250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251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252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253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247</v>
      </c>
      <c r="M714" s="538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178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248</v>
      </c>
      <c r="M716" s="538"/>
      <c r="N716" s="543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249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250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251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252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253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247</v>
      </c>
      <c r="M725" s="538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178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248</v>
      </c>
      <c r="M727" s="538"/>
      <c r="N727" s="543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249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250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251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252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253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247</v>
      </c>
      <c r="M736" s="538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178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248</v>
      </c>
      <c r="M738" s="538"/>
      <c r="N738" s="543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249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250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251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252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253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247</v>
      </c>
      <c r="M747" s="538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178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248</v>
      </c>
      <c r="M749" s="538"/>
      <c r="N749" s="543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249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250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251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252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253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247</v>
      </c>
      <c r="M758" s="538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178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248</v>
      </c>
      <c r="M760" s="538"/>
      <c r="N760" s="543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249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250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251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252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253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247</v>
      </c>
      <c r="M769" s="538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178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248</v>
      </c>
      <c r="M771" s="538"/>
      <c r="N771" s="543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249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250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251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252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253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247</v>
      </c>
      <c r="M780" s="538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178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248</v>
      </c>
      <c r="M782" s="538"/>
      <c r="N782" s="543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249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250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251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252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253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247</v>
      </c>
      <c r="M791" s="538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178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248</v>
      </c>
      <c r="M793" s="538"/>
      <c r="N793" s="543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249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250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251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252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253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247</v>
      </c>
      <c r="M802" s="538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178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248</v>
      </c>
      <c r="M804" s="538"/>
      <c r="N804" s="543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249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250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251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252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253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247</v>
      </c>
      <c r="M813" s="538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178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248</v>
      </c>
      <c r="M815" s="538"/>
      <c r="N815" s="543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249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250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251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252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253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247</v>
      </c>
      <c r="M824" s="538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178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248</v>
      </c>
      <c r="M826" s="538"/>
      <c r="N826" s="543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249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250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251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252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253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247</v>
      </c>
      <c r="M835" s="538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178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248</v>
      </c>
      <c r="M837" s="538"/>
      <c r="N837" s="543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249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250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251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252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253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247</v>
      </c>
      <c r="M846" s="538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178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248</v>
      </c>
      <c r="M848" s="538"/>
      <c r="N848" s="543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249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250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251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252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253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247</v>
      </c>
      <c r="M857" s="538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178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248</v>
      </c>
      <c r="M859" s="538"/>
      <c r="N859" s="543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249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250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251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252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253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247</v>
      </c>
      <c r="M868" s="538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178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248</v>
      </c>
      <c r="M870" s="538"/>
      <c r="N870" s="543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249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250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251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252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253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247</v>
      </c>
      <c r="M879" s="538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178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248</v>
      </c>
      <c r="M881" s="538"/>
      <c r="N881" s="543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249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250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251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252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253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247</v>
      </c>
      <c r="M890" s="538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178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248</v>
      </c>
      <c r="M892" s="538"/>
      <c r="N892" s="543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249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250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251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252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253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247</v>
      </c>
      <c r="M901" s="538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178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248</v>
      </c>
      <c r="M903" s="538"/>
      <c r="N903" s="543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249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250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251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252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253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247</v>
      </c>
      <c r="M912" s="538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178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248</v>
      </c>
      <c r="M914" s="538"/>
      <c r="N914" s="543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249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250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251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252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253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247</v>
      </c>
      <c r="M923" s="538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178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248</v>
      </c>
      <c r="M925" s="538"/>
      <c r="N925" s="543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249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250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251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252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253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247</v>
      </c>
      <c r="M934" s="538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178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248</v>
      </c>
      <c r="M936" s="538"/>
      <c r="N936" s="543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249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250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251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252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253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247</v>
      </c>
      <c r="M945" s="538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178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248</v>
      </c>
      <c r="M947" s="538"/>
      <c r="N947" s="543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249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250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251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252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253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247</v>
      </c>
      <c r="M956" s="538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178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248</v>
      </c>
      <c r="M958" s="538"/>
      <c r="N958" s="543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249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250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251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252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253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247</v>
      </c>
      <c r="M967" s="538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178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248</v>
      </c>
      <c r="M969" s="538"/>
      <c r="N969" s="543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249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250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251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252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253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247</v>
      </c>
      <c r="M978" s="538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178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248</v>
      </c>
      <c r="M980" s="538"/>
      <c r="N980" s="543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249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250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251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252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253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247</v>
      </c>
      <c r="M989" s="538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178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248</v>
      </c>
      <c r="M991" s="538"/>
      <c r="N991" s="543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249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250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251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252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253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247</v>
      </c>
      <c r="M1000" s="538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178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248</v>
      </c>
      <c r="M1002" s="538"/>
      <c r="N1002" s="543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249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250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251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252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253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247</v>
      </c>
      <c r="M1011" s="538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178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248</v>
      </c>
      <c r="M1013" s="538"/>
      <c r="N1013" s="543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249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250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251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252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253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247</v>
      </c>
      <c r="M1022" s="538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178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248</v>
      </c>
      <c r="M1024" s="538"/>
      <c r="N1024" s="543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249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250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251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252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253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247</v>
      </c>
      <c r="M1033" s="538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178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248</v>
      </c>
      <c r="M1035" s="538"/>
      <c r="N1035" s="543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249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250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251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252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253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247</v>
      </c>
      <c r="M1044" s="538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178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248</v>
      </c>
      <c r="M1046" s="538"/>
      <c r="N1046" s="543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249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250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251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252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253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247</v>
      </c>
      <c r="M1055" s="538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178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248</v>
      </c>
      <c r="M1057" s="538"/>
      <c r="N1057" s="543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249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250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251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252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253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247</v>
      </c>
      <c r="M1066" s="538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178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248</v>
      </c>
      <c r="M1068" s="538"/>
      <c r="N1068" s="543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249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250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251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252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253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247</v>
      </c>
      <c r="M1077" s="538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178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248</v>
      </c>
      <c r="M1079" s="538"/>
      <c r="N1079" s="543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249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250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251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252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253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247</v>
      </c>
      <c r="M1088" s="538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178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248</v>
      </c>
      <c r="M1090" s="538"/>
      <c r="N1090" s="543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249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250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251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252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253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247</v>
      </c>
      <c r="M1099" s="538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178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248</v>
      </c>
      <c r="M1101" s="538"/>
      <c r="N1101" s="543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249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250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251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252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253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408</v>
      </c>
    </row>
    <row r="5" spans="3:5">
      <c r="C5" s="236" t="s">
        <v>397</v>
      </c>
      <c r="D5" s="236" t="s">
        <v>395</v>
      </c>
      <c r="E5" s="309">
        <f>ROUND(Pricing!U104,0.1)/40</f>
        <v>12.225</v>
      </c>
    </row>
    <row r="6" spans="3:5">
      <c r="C6" s="236" t="s">
        <v>83</v>
      </c>
      <c r="D6" s="236" t="s">
        <v>394</v>
      </c>
      <c r="E6" s="309">
        <f>ROUND(Pricing!V104,0.1)</f>
        <v>25</v>
      </c>
    </row>
    <row r="7" spans="3:5">
      <c r="C7" s="236" t="s">
        <v>401</v>
      </c>
      <c r="D7" s="236" t="s">
        <v>393</v>
      </c>
      <c r="E7" s="309">
        <f>ROUND(Pricing!W104,0.1)</f>
        <v>408</v>
      </c>
    </row>
    <row r="8" spans="3:5">
      <c r="C8" s="236" t="s">
        <v>398</v>
      </c>
      <c r="D8" s="236" t="s">
        <v>393</v>
      </c>
      <c r="E8" s="309">
        <f>ROUND(Pricing!X104,0.1)</f>
        <v>816</v>
      </c>
    </row>
    <row r="9" spans="3:5">
      <c r="C9" t="s">
        <v>223</v>
      </c>
      <c r="D9" s="236" t="s">
        <v>396</v>
      </c>
      <c r="E9" s="309">
        <f>ROUND(Pricing!Y104,0.1)</f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7"/>
  <sheetViews>
    <sheetView topLeftCell="A2" workbookViewId="0">
      <selection activeCell="A18" sqref="A1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SD1</v>
      </c>
      <c r="B2" s="318" t="str">
        <f>'BD Team'!C9</f>
        <v>M14600</v>
      </c>
      <c r="C2" s="318" t="str">
        <f>'BD Team'!D9</f>
        <v>2 TRACK 2 SHUTTER SLIDING DOOR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3658</v>
      </c>
      <c r="J2" s="318">
        <f>'BD Team'!I9</f>
        <v>2440</v>
      </c>
      <c r="K2" s="318">
        <f>'BD Team'!J9</f>
        <v>1</v>
      </c>
      <c r="L2" s="319">
        <f>'BD Team'!K9</f>
        <v>478.24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2 TRACK 2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NO</v>
      </c>
      <c r="I3" s="318">
        <f>'BD Team'!H10</f>
        <v>3354</v>
      </c>
      <c r="J3" s="318">
        <f>'BD Team'!I10</f>
        <v>2440</v>
      </c>
      <c r="K3" s="318">
        <f>'BD Team'!J10</f>
        <v>1</v>
      </c>
      <c r="L3" s="319">
        <f>'BD Team'!K10</f>
        <v>465.03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SD3</v>
      </c>
      <c r="B4" s="318" t="str">
        <f>'BD Team'!C11</f>
        <v>M14600</v>
      </c>
      <c r="C4" s="318" t="str">
        <f>'BD Team'!D11</f>
        <v>2 TRACK 2 SHUTTER SLIDING DOOR</v>
      </c>
      <c r="D4" s="318" t="str">
        <f>'BD Team'!E11</f>
        <v>24MM</v>
      </c>
      <c r="E4" s="318" t="str">
        <f>'BD Team'!G11</f>
        <v>NA</v>
      </c>
      <c r="F4" s="318" t="str">
        <f>'BD Team'!F11</f>
        <v>NO</v>
      </c>
      <c r="I4" s="318">
        <f>'BD Team'!H11</f>
        <v>2440</v>
      </c>
      <c r="J4" s="318">
        <f>'BD Team'!I11</f>
        <v>2440</v>
      </c>
      <c r="K4" s="318">
        <f>'BD Team'!J11</f>
        <v>2</v>
      </c>
      <c r="L4" s="319">
        <f>'BD Team'!K11</f>
        <v>425.32</v>
      </c>
      <c r="M4" s="318">
        <f>Pricing!O6</f>
        <v>2805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SD4</v>
      </c>
      <c r="B5" s="318" t="str">
        <f>'BD Team'!C12</f>
        <v>M14600</v>
      </c>
      <c r="C5" s="318" t="str">
        <f>'BD Team'!D12</f>
        <v>2 TRACK 2 SHUTTER SLIDING DOOR</v>
      </c>
      <c r="D5" s="318" t="str">
        <f>'BD Team'!E12</f>
        <v>24MM</v>
      </c>
      <c r="E5" s="318" t="str">
        <f>'BD Team'!G12</f>
        <v>NA</v>
      </c>
      <c r="F5" s="318" t="str">
        <f>'BD Team'!F12</f>
        <v>NO</v>
      </c>
      <c r="I5" s="318">
        <f>'BD Team'!H12</f>
        <v>1830</v>
      </c>
      <c r="J5" s="318">
        <f>'BD Team'!I12</f>
        <v>2440</v>
      </c>
      <c r="K5" s="318">
        <f>'BD Team'!J12</f>
        <v>1</v>
      </c>
      <c r="L5" s="319">
        <f>'BD Team'!K12</f>
        <v>398.81</v>
      </c>
      <c r="M5" s="318">
        <f>Pricing!O7</f>
        <v>2805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CW</v>
      </c>
      <c r="B6" s="318" t="str">
        <f>'BD Team'!C13</f>
        <v>M15000</v>
      </c>
      <c r="C6" s="318" t="str">
        <f>'BD Team'!D13</f>
        <v>2 SINGLE DOOR WITH CORNOR GLASS</v>
      </c>
      <c r="D6" s="318" t="str">
        <f>'BD Team'!E13</f>
        <v>24MM</v>
      </c>
      <c r="E6" s="318" t="str">
        <f>'BD Team'!G13</f>
        <v>CORNOR WINDOW</v>
      </c>
      <c r="F6" s="318" t="str">
        <f>'BD Team'!F13</f>
        <v>NO</v>
      </c>
      <c r="I6" s="318">
        <f>'BD Team'!H13</f>
        <v>2136</v>
      </c>
      <c r="J6" s="318">
        <f>'BD Team'!I13</f>
        <v>2134</v>
      </c>
      <c r="K6" s="318">
        <f>'BD Team'!J13</f>
        <v>1</v>
      </c>
      <c r="L6" s="319">
        <f>'BD Team'!K13</f>
        <v>821.87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M14600</v>
      </c>
      <c r="C7" s="318" t="str">
        <f>'BD Team'!D14</f>
        <v>2 TRACK 2 SHUTTER SLIDING DOOR</v>
      </c>
      <c r="D7" s="318" t="str">
        <f>'BD Team'!E14</f>
        <v>24MM</v>
      </c>
      <c r="E7" s="318" t="str">
        <f>'BD Team'!G14</f>
        <v>KITCHEN</v>
      </c>
      <c r="F7" s="318" t="str">
        <f>'BD Team'!F14</f>
        <v>NO</v>
      </c>
      <c r="I7" s="318">
        <f>'BD Team'!H14</f>
        <v>3960</v>
      </c>
      <c r="J7" s="318">
        <f>'BD Team'!I14</f>
        <v>1220</v>
      </c>
      <c r="K7" s="318">
        <f>'BD Team'!J14</f>
        <v>1</v>
      </c>
      <c r="L7" s="319">
        <f>'BD Team'!K14</f>
        <v>356.96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24MM</v>
      </c>
      <c r="E8" s="318" t="str">
        <f>'BD Team'!G15</f>
        <v>M BED ROOM</v>
      </c>
      <c r="F8" s="318" t="str">
        <f>'BD Team'!F15</f>
        <v>NO</v>
      </c>
      <c r="I8" s="318">
        <f>'BD Team'!H15</f>
        <v>610</v>
      </c>
      <c r="J8" s="318">
        <f>'BD Team'!I15</f>
        <v>2134</v>
      </c>
      <c r="K8" s="318">
        <f>'BD Team'!J15</f>
        <v>1</v>
      </c>
      <c r="L8" s="319">
        <f>'BD Team'!K15</f>
        <v>218.81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M900</v>
      </c>
      <c r="C9" s="318" t="str">
        <f>'BD Team'!D16</f>
        <v>2 TRACK 2 SHUTTER SLIDING WINDOW</v>
      </c>
      <c r="D9" s="318" t="str">
        <f>'BD Team'!E16</f>
        <v>20MM</v>
      </c>
      <c r="E9" s="318" t="str">
        <f>'BD Team'!G16</f>
        <v>C BED ROOM 1</v>
      </c>
      <c r="F9" s="318" t="str">
        <f>'BD Team'!F16</f>
        <v>NO</v>
      </c>
      <c r="I9" s="318">
        <f>'BD Team'!H16</f>
        <v>1524</v>
      </c>
      <c r="J9" s="318">
        <f>'BD Team'!I16</f>
        <v>1372</v>
      </c>
      <c r="K9" s="318">
        <f>'BD Team'!J16</f>
        <v>1</v>
      </c>
      <c r="L9" s="319">
        <f>'BD Team'!K16</f>
        <v>112.77</v>
      </c>
      <c r="M9" s="318">
        <f>Pricing!O11</f>
        <v>2538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M900</v>
      </c>
      <c r="C10" s="318" t="str">
        <f>'BD Team'!D17</f>
        <v>2 TRACK 2 SHUTTER SLIDING WINDOW</v>
      </c>
      <c r="D10" s="318" t="str">
        <f>'BD Team'!E17</f>
        <v>20MM</v>
      </c>
      <c r="E10" s="318" t="str">
        <f>'BD Team'!G17</f>
        <v>HOME HEALTH</v>
      </c>
      <c r="F10" s="318" t="str">
        <f>'BD Team'!F17</f>
        <v>NO</v>
      </c>
      <c r="I10" s="318">
        <f>'BD Team'!H17</f>
        <v>2440</v>
      </c>
      <c r="J10" s="318">
        <f>'BD Team'!I17</f>
        <v>1372</v>
      </c>
      <c r="K10" s="318">
        <f>'BD Team'!J17</f>
        <v>1</v>
      </c>
      <c r="L10" s="319">
        <f>'BD Team'!K17</f>
        <v>133.38999999999999</v>
      </c>
      <c r="M10" s="318">
        <f>Pricing!O12</f>
        <v>2538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W5</v>
      </c>
      <c r="B11" s="318" t="str">
        <f>'BD Team'!C18</f>
        <v>M900</v>
      </c>
      <c r="C11" s="318" t="str">
        <f>'BD Team'!D18</f>
        <v>2 TRACK 2 SHUTTER SLIDING WINDOW</v>
      </c>
      <c r="D11" s="318" t="str">
        <f>'BD Team'!E18</f>
        <v>20MM</v>
      </c>
      <c r="E11" s="318" t="str">
        <f>'BD Team'!G18</f>
        <v>POOJA</v>
      </c>
      <c r="F11" s="318" t="str">
        <f>'BD Team'!F18</f>
        <v>NO</v>
      </c>
      <c r="I11" s="318">
        <f>'BD Team'!H18</f>
        <v>1372</v>
      </c>
      <c r="J11" s="318">
        <f>'BD Team'!I18</f>
        <v>1524</v>
      </c>
      <c r="K11" s="318">
        <f>'BD Team'!J18</f>
        <v>1</v>
      </c>
      <c r="L11" s="319">
        <f>'BD Team'!K18</f>
        <v>115.23</v>
      </c>
      <c r="M11" s="318">
        <f>Pricing!O13</f>
        <v>2538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W6</v>
      </c>
      <c r="B12" s="318" t="str">
        <f>'BD Team'!C19</f>
        <v>M15000</v>
      </c>
      <c r="C12" s="318" t="str">
        <f>'BD Team'!D19</f>
        <v>SIDE HUNG WINDOW</v>
      </c>
      <c r="D12" s="318" t="str">
        <f>'BD Team'!E19</f>
        <v>24MM</v>
      </c>
      <c r="E12" s="318" t="str">
        <f>'BD Team'!G19</f>
        <v>STORE</v>
      </c>
      <c r="F12" s="318" t="str">
        <f>'BD Team'!F19</f>
        <v>NO</v>
      </c>
      <c r="I12" s="318">
        <f>'BD Team'!H19</f>
        <v>992</v>
      </c>
      <c r="J12" s="318">
        <f>'BD Team'!I19</f>
        <v>1372</v>
      </c>
      <c r="K12" s="318">
        <f>'BD Team'!J19</f>
        <v>1</v>
      </c>
      <c r="L12" s="319">
        <f>'BD Team'!K19</f>
        <v>197.44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W7</v>
      </c>
      <c r="B13" s="318" t="str">
        <f>'BD Team'!C20</f>
        <v>M15000</v>
      </c>
      <c r="C13" s="318" t="str">
        <f>'BD Team'!D20</f>
        <v>SIDE HUNG WINDOW</v>
      </c>
      <c r="D13" s="318" t="str">
        <f>'BD Team'!E20</f>
        <v>24MM</v>
      </c>
      <c r="E13" s="318" t="str">
        <f>'BD Team'!G20</f>
        <v>FORMAL LIVING</v>
      </c>
      <c r="F13" s="318" t="str">
        <f>'BD Team'!F20</f>
        <v>NO</v>
      </c>
      <c r="I13" s="318">
        <f>'BD Team'!H20</f>
        <v>992</v>
      </c>
      <c r="J13" s="318">
        <f>'BD Team'!I20</f>
        <v>1372</v>
      </c>
      <c r="K13" s="318">
        <f>'BD Team'!J20</f>
        <v>1</v>
      </c>
      <c r="L13" s="319">
        <f>'BD Team'!K20</f>
        <v>197.44</v>
      </c>
      <c r="M13" s="318">
        <f>Pricing!O15</f>
        <v>2805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W8</v>
      </c>
      <c r="B14" s="318" t="str">
        <f>'BD Team'!C21</f>
        <v>M900</v>
      </c>
      <c r="C14" s="318" t="str">
        <f>'BD Team'!D21</f>
        <v>2 TRACK 2 SHUTTER SLIDING WINDOW</v>
      </c>
      <c r="D14" s="318" t="str">
        <f>'BD Team'!E21</f>
        <v>20MM</v>
      </c>
      <c r="E14" s="318" t="str">
        <f>'BD Team'!G21</f>
        <v>OUTSIDE STAIRCASE</v>
      </c>
      <c r="F14" s="318" t="str">
        <f>'BD Team'!F21</f>
        <v>NO</v>
      </c>
      <c r="I14" s="318">
        <f>'BD Team'!H21</f>
        <v>916</v>
      </c>
      <c r="J14" s="318">
        <f>'BD Team'!I21</f>
        <v>1372</v>
      </c>
      <c r="K14" s="318">
        <f>'BD Team'!J21</f>
        <v>1</v>
      </c>
      <c r="L14" s="319">
        <f>'BD Team'!K21</f>
        <v>99.08</v>
      </c>
      <c r="M14" s="318">
        <f>Pricing!O16</f>
        <v>2538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V1</v>
      </c>
      <c r="B15" s="318" t="str">
        <f>'BD Team'!C22</f>
        <v>M940</v>
      </c>
      <c r="C15" s="318" t="str">
        <f>'BD Team'!D22</f>
        <v>FIXED GLASS WITH GLASS LOUVERS AND EXHAUST PROVISION</v>
      </c>
      <c r="D15" s="318" t="str">
        <f>'BD Team'!E22</f>
        <v>6MM (F)</v>
      </c>
      <c r="E15" s="318" t="str">
        <f>'BD Team'!G22</f>
        <v>VENTILATOR 1</v>
      </c>
      <c r="F15" s="318" t="str">
        <f>'BD Team'!F22</f>
        <v>NO</v>
      </c>
      <c r="I15" s="318">
        <f>'BD Team'!H22</f>
        <v>610</v>
      </c>
      <c r="J15" s="318">
        <f>'BD Team'!I22</f>
        <v>610</v>
      </c>
      <c r="K15" s="318">
        <f>'BD Team'!J22</f>
        <v>3</v>
      </c>
      <c r="L15" s="319">
        <f>'BD Team'!K22</f>
        <v>61.04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V2</v>
      </c>
      <c r="B16" s="318" t="str">
        <f>'BD Team'!C23</f>
        <v>M940</v>
      </c>
      <c r="C16" s="318" t="str">
        <f>'BD Team'!D23</f>
        <v>FIXED GLASS WITH GLASS LOUVERS AND EXHAUST PROVISION</v>
      </c>
      <c r="D16" s="318" t="str">
        <f>'BD Team'!E23</f>
        <v>6MM (F)</v>
      </c>
      <c r="E16" s="318" t="str">
        <f>'BD Team'!G23</f>
        <v>VENTILATOR 2</v>
      </c>
      <c r="F16" s="318" t="str">
        <f>'BD Team'!F23</f>
        <v>NO</v>
      </c>
      <c r="I16" s="318">
        <f>'BD Team'!H23</f>
        <v>840</v>
      </c>
      <c r="J16" s="318">
        <f>'BD Team'!I23</f>
        <v>610</v>
      </c>
      <c r="K16" s="318">
        <f>'BD Team'!J23</f>
        <v>1</v>
      </c>
      <c r="L16" s="319">
        <f>'BD Team'!K23</f>
        <v>72.760000000000005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V3</v>
      </c>
      <c r="B17" s="318" t="str">
        <f>'BD Team'!C24</f>
        <v>M940</v>
      </c>
      <c r="C17" s="318" t="str">
        <f>'BD Team'!D24</f>
        <v>FIXED GLASS WITH GLASS LOUVERS AND EXHAUST PROVISION</v>
      </c>
      <c r="D17" s="318" t="str">
        <f>'BD Team'!E24</f>
        <v>6MM (F)</v>
      </c>
      <c r="E17" s="318" t="str">
        <f>'BD Team'!G24</f>
        <v>VENTILATOR 3</v>
      </c>
      <c r="F17" s="318" t="str">
        <f>'BD Team'!F24</f>
        <v>NO</v>
      </c>
      <c r="I17" s="318">
        <f>'BD Team'!H24</f>
        <v>724</v>
      </c>
      <c r="J17" s="318">
        <f>'BD Team'!I24</f>
        <v>610</v>
      </c>
      <c r="K17" s="318">
        <f>'BD Team'!J24</f>
        <v>1</v>
      </c>
      <c r="L17" s="319">
        <f>'BD Team'!K24</f>
        <v>66.849999999999994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25" sqref="K2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418</v>
      </c>
      <c r="F2" s="137"/>
      <c r="G2" s="163"/>
      <c r="H2" s="331" t="s">
        <v>185</v>
      </c>
      <c r="I2" s="332"/>
      <c r="J2" s="165" t="s">
        <v>462</v>
      </c>
      <c r="K2" s="167"/>
      <c r="L2" s="104" t="s">
        <v>208</v>
      </c>
      <c r="M2" s="104" t="s">
        <v>382</v>
      </c>
    </row>
    <row r="3" spans="1:13" s="104" customFormat="1">
      <c r="A3" s="330" t="s">
        <v>127</v>
      </c>
      <c r="B3" s="330"/>
      <c r="C3" s="330"/>
      <c r="D3" s="330"/>
      <c r="E3" s="162" t="s">
        <v>419</v>
      </c>
      <c r="F3" s="136" t="s">
        <v>183</v>
      </c>
      <c r="G3" s="162" t="s">
        <v>417</v>
      </c>
      <c r="H3" s="331" t="s">
        <v>186</v>
      </c>
      <c r="I3" s="332"/>
      <c r="J3" s="166">
        <v>43679</v>
      </c>
      <c r="K3" s="167"/>
      <c r="L3" s="104" t="s">
        <v>258</v>
      </c>
      <c r="M3" s="104" t="s">
        <v>383</v>
      </c>
    </row>
    <row r="4" spans="1:13" s="104" customFormat="1" ht="18">
      <c r="A4" s="330" t="s">
        <v>169</v>
      </c>
      <c r="B4" s="330"/>
      <c r="C4" s="330"/>
      <c r="D4" s="330"/>
      <c r="E4" s="162" t="s">
        <v>369</v>
      </c>
      <c r="F4" s="135"/>
      <c r="G4" s="164"/>
      <c r="H4" s="331" t="s">
        <v>187</v>
      </c>
      <c r="I4" s="332"/>
      <c r="J4" s="165" t="s">
        <v>404</v>
      </c>
      <c r="K4" s="167"/>
      <c r="L4" s="104" t="s">
        <v>259</v>
      </c>
      <c r="M4" s="104" t="s">
        <v>384</v>
      </c>
    </row>
    <row r="5" spans="1:13" s="104" customFormat="1">
      <c r="A5" s="330" t="s">
        <v>177</v>
      </c>
      <c r="B5" s="330"/>
      <c r="C5" s="330"/>
      <c r="D5" s="330"/>
      <c r="E5" s="162" t="s">
        <v>420</v>
      </c>
      <c r="F5" s="136" t="s">
        <v>184</v>
      </c>
      <c r="G5" s="162" t="s">
        <v>208</v>
      </c>
      <c r="H5" s="331" t="s">
        <v>376</v>
      </c>
      <c r="I5" s="332"/>
      <c r="J5" s="165"/>
      <c r="K5" s="167"/>
      <c r="L5" s="104" t="s">
        <v>260</v>
      </c>
      <c r="M5" s="104" t="s">
        <v>385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386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404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463</v>
      </c>
      <c r="E9" s="113" t="s">
        <v>264</v>
      </c>
      <c r="F9" s="113" t="s">
        <v>430</v>
      </c>
      <c r="G9" s="113" t="s">
        <v>423</v>
      </c>
      <c r="H9" s="113">
        <v>3658</v>
      </c>
      <c r="I9" s="113">
        <v>2440</v>
      </c>
      <c r="J9" s="113">
        <v>1</v>
      </c>
      <c r="K9" s="123">
        <v>478.24</v>
      </c>
    </row>
    <row r="10" spans="1:13" ht="20.100000000000001" customHeight="1">
      <c r="A10" s="113">
        <v>2</v>
      </c>
      <c r="B10" s="113" t="s">
        <v>424</v>
      </c>
      <c r="C10" s="113" t="s">
        <v>422</v>
      </c>
      <c r="D10" s="113" t="s">
        <v>463</v>
      </c>
      <c r="E10" s="113" t="s">
        <v>264</v>
      </c>
      <c r="F10" s="113" t="s">
        <v>430</v>
      </c>
      <c r="G10" s="113" t="s">
        <v>423</v>
      </c>
      <c r="H10" s="113">
        <v>3354</v>
      </c>
      <c r="I10" s="113">
        <v>2440</v>
      </c>
      <c r="J10" s="113">
        <v>1</v>
      </c>
      <c r="K10" s="123">
        <v>465.03</v>
      </c>
      <c r="L10" s="47" t="s">
        <v>283</v>
      </c>
    </row>
    <row r="11" spans="1:13" ht="20.100000000000001" customHeight="1">
      <c r="A11" s="113">
        <v>3</v>
      </c>
      <c r="B11" s="113" t="s">
        <v>425</v>
      </c>
      <c r="C11" s="113" t="s">
        <v>422</v>
      </c>
      <c r="D11" s="113" t="s">
        <v>463</v>
      </c>
      <c r="E11" s="113" t="s">
        <v>264</v>
      </c>
      <c r="F11" s="113" t="s">
        <v>430</v>
      </c>
      <c r="G11" s="113" t="s">
        <v>423</v>
      </c>
      <c r="H11" s="113">
        <v>2440</v>
      </c>
      <c r="I11" s="113">
        <v>2440</v>
      </c>
      <c r="J11" s="113">
        <v>2</v>
      </c>
      <c r="K11" s="123">
        <v>425.32</v>
      </c>
      <c r="L11" s="47" t="s">
        <v>282</v>
      </c>
    </row>
    <row r="12" spans="1:13" ht="20.100000000000001" customHeight="1">
      <c r="A12" s="113">
        <v>4</v>
      </c>
      <c r="B12" s="113" t="s">
        <v>426</v>
      </c>
      <c r="C12" s="113" t="s">
        <v>422</v>
      </c>
      <c r="D12" s="113" t="s">
        <v>463</v>
      </c>
      <c r="E12" s="113" t="s">
        <v>264</v>
      </c>
      <c r="F12" s="113" t="s">
        <v>430</v>
      </c>
      <c r="G12" s="113" t="s">
        <v>423</v>
      </c>
      <c r="H12" s="113">
        <v>1830</v>
      </c>
      <c r="I12" s="113">
        <v>2440</v>
      </c>
      <c r="J12" s="113">
        <v>1</v>
      </c>
      <c r="K12" s="123">
        <v>398.81</v>
      </c>
      <c r="L12" s="47" t="s">
        <v>366</v>
      </c>
    </row>
    <row r="13" spans="1:13" ht="20.100000000000001" customHeight="1">
      <c r="A13" s="113">
        <v>5</v>
      </c>
      <c r="B13" s="113" t="s">
        <v>427</v>
      </c>
      <c r="C13" s="113" t="s">
        <v>428</v>
      </c>
      <c r="D13" s="113" t="s">
        <v>429</v>
      </c>
      <c r="E13" s="113" t="s">
        <v>264</v>
      </c>
      <c r="F13" s="113" t="s">
        <v>430</v>
      </c>
      <c r="G13" s="113" t="s">
        <v>432</v>
      </c>
      <c r="H13" s="113">
        <v>2136</v>
      </c>
      <c r="I13" s="113">
        <v>2134</v>
      </c>
      <c r="J13" s="113">
        <v>1</v>
      </c>
      <c r="K13" s="123">
        <v>821.87</v>
      </c>
      <c r="L13" s="47" t="s">
        <v>367</v>
      </c>
    </row>
    <row r="14" spans="1:13">
      <c r="A14" s="113">
        <v>6</v>
      </c>
      <c r="B14" s="113" t="s">
        <v>431</v>
      </c>
      <c r="C14" s="113" t="s">
        <v>422</v>
      </c>
      <c r="D14" s="113" t="s">
        <v>463</v>
      </c>
      <c r="E14" s="113" t="s">
        <v>264</v>
      </c>
      <c r="F14" s="113" t="s">
        <v>430</v>
      </c>
      <c r="G14" s="113" t="s">
        <v>433</v>
      </c>
      <c r="H14" s="113">
        <v>3960</v>
      </c>
      <c r="I14" s="113">
        <v>1220</v>
      </c>
      <c r="J14" s="113">
        <v>1</v>
      </c>
      <c r="K14" s="123">
        <v>356.96</v>
      </c>
      <c r="L14" s="47" t="s">
        <v>368</v>
      </c>
    </row>
    <row r="15" spans="1:13" ht="20.100000000000001" customHeight="1">
      <c r="A15" s="113">
        <v>7</v>
      </c>
      <c r="B15" s="113" t="s">
        <v>434</v>
      </c>
      <c r="C15" s="113" t="s">
        <v>428</v>
      </c>
      <c r="D15" s="113" t="s">
        <v>435</v>
      </c>
      <c r="E15" s="113" t="s">
        <v>264</v>
      </c>
      <c r="F15" s="113" t="s">
        <v>430</v>
      </c>
      <c r="G15" s="113" t="s">
        <v>436</v>
      </c>
      <c r="H15" s="113">
        <v>610</v>
      </c>
      <c r="I15" s="113">
        <v>2134</v>
      </c>
      <c r="J15" s="113">
        <v>1</v>
      </c>
      <c r="K15" s="123">
        <v>218.81</v>
      </c>
      <c r="L15" s="47" t="s">
        <v>369</v>
      </c>
    </row>
    <row r="16" spans="1:13" ht="20.100000000000001" customHeight="1">
      <c r="A16" s="113">
        <v>8</v>
      </c>
      <c r="B16" s="113" t="s">
        <v>437</v>
      </c>
      <c r="C16" s="113" t="s">
        <v>438</v>
      </c>
      <c r="D16" s="113" t="s">
        <v>464</v>
      </c>
      <c r="E16" s="113" t="s">
        <v>439</v>
      </c>
      <c r="F16" s="113" t="s">
        <v>430</v>
      </c>
      <c r="G16" s="113" t="s">
        <v>440</v>
      </c>
      <c r="H16" s="113">
        <v>1524</v>
      </c>
      <c r="I16" s="113">
        <v>1372</v>
      </c>
      <c r="J16" s="113">
        <v>1</v>
      </c>
      <c r="K16" s="123">
        <v>112.77</v>
      </c>
      <c r="L16" s="47" t="s">
        <v>370</v>
      </c>
    </row>
    <row r="17" spans="1:12" ht="20.100000000000001" customHeight="1">
      <c r="A17" s="113">
        <v>9</v>
      </c>
      <c r="B17" s="113" t="s">
        <v>441</v>
      </c>
      <c r="C17" s="113" t="s">
        <v>438</v>
      </c>
      <c r="D17" s="113" t="s">
        <v>464</v>
      </c>
      <c r="E17" s="113" t="s">
        <v>439</v>
      </c>
      <c r="F17" s="113" t="s">
        <v>430</v>
      </c>
      <c r="G17" s="113" t="s">
        <v>442</v>
      </c>
      <c r="H17" s="113">
        <v>2440</v>
      </c>
      <c r="I17" s="113">
        <v>1372</v>
      </c>
      <c r="J17" s="113">
        <v>1</v>
      </c>
      <c r="K17" s="123">
        <v>133.38999999999999</v>
      </c>
      <c r="L17" s="47" t="s">
        <v>371</v>
      </c>
    </row>
    <row r="18" spans="1:12" ht="20.100000000000001" customHeight="1">
      <c r="A18" s="113">
        <v>10</v>
      </c>
      <c r="B18" s="113" t="s">
        <v>443</v>
      </c>
      <c r="C18" s="113" t="s">
        <v>438</v>
      </c>
      <c r="D18" s="113" t="s">
        <v>464</v>
      </c>
      <c r="E18" s="113" t="s">
        <v>439</v>
      </c>
      <c r="F18" s="113" t="s">
        <v>430</v>
      </c>
      <c r="G18" s="113" t="s">
        <v>444</v>
      </c>
      <c r="H18" s="113">
        <v>1372</v>
      </c>
      <c r="I18" s="113">
        <v>1524</v>
      </c>
      <c r="J18" s="113">
        <v>1</v>
      </c>
      <c r="K18" s="123">
        <v>115.23</v>
      </c>
      <c r="L18" s="47" t="s">
        <v>372</v>
      </c>
    </row>
    <row r="19" spans="1:12" ht="20.100000000000001" customHeight="1">
      <c r="A19" s="113">
        <v>11</v>
      </c>
      <c r="B19" s="113" t="s">
        <v>445</v>
      </c>
      <c r="C19" s="113" t="s">
        <v>428</v>
      </c>
      <c r="D19" s="113" t="s">
        <v>435</v>
      </c>
      <c r="E19" s="113" t="s">
        <v>264</v>
      </c>
      <c r="F19" s="113" t="s">
        <v>430</v>
      </c>
      <c r="G19" s="113" t="s">
        <v>446</v>
      </c>
      <c r="H19" s="113">
        <v>992</v>
      </c>
      <c r="I19" s="113">
        <v>1372</v>
      </c>
      <c r="J19" s="113">
        <v>1</v>
      </c>
      <c r="K19" s="123">
        <v>197.44</v>
      </c>
      <c r="L19" s="47" t="s">
        <v>373</v>
      </c>
    </row>
    <row r="20" spans="1:12">
      <c r="A20" s="113">
        <v>12</v>
      </c>
      <c r="B20" s="113" t="s">
        <v>447</v>
      </c>
      <c r="C20" s="113" t="s">
        <v>428</v>
      </c>
      <c r="D20" s="113" t="s">
        <v>435</v>
      </c>
      <c r="E20" s="113" t="s">
        <v>264</v>
      </c>
      <c r="F20" s="113" t="s">
        <v>430</v>
      </c>
      <c r="G20" s="113" t="s">
        <v>448</v>
      </c>
      <c r="H20" s="113">
        <v>992</v>
      </c>
      <c r="I20" s="113">
        <v>1372</v>
      </c>
      <c r="J20" s="113">
        <v>1</v>
      </c>
      <c r="K20" s="123">
        <v>197.44</v>
      </c>
      <c r="L20" s="47" t="s">
        <v>387</v>
      </c>
    </row>
    <row r="21" spans="1:12" ht="20.100000000000001" customHeight="1">
      <c r="A21" s="113">
        <v>13</v>
      </c>
      <c r="B21" s="113" t="s">
        <v>449</v>
      </c>
      <c r="C21" s="113" t="s">
        <v>438</v>
      </c>
      <c r="D21" s="113" t="s">
        <v>464</v>
      </c>
      <c r="E21" s="113" t="s">
        <v>439</v>
      </c>
      <c r="F21" s="113" t="s">
        <v>430</v>
      </c>
      <c r="G21" s="113" t="s">
        <v>450</v>
      </c>
      <c r="H21" s="113">
        <v>916</v>
      </c>
      <c r="I21" s="113">
        <v>1372</v>
      </c>
      <c r="J21" s="113">
        <v>1</v>
      </c>
      <c r="K21" s="123">
        <v>99.08</v>
      </c>
      <c r="L21" s="47" t="s">
        <v>388</v>
      </c>
    </row>
    <row r="22" spans="1:12" ht="20.100000000000001" customHeight="1">
      <c r="A22" s="113">
        <v>14</v>
      </c>
      <c r="B22" s="113" t="s">
        <v>451</v>
      </c>
      <c r="C22" s="113" t="s">
        <v>452</v>
      </c>
      <c r="D22" s="113" t="s">
        <v>453</v>
      </c>
      <c r="E22" s="113" t="s">
        <v>454</v>
      </c>
      <c r="F22" s="113" t="s">
        <v>430</v>
      </c>
      <c r="G22" s="113" t="s">
        <v>455</v>
      </c>
      <c r="H22" s="113">
        <v>610</v>
      </c>
      <c r="I22" s="113">
        <v>610</v>
      </c>
      <c r="J22" s="113">
        <v>3</v>
      </c>
      <c r="K22" s="123">
        <v>61.04</v>
      </c>
      <c r="L22" s="47" t="s">
        <v>389</v>
      </c>
    </row>
    <row r="23" spans="1:12" ht="20.100000000000001" customHeight="1">
      <c r="A23" s="113">
        <v>15</v>
      </c>
      <c r="B23" s="113" t="s">
        <v>456</v>
      </c>
      <c r="C23" s="113" t="s">
        <v>452</v>
      </c>
      <c r="D23" s="113" t="s">
        <v>453</v>
      </c>
      <c r="E23" s="113" t="s">
        <v>454</v>
      </c>
      <c r="F23" s="113" t="s">
        <v>430</v>
      </c>
      <c r="G23" s="113" t="s">
        <v>457</v>
      </c>
      <c r="H23" s="113">
        <v>840</v>
      </c>
      <c r="I23" s="113">
        <v>610</v>
      </c>
      <c r="J23" s="113">
        <v>1</v>
      </c>
      <c r="K23" s="123">
        <v>72.760000000000005</v>
      </c>
      <c r="L23" s="47" t="s">
        <v>405</v>
      </c>
    </row>
    <row r="24" spans="1:12" ht="20.100000000000001" customHeight="1">
      <c r="A24" s="113">
        <v>16</v>
      </c>
      <c r="B24" s="113" t="s">
        <v>458</v>
      </c>
      <c r="C24" s="113" t="s">
        <v>452</v>
      </c>
      <c r="D24" s="113" t="s">
        <v>453</v>
      </c>
      <c r="E24" s="113" t="s">
        <v>454</v>
      </c>
      <c r="F24" s="113" t="s">
        <v>430</v>
      </c>
      <c r="G24" s="113" t="s">
        <v>459</v>
      </c>
      <c r="H24" s="113">
        <v>724</v>
      </c>
      <c r="I24" s="113">
        <v>610</v>
      </c>
      <c r="J24" s="113">
        <v>1</v>
      </c>
      <c r="K24" s="123">
        <v>66.849999999999994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4" sqref="Q4:R1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NA</v>
      </c>
      <c r="G4" s="118">
        <f>'BD Team'!H9</f>
        <v>3658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96.074297279999996</v>
      </c>
      <c r="K4" s="172">
        <f>'BD Team'!K9</f>
        <v>478.24</v>
      </c>
      <c r="L4" s="171">
        <f>K4*I4</f>
        <v>478.24</v>
      </c>
      <c r="M4" s="170">
        <f>L4*'Changable Values'!$D$4</f>
        <v>39693.919999999998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40.653333333333336</v>
      </c>
      <c r="U4" s="313">
        <f>SUM(G4:H4)*I4*2*4/1000</f>
        <v>48.783999999999999</v>
      </c>
      <c r="V4" s="313">
        <f>SUM(G4:H4)*I4*5*5*4/(1000*240)</f>
        <v>2.5408333333333335</v>
      </c>
      <c r="W4" s="313">
        <f>T4</f>
        <v>40.653333333333336</v>
      </c>
      <c r="X4" s="313">
        <f>W4*2</f>
        <v>81.306666666666672</v>
      </c>
      <c r="Y4" s="313">
        <f>SUM(G4:H4)*I4*4/1000</f>
        <v>24.391999999999999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NA</v>
      </c>
      <c r="G5" s="118">
        <f>'BD Team'!H10</f>
        <v>3354</v>
      </c>
      <c r="H5" s="118">
        <f>'BD Team'!I10</f>
        <v>2440</v>
      </c>
      <c r="I5" s="118">
        <f>'BD Team'!J10</f>
        <v>1</v>
      </c>
      <c r="J5" s="103">
        <f t="shared" si="0"/>
        <v>88.089992640000006</v>
      </c>
      <c r="K5" s="172">
        <f>'BD Team'!K10</f>
        <v>465.03</v>
      </c>
      <c r="L5" s="171">
        <f t="shared" ref="L5:L53" si="1">K5*I5</f>
        <v>465.03</v>
      </c>
      <c r="M5" s="170">
        <f>L5*'Changable Values'!$D$4</f>
        <v>38597.49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38.626666666666665</v>
      </c>
      <c r="U5" s="313">
        <f t="shared" ref="U5:U68" si="3">SUM(G5:H5)*I5*2*4/1000</f>
        <v>46.351999999999997</v>
      </c>
      <c r="V5" s="313">
        <f t="shared" ref="V5:V68" si="4">SUM(G5:H5)*I5*5*5*4/(1000*240)</f>
        <v>2.4141666666666666</v>
      </c>
      <c r="W5" s="313">
        <f t="shared" ref="W5:W68" si="5">T5</f>
        <v>38.626666666666665</v>
      </c>
      <c r="X5" s="313">
        <f t="shared" ref="X5:X68" si="6">W5*2</f>
        <v>77.25333333333333</v>
      </c>
      <c r="Y5" s="313">
        <f t="shared" ref="Y5:Y68" si="7">SUM(G5:H5)*I5*4/1000</f>
        <v>23.175999999999998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M14600</v>
      </c>
      <c r="D6" s="118" t="str">
        <f>'BD Team'!D11</f>
        <v>2 TRACK 2 SHUTTER SLIDING DOOR</v>
      </c>
      <c r="E6" s="118" t="str">
        <f>'BD Team'!F11</f>
        <v>NO</v>
      </c>
      <c r="F6" s="121" t="str">
        <f>'BD Team'!G11</f>
        <v>NA</v>
      </c>
      <c r="G6" s="118">
        <f>'BD Team'!H11</f>
        <v>2440</v>
      </c>
      <c r="H6" s="118">
        <f>'BD Team'!I11</f>
        <v>2440</v>
      </c>
      <c r="I6" s="118">
        <f>'BD Team'!J11</f>
        <v>2</v>
      </c>
      <c r="J6" s="103">
        <f t="shared" si="0"/>
        <v>128.1691008</v>
      </c>
      <c r="K6" s="172">
        <f>'BD Team'!K11</f>
        <v>425.32</v>
      </c>
      <c r="L6" s="171">
        <f t="shared" si="1"/>
        <v>850.64</v>
      </c>
      <c r="M6" s="170">
        <f>L6*'Changable Values'!$D$4</f>
        <v>70603.12</v>
      </c>
      <c r="N6" s="170" t="str">
        <f>'BD Team'!E11</f>
        <v>24MM</v>
      </c>
      <c r="O6" s="172">
        <v>2805</v>
      </c>
      <c r="P6" s="241"/>
      <c r="Q6" s="173"/>
      <c r="R6" s="185"/>
      <c r="S6" s="312"/>
      <c r="T6" s="313">
        <f t="shared" si="2"/>
        <v>65.066666666666663</v>
      </c>
      <c r="U6" s="313">
        <f t="shared" si="3"/>
        <v>78.08</v>
      </c>
      <c r="V6" s="313">
        <f t="shared" si="4"/>
        <v>4.0666666666666664</v>
      </c>
      <c r="W6" s="313">
        <f t="shared" si="5"/>
        <v>65.066666666666663</v>
      </c>
      <c r="X6" s="313">
        <f t="shared" si="6"/>
        <v>130.13333333333333</v>
      </c>
      <c r="Y6" s="313">
        <f t="shared" si="7"/>
        <v>39.04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M14600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NA</v>
      </c>
      <c r="G7" s="118">
        <f>'BD Team'!H12</f>
        <v>1830</v>
      </c>
      <c r="H7" s="118">
        <f>'BD Team'!I12</f>
        <v>2440</v>
      </c>
      <c r="I7" s="118">
        <f>'BD Team'!J12</f>
        <v>1</v>
      </c>
      <c r="J7" s="103">
        <f t="shared" si="0"/>
        <v>48.063412799999995</v>
      </c>
      <c r="K7" s="172">
        <f>'BD Team'!K12</f>
        <v>398.81</v>
      </c>
      <c r="L7" s="171">
        <f t="shared" si="1"/>
        <v>398.81</v>
      </c>
      <c r="M7" s="170">
        <f>L7*'Changable Values'!$D$4</f>
        <v>33101.230000000003</v>
      </c>
      <c r="N7" s="170" t="str">
        <f>'BD Team'!E12</f>
        <v>24MM</v>
      </c>
      <c r="O7" s="172">
        <v>2805</v>
      </c>
      <c r="P7" s="241"/>
      <c r="Q7" s="173"/>
      <c r="R7" s="185"/>
      <c r="S7" s="312"/>
      <c r="T7" s="313">
        <f t="shared" si="2"/>
        <v>28.466666666666665</v>
      </c>
      <c r="U7" s="313">
        <f t="shared" si="3"/>
        <v>34.159999999999997</v>
      </c>
      <c r="V7" s="313">
        <f t="shared" si="4"/>
        <v>1.7791666666666666</v>
      </c>
      <c r="W7" s="313">
        <f t="shared" si="5"/>
        <v>28.466666666666665</v>
      </c>
      <c r="X7" s="313">
        <f t="shared" si="6"/>
        <v>56.93333333333333</v>
      </c>
      <c r="Y7" s="313">
        <f t="shared" si="7"/>
        <v>17.079999999999998</v>
      </c>
    </row>
    <row r="8" spans="1:25">
      <c r="A8" s="118">
        <f>'BD Team'!A13</f>
        <v>5</v>
      </c>
      <c r="B8" s="118" t="str">
        <f>'BD Team'!B13</f>
        <v>CW</v>
      </c>
      <c r="C8" s="118" t="str">
        <f>'BD Team'!C13</f>
        <v>M15000</v>
      </c>
      <c r="D8" s="118" t="str">
        <f>'BD Team'!D13</f>
        <v>2 SINGLE DOOR WITH CORNOR GLASS</v>
      </c>
      <c r="E8" s="118" t="str">
        <f>'BD Team'!F13</f>
        <v>NO</v>
      </c>
      <c r="F8" s="121" t="str">
        <f>'BD Team'!G13</f>
        <v>CORNOR WINDOW</v>
      </c>
      <c r="G8" s="118">
        <f>'BD Team'!H13</f>
        <v>2136</v>
      </c>
      <c r="H8" s="118">
        <f>'BD Team'!I13</f>
        <v>2134</v>
      </c>
      <c r="I8" s="118">
        <f>'BD Team'!J13</f>
        <v>1</v>
      </c>
      <c r="J8" s="103">
        <f t="shared" si="0"/>
        <v>49.064723135999998</v>
      </c>
      <c r="K8" s="172">
        <f>'BD Team'!K13</f>
        <v>821.87</v>
      </c>
      <c r="L8" s="171">
        <f t="shared" si="1"/>
        <v>821.87</v>
      </c>
      <c r="M8" s="170">
        <f>L8*'Changable Values'!$D$4</f>
        <v>68215.210000000006</v>
      </c>
      <c r="N8" s="170" t="str">
        <f>'BD Team'!E13</f>
        <v>24MM</v>
      </c>
      <c r="O8" s="172">
        <v>2805</v>
      </c>
      <c r="P8" s="241"/>
      <c r="Q8" s="173"/>
      <c r="R8" s="185"/>
      <c r="S8" s="312"/>
      <c r="T8" s="313">
        <f t="shared" si="2"/>
        <v>28.466666666666665</v>
      </c>
      <c r="U8" s="313">
        <f t="shared" si="3"/>
        <v>34.159999999999997</v>
      </c>
      <c r="V8" s="313">
        <f t="shared" si="4"/>
        <v>1.7791666666666666</v>
      </c>
      <c r="W8" s="313">
        <f t="shared" si="5"/>
        <v>28.466666666666665</v>
      </c>
      <c r="X8" s="313">
        <f t="shared" si="6"/>
        <v>56.93333333333333</v>
      </c>
      <c r="Y8" s="313">
        <f t="shared" si="7"/>
        <v>17.079999999999998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M14600</v>
      </c>
      <c r="D9" s="118" t="str">
        <f>'BD Team'!D14</f>
        <v>2 TRACK 2 SHUTTER SLIDING DOOR</v>
      </c>
      <c r="E9" s="118" t="str">
        <f>'BD Team'!F14</f>
        <v>NO</v>
      </c>
      <c r="F9" s="121" t="str">
        <f>'BD Team'!G14</f>
        <v>KITCHEN</v>
      </c>
      <c r="G9" s="118">
        <f>'BD Team'!H14</f>
        <v>3960</v>
      </c>
      <c r="H9" s="118">
        <f>'BD Team'!I14</f>
        <v>1220</v>
      </c>
      <c r="I9" s="118">
        <f>'BD Team'!J14</f>
        <v>1</v>
      </c>
      <c r="J9" s="103">
        <f t="shared" si="0"/>
        <v>52.003036799999997</v>
      </c>
      <c r="K9" s="172">
        <f>'BD Team'!K14</f>
        <v>356.96</v>
      </c>
      <c r="L9" s="171">
        <f t="shared" si="1"/>
        <v>356.96</v>
      </c>
      <c r="M9" s="170">
        <f>L9*'Changable Values'!$D$4</f>
        <v>29627.679999999997</v>
      </c>
      <c r="N9" s="170" t="str">
        <f>'BD Team'!E14</f>
        <v>24MM</v>
      </c>
      <c r="O9" s="172">
        <v>2805</v>
      </c>
      <c r="P9" s="241"/>
      <c r="Q9" s="173"/>
      <c r="R9" s="185"/>
      <c r="S9" s="312"/>
      <c r="T9" s="313">
        <f t="shared" si="2"/>
        <v>34.533333333333331</v>
      </c>
      <c r="U9" s="313">
        <f t="shared" si="3"/>
        <v>41.44</v>
      </c>
      <c r="V9" s="313">
        <f t="shared" si="4"/>
        <v>2.1583333333333332</v>
      </c>
      <c r="W9" s="313">
        <f t="shared" si="5"/>
        <v>34.533333333333331</v>
      </c>
      <c r="X9" s="313">
        <f t="shared" si="6"/>
        <v>69.066666666666663</v>
      </c>
      <c r="Y9" s="313">
        <f t="shared" si="7"/>
        <v>20.72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M BED ROOM</v>
      </c>
      <c r="G10" s="118">
        <f>'BD Team'!H15</f>
        <v>610</v>
      </c>
      <c r="H10" s="118">
        <f>'BD Team'!I15</f>
        <v>2134</v>
      </c>
      <c r="I10" s="118">
        <f>'BD Team'!J15</f>
        <v>1</v>
      </c>
      <c r="J10" s="103">
        <f t="shared" si="0"/>
        <v>14.01192936</v>
      </c>
      <c r="K10" s="172">
        <f>'BD Team'!K15</f>
        <v>218.81</v>
      </c>
      <c r="L10" s="171">
        <f t="shared" si="1"/>
        <v>218.81</v>
      </c>
      <c r="M10" s="170">
        <f>L10*'Changable Values'!$D$4</f>
        <v>18161.23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2"/>
        <v>18.293333333333333</v>
      </c>
      <c r="U10" s="313">
        <f t="shared" si="3"/>
        <v>21.952000000000002</v>
      </c>
      <c r="V10" s="313">
        <f t="shared" si="4"/>
        <v>1.1433333333333333</v>
      </c>
      <c r="W10" s="313">
        <f t="shared" si="5"/>
        <v>18.293333333333333</v>
      </c>
      <c r="X10" s="313">
        <f t="shared" si="6"/>
        <v>36.586666666666666</v>
      </c>
      <c r="Y10" s="313">
        <f t="shared" si="7"/>
        <v>10.976000000000001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M900</v>
      </c>
      <c r="D11" s="118" t="str">
        <f>'BD Team'!D16</f>
        <v>2 TRACK 2 SHUTTER SLIDING WINDOW</v>
      </c>
      <c r="E11" s="118" t="str">
        <f>'BD Team'!F16</f>
        <v>NO</v>
      </c>
      <c r="F11" s="121" t="str">
        <f>'BD Team'!G16</f>
        <v>C BED ROOM 1</v>
      </c>
      <c r="G11" s="118">
        <f>'BD Team'!H16</f>
        <v>1524</v>
      </c>
      <c r="H11" s="118">
        <f>'BD Team'!I16</f>
        <v>1372</v>
      </c>
      <c r="I11" s="118">
        <f>'BD Team'!J16</f>
        <v>1</v>
      </c>
      <c r="J11" s="103">
        <f t="shared" si="0"/>
        <v>22.506748991999999</v>
      </c>
      <c r="K11" s="172">
        <f>'BD Team'!K16</f>
        <v>112.77</v>
      </c>
      <c r="L11" s="171">
        <f t="shared" si="1"/>
        <v>112.77</v>
      </c>
      <c r="M11" s="170">
        <f>L11*'Changable Values'!$D$4</f>
        <v>9359.91</v>
      </c>
      <c r="N11" s="170" t="str">
        <f>'BD Team'!E16</f>
        <v>20MM</v>
      </c>
      <c r="O11" s="172">
        <v>2538</v>
      </c>
      <c r="P11" s="241"/>
      <c r="Q11" s="173"/>
      <c r="R11" s="185"/>
      <c r="S11" s="312"/>
      <c r="T11" s="313">
        <f t="shared" si="2"/>
        <v>19.306666666666668</v>
      </c>
      <c r="U11" s="313">
        <f t="shared" si="3"/>
        <v>23.167999999999999</v>
      </c>
      <c r="V11" s="313">
        <f t="shared" si="4"/>
        <v>1.2066666666666668</v>
      </c>
      <c r="W11" s="313">
        <f t="shared" si="5"/>
        <v>19.306666666666668</v>
      </c>
      <c r="X11" s="313">
        <f t="shared" si="6"/>
        <v>38.613333333333337</v>
      </c>
      <c r="Y11" s="313">
        <f t="shared" si="7"/>
        <v>11.584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M900</v>
      </c>
      <c r="D12" s="118" t="str">
        <f>'BD Team'!D17</f>
        <v>2 TRACK 2 SHUTTER SLIDING WINDOW</v>
      </c>
      <c r="E12" s="118" t="str">
        <f>'BD Team'!F17</f>
        <v>NO</v>
      </c>
      <c r="F12" s="121" t="str">
        <f>'BD Team'!G17</f>
        <v>HOME HEALTH</v>
      </c>
      <c r="G12" s="118">
        <f>'BD Team'!H17</f>
        <v>2440</v>
      </c>
      <c r="H12" s="118">
        <f>'BD Team'!I17</f>
        <v>1372</v>
      </c>
      <c r="I12" s="118">
        <f>'BD Team'!J17</f>
        <v>1</v>
      </c>
      <c r="J12" s="103">
        <f t="shared" si="0"/>
        <v>36.034427519999994</v>
      </c>
      <c r="K12" s="172">
        <f>'BD Team'!K17</f>
        <v>133.38999999999999</v>
      </c>
      <c r="L12" s="171">
        <f t="shared" si="1"/>
        <v>133.38999999999999</v>
      </c>
      <c r="M12" s="170">
        <f>L12*'Changable Values'!$D$4</f>
        <v>11071.369999999999</v>
      </c>
      <c r="N12" s="170" t="str">
        <f>'BD Team'!E17</f>
        <v>20MM</v>
      </c>
      <c r="O12" s="172">
        <v>2538</v>
      </c>
      <c r="P12" s="241"/>
      <c r="Q12" s="173"/>
      <c r="R12" s="185"/>
      <c r="S12" s="312"/>
      <c r="T12" s="313">
        <f t="shared" si="2"/>
        <v>25.413333333333334</v>
      </c>
      <c r="U12" s="313">
        <f t="shared" si="3"/>
        <v>30.495999999999999</v>
      </c>
      <c r="V12" s="313">
        <f t="shared" si="4"/>
        <v>1.5883333333333334</v>
      </c>
      <c r="W12" s="313">
        <f t="shared" si="5"/>
        <v>25.413333333333334</v>
      </c>
      <c r="X12" s="313">
        <f t="shared" si="6"/>
        <v>50.826666666666668</v>
      </c>
      <c r="Y12" s="313">
        <f t="shared" si="7"/>
        <v>15.247999999999999</v>
      </c>
    </row>
    <row r="13" spans="1:25">
      <c r="A13" s="118">
        <f>'BD Team'!A18</f>
        <v>10</v>
      </c>
      <c r="B13" s="118" t="str">
        <f>'BD Team'!B18</f>
        <v>W5</v>
      </c>
      <c r="C13" s="118" t="str">
        <f>'BD Team'!C18</f>
        <v>M900</v>
      </c>
      <c r="D13" s="118" t="str">
        <f>'BD Team'!D18</f>
        <v>2 TRACK 2 SHUTTER SLIDING WINDOW</v>
      </c>
      <c r="E13" s="118" t="str">
        <f>'BD Team'!F18</f>
        <v>NO</v>
      </c>
      <c r="F13" s="121" t="str">
        <f>'BD Team'!G18</f>
        <v>POOJA</v>
      </c>
      <c r="G13" s="118">
        <f>'BD Team'!H18</f>
        <v>1372</v>
      </c>
      <c r="H13" s="118">
        <f>'BD Team'!I18</f>
        <v>1524</v>
      </c>
      <c r="I13" s="118">
        <f>'BD Team'!J18</f>
        <v>1</v>
      </c>
      <c r="J13" s="103">
        <f t="shared" si="0"/>
        <v>22.506748991999999</v>
      </c>
      <c r="K13" s="172">
        <f>'BD Team'!K18</f>
        <v>115.23</v>
      </c>
      <c r="L13" s="171">
        <f t="shared" si="1"/>
        <v>115.23</v>
      </c>
      <c r="M13" s="170">
        <f>L13*'Changable Values'!$D$4</f>
        <v>9564.09</v>
      </c>
      <c r="N13" s="170" t="str">
        <f>'BD Team'!E18</f>
        <v>20MM</v>
      </c>
      <c r="O13" s="172">
        <v>2538</v>
      </c>
      <c r="P13" s="241"/>
      <c r="Q13" s="173"/>
      <c r="R13" s="185"/>
      <c r="S13" s="312"/>
      <c r="T13" s="313">
        <f t="shared" si="2"/>
        <v>19.306666666666668</v>
      </c>
      <c r="U13" s="313">
        <f t="shared" si="3"/>
        <v>23.167999999999999</v>
      </c>
      <c r="V13" s="313">
        <f t="shared" si="4"/>
        <v>1.2066666666666668</v>
      </c>
      <c r="W13" s="313">
        <f t="shared" si="5"/>
        <v>19.306666666666668</v>
      </c>
      <c r="X13" s="313">
        <f t="shared" si="6"/>
        <v>38.613333333333337</v>
      </c>
      <c r="Y13" s="313">
        <f t="shared" si="7"/>
        <v>11.584</v>
      </c>
    </row>
    <row r="14" spans="1:25">
      <c r="A14" s="118">
        <f>'BD Team'!A19</f>
        <v>11</v>
      </c>
      <c r="B14" s="118" t="str">
        <f>'BD Team'!B19</f>
        <v>W6</v>
      </c>
      <c r="C14" s="118" t="str">
        <f>'BD Team'!C19</f>
        <v>M15000</v>
      </c>
      <c r="D14" s="118" t="str">
        <f>'BD Team'!D19</f>
        <v>SIDE HUNG WINDOW</v>
      </c>
      <c r="E14" s="118" t="str">
        <f>'BD Team'!F19</f>
        <v>NO</v>
      </c>
      <c r="F14" s="121" t="str">
        <f>'BD Team'!G19</f>
        <v>STORE</v>
      </c>
      <c r="G14" s="118">
        <f>'BD Team'!H19</f>
        <v>992</v>
      </c>
      <c r="H14" s="118">
        <f>'BD Team'!I19</f>
        <v>1372</v>
      </c>
      <c r="I14" s="118">
        <f>'BD Team'!J19</f>
        <v>1</v>
      </c>
      <c r="J14" s="103">
        <f t="shared" si="0"/>
        <v>14.650062336</v>
      </c>
      <c r="K14" s="172">
        <f>'BD Team'!K19</f>
        <v>197.44</v>
      </c>
      <c r="L14" s="171">
        <f t="shared" si="1"/>
        <v>197.44</v>
      </c>
      <c r="M14" s="170">
        <f>L14*'Changable Values'!$D$4</f>
        <v>16387.52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2"/>
        <v>15.76</v>
      </c>
      <c r="U14" s="313">
        <f t="shared" si="3"/>
        <v>18.911999999999999</v>
      </c>
      <c r="V14" s="313">
        <f t="shared" si="4"/>
        <v>0.98499999999999999</v>
      </c>
      <c r="W14" s="313">
        <f t="shared" si="5"/>
        <v>15.76</v>
      </c>
      <c r="X14" s="313">
        <f t="shared" si="6"/>
        <v>31.52</v>
      </c>
      <c r="Y14" s="313">
        <f t="shared" si="7"/>
        <v>9.4559999999999995</v>
      </c>
    </row>
    <row r="15" spans="1:25">
      <c r="A15" s="118">
        <f>'BD Team'!A20</f>
        <v>12</v>
      </c>
      <c r="B15" s="118" t="str">
        <f>'BD Team'!B20</f>
        <v>W7</v>
      </c>
      <c r="C15" s="118" t="str">
        <f>'BD Team'!C20</f>
        <v>M15000</v>
      </c>
      <c r="D15" s="118" t="str">
        <f>'BD Team'!D20</f>
        <v>SIDE HUNG WINDOW</v>
      </c>
      <c r="E15" s="118" t="str">
        <f>'BD Team'!F20</f>
        <v>NO</v>
      </c>
      <c r="F15" s="121" t="str">
        <f>'BD Team'!G20</f>
        <v>FORMAL LIVING</v>
      </c>
      <c r="G15" s="118">
        <f>'BD Team'!H20</f>
        <v>992</v>
      </c>
      <c r="H15" s="118">
        <f>'BD Team'!I20</f>
        <v>1372</v>
      </c>
      <c r="I15" s="118">
        <f>'BD Team'!J20</f>
        <v>1</v>
      </c>
      <c r="J15" s="103">
        <f t="shared" si="0"/>
        <v>14.650062336</v>
      </c>
      <c r="K15" s="172">
        <f>'BD Team'!K20</f>
        <v>197.44</v>
      </c>
      <c r="L15" s="171">
        <f t="shared" si="1"/>
        <v>197.44</v>
      </c>
      <c r="M15" s="170">
        <f>L15*'Changable Values'!$D$4</f>
        <v>16387.52</v>
      </c>
      <c r="N15" s="170" t="str">
        <f>'BD Team'!E20</f>
        <v>24MM</v>
      </c>
      <c r="O15" s="172">
        <v>2805</v>
      </c>
      <c r="P15" s="241"/>
      <c r="Q15" s="173"/>
      <c r="R15" s="185"/>
      <c r="S15" s="312"/>
      <c r="T15" s="313">
        <f t="shared" si="2"/>
        <v>15.76</v>
      </c>
      <c r="U15" s="313">
        <f t="shared" si="3"/>
        <v>18.911999999999999</v>
      </c>
      <c r="V15" s="313">
        <f t="shared" si="4"/>
        <v>0.98499999999999999</v>
      </c>
      <c r="W15" s="313">
        <f t="shared" si="5"/>
        <v>15.76</v>
      </c>
      <c r="X15" s="313">
        <f t="shared" si="6"/>
        <v>31.52</v>
      </c>
      <c r="Y15" s="313">
        <f t="shared" si="7"/>
        <v>9.4559999999999995</v>
      </c>
    </row>
    <row r="16" spans="1:25">
      <c r="A16" s="118">
        <f>'BD Team'!A21</f>
        <v>13</v>
      </c>
      <c r="B16" s="118" t="str">
        <f>'BD Team'!B21</f>
        <v>W8</v>
      </c>
      <c r="C16" s="118" t="str">
        <f>'BD Team'!C21</f>
        <v>M900</v>
      </c>
      <c r="D16" s="118" t="str">
        <f>'BD Team'!D21</f>
        <v>2 TRACK 2 SHUTTER SLIDING WINDOW</v>
      </c>
      <c r="E16" s="118" t="str">
        <f>'BD Team'!F21</f>
        <v>NO</v>
      </c>
      <c r="F16" s="121" t="str">
        <f>'BD Team'!G21</f>
        <v>OUTSIDE STAIRCASE</v>
      </c>
      <c r="G16" s="118">
        <f>'BD Team'!H21</f>
        <v>916</v>
      </c>
      <c r="H16" s="118">
        <f>'BD Team'!I21</f>
        <v>1372</v>
      </c>
      <c r="I16" s="118">
        <f>'BD Team'!J21</f>
        <v>1</v>
      </c>
      <c r="J16" s="103">
        <f t="shared" si="0"/>
        <v>13.527678527999999</v>
      </c>
      <c r="K16" s="172">
        <f>'BD Team'!K21</f>
        <v>99.08</v>
      </c>
      <c r="L16" s="171">
        <f t="shared" si="1"/>
        <v>99.08</v>
      </c>
      <c r="M16" s="170">
        <f>L16*'Changable Values'!$D$4</f>
        <v>8223.64</v>
      </c>
      <c r="N16" s="170" t="str">
        <f>'BD Team'!E21</f>
        <v>20MM</v>
      </c>
      <c r="O16" s="172">
        <v>2538</v>
      </c>
      <c r="P16" s="241"/>
      <c r="Q16" s="173"/>
      <c r="R16" s="185"/>
      <c r="S16" s="312"/>
      <c r="T16" s="313">
        <f t="shared" si="2"/>
        <v>15.253333333333334</v>
      </c>
      <c r="U16" s="313">
        <f t="shared" si="3"/>
        <v>18.303999999999998</v>
      </c>
      <c r="V16" s="313">
        <f t="shared" si="4"/>
        <v>0.95333333333333337</v>
      </c>
      <c r="W16" s="313">
        <f t="shared" si="5"/>
        <v>15.253333333333334</v>
      </c>
      <c r="X16" s="313">
        <f t="shared" si="6"/>
        <v>30.506666666666668</v>
      </c>
      <c r="Y16" s="313">
        <f t="shared" si="7"/>
        <v>9.1519999999999992</v>
      </c>
    </row>
    <row r="17" spans="1:25">
      <c r="A17" s="118">
        <f>'BD Team'!A22</f>
        <v>14</v>
      </c>
      <c r="B17" s="118" t="str">
        <f>'BD Team'!B22</f>
        <v>V1</v>
      </c>
      <c r="C17" s="118" t="str">
        <f>'BD Team'!C22</f>
        <v>M940</v>
      </c>
      <c r="D17" s="118" t="str">
        <f>'BD Team'!D22</f>
        <v>FIXED GLASS WITH GLASS LOUVERS AND EXHAUST PROVISION</v>
      </c>
      <c r="E17" s="118" t="str">
        <f>'BD Team'!F22</f>
        <v>NO</v>
      </c>
      <c r="F17" s="121" t="str">
        <f>'BD Team'!G22</f>
        <v>VENTILATOR 1</v>
      </c>
      <c r="G17" s="118">
        <f>'BD Team'!H22</f>
        <v>610</v>
      </c>
      <c r="H17" s="118">
        <f>'BD Team'!I22</f>
        <v>610</v>
      </c>
      <c r="I17" s="118">
        <f>'BD Team'!J22</f>
        <v>3</v>
      </c>
      <c r="J17" s="103">
        <f t="shared" si="0"/>
        <v>12.015853199999999</v>
      </c>
      <c r="K17" s="172">
        <f>'BD Team'!K22</f>
        <v>61.04</v>
      </c>
      <c r="L17" s="171">
        <f t="shared" si="1"/>
        <v>183.12</v>
      </c>
      <c r="M17" s="170">
        <f>L17*'Changable Values'!$D$4</f>
        <v>15198.960000000001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2"/>
        <v>24.4</v>
      </c>
      <c r="U17" s="313">
        <f t="shared" si="3"/>
        <v>29.28</v>
      </c>
      <c r="V17" s="313">
        <f t="shared" si="4"/>
        <v>1.5249999999999999</v>
      </c>
      <c r="W17" s="313">
        <f t="shared" si="5"/>
        <v>24.4</v>
      </c>
      <c r="X17" s="313">
        <f t="shared" si="6"/>
        <v>48.8</v>
      </c>
      <c r="Y17" s="313">
        <f t="shared" si="7"/>
        <v>14.64</v>
      </c>
    </row>
    <row r="18" spans="1:25">
      <c r="A18" s="118">
        <f>'BD Team'!A23</f>
        <v>15</v>
      </c>
      <c r="B18" s="118" t="str">
        <f>'BD Team'!B23</f>
        <v>V2</v>
      </c>
      <c r="C18" s="118" t="str">
        <f>'BD Team'!C23</f>
        <v>M940</v>
      </c>
      <c r="D18" s="118" t="str">
        <f>'BD Team'!D23</f>
        <v>FIXED GLASS WITH GLASS LOUVERS AND EXHAUST PROVISION</v>
      </c>
      <c r="E18" s="118" t="str">
        <f>'BD Team'!F23</f>
        <v>NO</v>
      </c>
      <c r="F18" s="121" t="str">
        <f>'BD Team'!G23</f>
        <v>VENTILATOR 2</v>
      </c>
      <c r="G18" s="118">
        <f>'BD Team'!H23</f>
        <v>840</v>
      </c>
      <c r="H18" s="118">
        <f>'BD Team'!I23</f>
        <v>610</v>
      </c>
      <c r="I18" s="118">
        <f>'BD Team'!J23</f>
        <v>1</v>
      </c>
      <c r="J18" s="103">
        <f t="shared" si="0"/>
        <v>5.5154736</v>
      </c>
      <c r="K18" s="172">
        <f>'BD Team'!K23</f>
        <v>72.760000000000005</v>
      </c>
      <c r="L18" s="171">
        <f t="shared" si="1"/>
        <v>72.760000000000005</v>
      </c>
      <c r="M18" s="170">
        <f>L18*'Changable Values'!$D$4</f>
        <v>6039.0800000000008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9.6666666666666661</v>
      </c>
      <c r="U18" s="313">
        <f t="shared" si="3"/>
        <v>11.6</v>
      </c>
      <c r="V18" s="313">
        <f t="shared" si="4"/>
        <v>0.60416666666666663</v>
      </c>
      <c r="W18" s="313">
        <f t="shared" si="5"/>
        <v>9.6666666666666661</v>
      </c>
      <c r="X18" s="313">
        <f t="shared" si="6"/>
        <v>19.333333333333332</v>
      </c>
      <c r="Y18" s="313">
        <f t="shared" si="7"/>
        <v>5.8</v>
      </c>
    </row>
    <row r="19" spans="1:25">
      <c r="A19" s="118">
        <f>'BD Team'!A24</f>
        <v>16</v>
      </c>
      <c r="B19" s="118" t="str">
        <f>'BD Team'!B24</f>
        <v>V3</v>
      </c>
      <c r="C19" s="118" t="str">
        <f>'BD Team'!C24</f>
        <v>M940</v>
      </c>
      <c r="D19" s="118" t="str">
        <f>'BD Team'!D24</f>
        <v>FIXED GLASS WITH GLASS LOUVERS AND EXHAUST PROVISION</v>
      </c>
      <c r="E19" s="118" t="str">
        <f>'BD Team'!F24</f>
        <v>NO</v>
      </c>
      <c r="F19" s="121" t="str">
        <f>'BD Team'!G24</f>
        <v>VENTILATOR 3</v>
      </c>
      <c r="G19" s="118">
        <f>'BD Team'!H24</f>
        <v>724</v>
      </c>
      <c r="H19" s="118">
        <f>'BD Team'!I24</f>
        <v>610</v>
      </c>
      <c r="I19" s="118">
        <f>'BD Team'!J24</f>
        <v>1</v>
      </c>
      <c r="J19" s="103">
        <f t="shared" si="0"/>
        <v>4.7538129600000003</v>
      </c>
      <c r="K19" s="172">
        <f>'BD Team'!K24</f>
        <v>66.849999999999994</v>
      </c>
      <c r="L19" s="171">
        <f t="shared" si="1"/>
        <v>66.849999999999994</v>
      </c>
      <c r="M19" s="170">
        <f>L19*'Changable Values'!$D$4</f>
        <v>5548.5499999999993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2"/>
        <v>8.8933333333333326</v>
      </c>
      <c r="U19" s="313">
        <f t="shared" si="3"/>
        <v>10.672000000000001</v>
      </c>
      <c r="V19" s="313">
        <f t="shared" si="4"/>
        <v>0.55583333333333329</v>
      </c>
      <c r="W19" s="313">
        <f t="shared" si="5"/>
        <v>8.8933333333333326</v>
      </c>
      <c r="X19" s="313">
        <f t="shared" si="6"/>
        <v>17.786666666666665</v>
      </c>
      <c r="Y19" s="313">
        <f t="shared" si="7"/>
        <v>5.3360000000000003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4221.04</v>
      </c>
      <c r="L104" s="168">
        <f>SUM(L4:L103)</f>
        <v>4768.4399999999996</v>
      </c>
      <c r="M104" s="168">
        <f>SUM(M4:M103)</f>
        <v>395780.52000000008</v>
      </c>
      <c r="T104" s="314">
        <f t="shared" ref="T104:Y104" si="16">SUM(T4:T103)</f>
        <v>407.86666666666662</v>
      </c>
      <c r="U104" s="314">
        <f t="shared" si="16"/>
        <v>489.43999999999994</v>
      </c>
      <c r="V104" s="314">
        <f t="shared" si="16"/>
        <v>25.491666666666664</v>
      </c>
      <c r="W104" s="314">
        <f t="shared" si="16"/>
        <v>407.86666666666662</v>
      </c>
      <c r="X104" s="314">
        <f t="shared" si="16"/>
        <v>815.73333333333323</v>
      </c>
      <c r="Y104" s="314">
        <f t="shared" si="16"/>
        <v>244.71999999999997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116" sqref="D116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2537.64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SD1</v>
      </c>
      <c r="E8" s="132" t="str">
        <f>Pricing!N4</f>
        <v>24MM</v>
      </c>
      <c r="F8" s="68">
        <f>Pricing!G4</f>
        <v>3658</v>
      </c>
      <c r="G8" s="68">
        <f>Pricing!H4</f>
        <v>2440</v>
      </c>
      <c r="H8" s="100">
        <f t="shared" ref="H8:H57" si="0">(F8*G8)/1000000</f>
        <v>8.9255200000000006</v>
      </c>
      <c r="I8" s="70">
        <f>Pricing!I4</f>
        <v>1</v>
      </c>
      <c r="J8" s="69">
        <f t="shared" ref="J8" si="1">H8*I8</f>
        <v>8.9255200000000006</v>
      </c>
      <c r="K8" s="71">
        <f t="shared" ref="K8" si="2">J8*10.764</f>
        <v>96.074297279999996</v>
      </c>
      <c r="L8" s="69"/>
      <c r="M8" s="72"/>
      <c r="N8" s="72"/>
      <c r="O8" s="72">
        <f t="shared" ref="O8:O35" si="3">N8*M8*L8/1000000</f>
        <v>0</v>
      </c>
      <c r="P8" s="73">
        <f>Pricing!M4</f>
        <v>39693.919999999998</v>
      </c>
      <c r="Q8" s="74">
        <f t="shared" ref="Q8:Q56" si="4">P8*$Q$6</f>
        <v>3969.3919999999998</v>
      </c>
      <c r="R8" s="74">
        <f t="shared" ref="R8:R56" si="5">(P8+Q8)*$R$6</f>
        <v>4802.96432</v>
      </c>
      <c r="S8" s="74">
        <f t="shared" ref="S8:S56" si="6">(P8+Q8+R8)*$S$6</f>
        <v>242.33138159999999</v>
      </c>
      <c r="T8" s="74">
        <f t="shared" ref="T8:T56" si="7">(P8+Q8+R8+S8)*$T$6</f>
        <v>487.08607701599999</v>
      </c>
      <c r="U8" s="72">
        <f t="shared" ref="U8:U56" si="8">SUM(P8:T8)</f>
        <v>49195.693778615998</v>
      </c>
      <c r="V8" s="74">
        <f t="shared" ref="V8:V56" si="9">U8*$V$6</f>
        <v>737.93540667923992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25036.083600000002</v>
      </c>
      <c r="AE8" s="76">
        <f>((((F8+G8)*2)/305)*I8*$AE$7)</f>
        <v>999.67213114754099</v>
      </c>
      <c r="AF8" s="342">
        <f>(((((F8*4)+(G8*4))/1000)*$AF$6*$AG$6)/300)*I8*$AF$7</f>
        <v>1024.4640000000002</v>
      </c>
      <c r="AG8" s="343"/>
      <c r="AH8" s="76">
        <f>(((F8+G8))*I8/1000)*8*$AH$7</f>
        <v>36.588000000000001</v>
      </c>
      <c r="AI8" s="76">
        <f t="shared" ref="AI8:AI57" si="15">(((F8+G8)*2*I8)/1000)*2*$AI$7</f>
        <v>121.96</v>
      </c>
      <c r="AJ8" s="76">
        <f>J8*Pricing!Q4</f>
        <v>0</v>
      </c>
      <c r="AK8" s="76">
        <f>J8*Pricing!R4</f>
        <v>0</v>
      </c>
      <c r="AL8" s="76">
        <f t="shared" ref="AL8:AL39" si="16">J8*$AL$6</f>
        <v>9607.4297279999992</v>
      </c>
      <c r="AM8" s="77">
        <f t="shared" ref="AM8:AM39" si="17">$AM$6*J8</f>
        <v>0</v>
      </c>
      <c r="AN8" s="76">
        <f t="shared" ref="AN8:AN39" si="18">$AN$6*J8</f>
        <v>7685.9437823999997</v>
      </c>
      <c r="AO8" s="72">
        <f t="shared" ref="AO8:AO39" si="19">SUM(U8:V8)+SUM(AC8:AI8)-AD8</f>
        <v>52116.313316442785</v>
      </c>
      <c r="AP8" s="74">
        <f t="shared" ref="AP8:AP39" si="20">AO8*$AP$6</f>
        <v>65145.391645553478</v>
      </c>
      <c r="AQ8" s="74">
        <f t="shared" ref="AQ8:AQ56" si="21">(AO8+AP8)*$AQ$6</f>
        <v>0</v>
      </c>
      <c r="AR8" s="74">
        <f t="shared" ref="AR8:AR39" si="22">SUM(AO8:AQ8)/J8</f>
        <v>13137.800930589619</v>
      </c>
      <c r="AS8" s="72">
        <f t="shared" ref="AS8:AS39" si="23">SUM(AJ8:AQ8)+AD8+AB8</f>
        <v>159591.16207239626</v>
      </c>
      <c r="AT8" s="72">
        <f t="shared" ref="AT8:AT39" si="24">AS8/J8</f>
        <v>17880.320930589616</v>
      </c>
      <c r="AU8" s="78">
        <f t="shared" ref="AU8:AU56" si="25">AT8/10.764</f>
        <v>1661.1223458370139</v>
      </c>
      <c r="AV8" s="79">
        <f t="shared" ref="AV8:AV39" si="26">K8/$K$109</f>
        <v>0.15455039105464236</v>
      </c>
      <c r="AW8" s="80">
        <f t="shared" ref="AW8:AW39" si="27">(U8+V8)/(J8*10.764)</f>
        <v>519.73972851207134</v>
      </c>
      <c r="AX8" s="81">
        <f t="shared" ref="AX8:AX39" si="28">SUM(W8:AN8,AP8)/(J8*10.764)</f>
        <v>1141.3826173249429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SD2</v>
      </c>
      <c r="E9" s="132" t="str">
        <f>Pricing!N5</f>
        <v>24MM</v>
      </c>
      <c r="F9" s="68">
        <f>Pricing!G5</f>
        <v>3354</v>
      </c>
      <c r="G9" s="68">
        <f>Pricing!H5</f>
        <v>2440</v>
      </c>
      <c r="H9" s="100">
        <f t="shared" si="0"/>
        <v>8.1837599999999995</v>
      </c>
      <c r="I9" s="70">
        <f>Pricing!I5</f>
        <v>1</v>
      </c>
      <c r="J9" s="69">
        <f t="shared" ref="J9:J58" si="30">H9*I9</f>
        <v>8.1837599999999995</v>
      </c>
      <c r="K9" s="71">
        <f t="shared" ref="K9:K58" si="31">J9*10.764</f>
        <v>88.089992639999991</v>
      </c>
      <c r="L9" s="69"/>
      <c r="M9" s="72"/>
      <c r="N9" s="72"/>
      <c r="O9" s="72">
        <f t="shared" si="3"/>
        <v>0</v>
      </c>
      <c r="P9" s="73">
        <f>Pricing!M5</f>
        <v>38597.49</v>
      </c>
      <c r="Q9" s="74">
        <f t="shared" ref="Q9:Q14" si="32">P9*$Q$6</f>
        <v>3859.7489999999998</v>
      </c>
      <c r="R9" s="74">
        <f t="shared" ref="R9:R14" si="33">(P9+Q9)*$R$6</f>
        <v>4670.2962900000002</v>
      </c>
      <c r="S9" s="74">
        <f t="shared" ref="S9:S14" si="34">(P9+Q9+R9)*$S$6</f>
        <v>235.63767645000001</v>
      </c>
      <c r="T9" s="74">
        <f t="shared" ref="T9:T14" si="35">(P9+Q9+R9+S9)*$T$6</f>
        <v>473.63172966450003</v>
      </c>
      <c r="U9" s="72">
        <f t="shared" ref="U9:U14" si="36">SUM(P9:T9)</f>
        <v>47836.804696114501</v>
      </c>
      <c r="V9" s="74">
        <f t="shared" ref="V9:V14" si="37">U9*$V$6</f>
        <v>717.55207044171743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22955.446799999998</v>
      </c>
      <c r="AE9" s="76">
        <f t="shared" ref="AE9:AE57" si="43">((((F9+G9)*2)/305)*I9*$AE$7)</f>
        <v>949.83606557377038</v>
      </c>
      <c r="AF9" s="342">
        <f t="shared" ref="AF9:AF57" si="44">(((((F9*4)+(G9*4))/1000)*$AF$6*$AG$6)/300)*I9*$AF$7</f>
        <v>973.39199999999983</v>
      </c>
      <c r="AG9" s="343"/>
      <c r="AH9" s="76">
        <f t="shared" ref="AH9:AH72" si="45">(((F9+G9))*I9/1000)*8*$AH$7</f>
        <v>34.763999999999996</v>
      </c>
      <c r="AI9" s="76">
        <f t="shared" si="15"/>
        <v>115.88</v>
      </c>
      <c r="AJ9" s="76">
        <f>J9*Pricing!Q5</f>
        <v>0</v>
      </c>
      <c r="AK9" s="76">
        <f>J9*Pricing!R5</f>
        <v>0</v>
      </c>
      <c r="AL9" s="76">
        <f t="shared" si="16"/>
        <v>8808.9992639999982</v>
      </c>
      <c r="AM9" s="77">
        <f t="shared" si="17"/>
        <v>0</v>
      </c>
      <c r="AN9" s="76">
        <f t="shared" si="18"/>
        <v>7047.1994111999984</v>
      </c>
      <c r="AO9" s="72">
        <f t="shared" si="19"/>
        <v>50628.228832129978</v>
      </c>
      <c r="AP9" s="74">
        <f t="shared" si="20"/>
        <v>63285.286040162471</v>
      </c>
      <c r="AQ9" s="74">
        <f t="shared" ref="AQ9:AQ14" si="46">(AO9+AP9)*$AQ$6</f>
        <v>0</v>
      </c>
      <c r="AR9" s="74">
        <f t="shared" si="22"/>
        <v>13919.459377143568</v>
      </c>
      <c r="AS9" s="72">
        <f t="shared" si="23"/>
        <v>152725.16034749246</v>
      </c>
      <c r="AT9" s="72">
        <f t="shared" si="24"/>
        <v>18661.979377143572</v>
      </c>
      <c r="AU9" s="78">
        <f t="shared" ref="AU9:AU14" si="47">AT9/10.764</f>
        <v>1733.7401873972105</v>
      </c>
      <c r="AV9" s="79">
        <f t="shared" si="26"/>
        <v>0.14170640010860316</v>
      </c>
      <c r="AW9" s="80">
        <f t="shared" si="27"/>
        <v>551.19038282798772</v>
      </c>
      <c r="AX9" s="81">
        <f t="shared" si="28"/>
        <v>1182.5498045692225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SD3</v>
      </c>
      <c r="E10" s="132" t="str">
        <f>Pricing!N6</f>
        <v>24MM</v>
      </c>
      <c r="F10" s="68">
        <f>Pricing!G6</f>
        <v>2440</v>
      </c>
      <c r="G10" s="68">
        <f>Pricing!H6</f>
        <v>2440</v>
      </c>
      <c r="H10" s="100">
        <f t="shared" si="0"/>
        <v>5.9535999999999998</v>
      </c>
      <c r="I10" s="70">
        <f>Pricing!I6</f>
        <v>2</v>
      </c>
      <c r="J10" s="69">
        <f t="shared" si="30"/>
        <v>11.9072</v>
      </c>
      <c r="K10" s="71">
        <f t="shared" si="31"/>
        <v>128.1691008</v>
      </c>
      <c r="L10" s="69"/>
      <c r="M10" s="72"/>
      <c r="N10" s="72"/>
      <c r="O10" s="72">
        <f t="shared" si="3"/>
        <v>0</v>
      </c>
      <c r="P10" s="73">
        <f>Pricing!M6</f>
        <v>70603.12</v>
      </c>
      <c r="Q10" s="74">
        <f t="shared" si="32"/>
        <v>7060.3119999999999</v>
      </c>
      <c r="R10" s="74">
        <f t="shared" si="33"/>
        <v>8542.9775200000004</v>
      </c>
      <c r="S10" s="74">
        <f t="shared" si="34"/>
        <v>431.0320476</v>
      </c>
      <c r="T10" s="74">
        <f t="shared" si="35"/>
        <v>866.37441567600013</v>
      </c>
      <c r="U10" s="72">
        <f t="shared" si="36"/>
        <v>87503.815983275999</v>
      </c>
      <c r="V10" s="74">
        <f t="shared" si="37"/>
        <v>1312.5572397491399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33399.695999999996</v>
      </c>
      <c r="AE10" s="76">
        <f t="shared" si="43"/>
        <v>1600</v>
      </c>
      <c r="AF10" s="342">
        <f t="shared" si="44"/>
        <v>1639.68</v>
      </c>
      <c r="AG10" s="343"/>
      <c r="AH10" s="76">
        <f t="shared" si="45"/>
        <v>58.56</v>
      </c>
      <c r="AI10" s="76">
        <f t="shared" si="15"/>
        <v>195.2</v>
      </c>
      <c r="AJ10" s="76">
        <f>J10*Pricing!Q6</f>
        <v>0</v>
      </c>
      <c r="AK10" s="76">
        <f>J10*Pricing!R6</f>
        <v>0</v>
      </c>
      <c r="AL10" s="76">
        <f t="shared" si="16"/>
        <v>12816.910079999998</v>
      </c>
      <c r="AM10" s="77">
        <f t="shared" si="17"/>
        <v>0</v>
      </c>
      <c r="AN10" s="76">
        <f t="shared" si="18"/>
        <v>10253.528063999998</v>
      </c>
      <c r="AO10" s="72">
        <f t="shared" si="19"/>
        <v>92309.813223025121</v>
      </c>
      <c r="AP10" s="74">
        <f t="shared" si="20"/>
        <v>115387.2665287814</v>
      </c>
      <c r="AQ10" s="74">
        <f t="shared" si="46"/>
        <v>0</v>
      </c>
      <c r="AR10" s="74">
        <f t="shared" si="22"/>
        <v>17442.982376361069</v>
      </c>
      <c r="AS10" s="72">
        <f t="shared" si="23"/>
        <v>264167.21389580652</v>
      </c>
      <c r="AT10" s="72">
        <f t="shared" si="24"/>
        <v>22185.50237636107</v>
      </c>
      <c r="AU10" s="78">
        <f t="shared" si="47"/>
        <v>2061.0834612003969</v>
      </c>
      <c r="AV10" s="79">
        <f t="shared" si="26"/>
        <v>0.20617985466010244</v>
      </c>
      <c r="AW10" s="80">
        <f t="shared" si="27"/>
        <v>692.96244312127635</v>
      </c>
      <c r="AX10" s="81">
        <f t="shared" si="28"/>
        <v>1368.1210180791204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SD4</v>
      </c>
      <c r="E11" s="132" t="str">
        <f>Pricing!N7</f>
        <v>24MM</v>
      </c>
      <c r="F11" s="68">
        <f>Pricing!G7</f>
        <v>1830</v>
      </c>
      <c r="G11" s="68">
        <f>Pricing!H7</f>
        <v>2440</v>
      </c>
      <c r="H11" s="100">
        <f t="shared" si="0"/>
        <v>4.4652000000000003</v>
      </c>
      <c r="I11" s="70">
        <f>Pricing!I7</f>
        <v>1</v>
      </c>
      <c r="J11" s="69">
        <f t="shared" si="30"/>
        <v>4.4652000000000003</v>
      </c>
      <c r="K11" s="71">
        <f t="shared" si="31"/>
        <v>48.063412800000002</v>
      </c>
      <c r="L11" s="69"/>
      <c r="M11" s="72"/>
      <c r="N11" s="72"/>
      <c r="O11" s="72">
        <f t="shared" si="3"/>
        <v>0</v>
      </c>
      <c r="P11" s="73">
        <f>Pricing!M7</f>
        <v>33101.230000000003</v>
      </c>
      <c r="Q11" s="74">
        <f t="shared" si="32"/>
        <v>3310.1230000000005</v>
      </c>
      <c r="R11" s="74">
        <f t="shared" si="33"/>
        <v>4005.2488300000005</v>
      </c>
      <c r="S11" s="74">
        <f t="shared" si="34"/>
        <v>202.08300915000001</v>
      </c>
      <c r="T11" s="74">
        <f t="shared" si="35"/>
        <v>406.18684839150001</v>
      </c>
      <c r="U11" s="72">
        <f t="shared" si="36"/>
        <v>41024.871687541505</v>
      </c>
      <c r="V11" s="74">
        <f t="shared" si="37"/>
        <v>615.37307531312251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12524.886</v>
      </c>
      <c r="AE11" s="76">
        <f t="shared" si="43"/>
        <v>700</v>
      </c>
      <c r="AF11" s="342">
        <f t="shared" si="44"/>
        <v>717.35999999999979</v>
      </c>
      <c r="AG11" s="343"/>
      <c r="AH11" s="76">
        <f t="shared" si="45"/>
        <v>25.619999999999997</v>
      </c>
      <c r="AI11" s="76">
        <f t="shared" si="15"/>
        <v>85.399999999999991</v>
      </c>
      <c r="AJ11" s="76">
        <f>J11*Pricing!Q7</f>
        <v>0</v>
      </c>
      <c r="AK11" s="76">
        <f>J11*Pricing!R7</f>
        <v>0</v>
      </c>
      <c r="AL11" s="76">
        <f t="shared" si="16"/>
        <v>4806.3412799999996</v>
      </c>
      <c r="AM11" s="77">
        <f t="shared" si="17"/>
        <v>0</v>
      </c>
      <c r="AN11" s="76">
        <f t="shared" si="18"/>
        <v>3845.0730239999998</v>
      </c>
      <c r="AO11" s="72">
        <f t="shared" si="19"/>
        <v>43168.624762854633</v>
      </c>
      <c r="AP11" s="74">
        <f t="shared" si="20"/>
        <v>53960.78095356829</v>
      </c>
      <c r="AQ11" s="74">
        <f t="shared" si="46"/>
        <v>0</v>
      </c>
      <c r="AR11" s="74">
        <f t="shared" si="22"/>
        <v>21752.531961932928</v>
      </c>
      <c r="AS11" s="72">
        <f t="shared" si="23"/>
        <v>118305.70602042292</v>
      </c>
      <c r="AT11" s="72">
        <f t="shared" si="24"/>
        <v>26495.051961932928</v>
      </c>
      <c r="AU11" s="78">
        <f t="shared" si="47"/>
        <v>2461.4503866530035</v>
      </c>
      <c r="AV11" s="79">
        <f t="shared" si="26"/>
        <v>7.7317445497538412E-2</v>
      </c>
      <c r="AW11" s="80">
        <f t="shared" si="27"/>
        <v>866.36055030313264</v>
      </c>
      <c r="AX11" s="81">
        <f t="shared" si="28"/>
        <v>1595.0898363498711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SINGLE DOOR WITH CORNOR GLASS</v>
      </c>
      <c r="D12" s="131" t="str">
        <f>Pricing!B8</f>
        <v>CW</v>
      </c>
      <c r="E12" s="132" t="str">
        <f>Pricing!N8</f>
        <v>24MM</v>
      </c>
      <c r="F12" s="68">
        <f>Pricing!G8</f>
        <v>2136</v>
      </c>
      <c r="G12" s="68">
        <f>Pricing!H8</f>
        <v>2134</v>
      </c>
      <c r="H12" s="100">
        <f t="shared" si="0"/>
        <v>4.5582240000000001</v>
      </c>
      <c r="I12" s="70">
        <f>Pricing!I8</f>
        <v>1</v>
      </c>
      <c r="J12" s="69">
        <f t="shared" si="30"/>
        <v>4.5582240000000001</v>
      </c>
      <c r="K12" s="71">
        <f t="shared" si="31"/>
        <v>49.064723135999998</v>
      </c>
      <c r="L12" s="69"/>
      <c r="M12" s="72"/>
      <c r="N12" s="72"/>
      <c r="O12" s="72">
        <f t="shared" si="3"/>
        <v>0</v>
      </c>
      <c r="P12" s="73">
        <f>Pricing!M8</f>
        <v>68215.210000000006</v>
      </c>
      <c r="Q12" s="74">
        <f t="shared" si="32"/>
        <v>6821.5210000000006</v>
      </c>
      <c r="R12" s="74">
        <f t="shared" si="33"/>
        <v>8254.0404099999996</v>
      </c>
      <c r="S12" s="74">
        <f t="shared" si="34"/>
        <v>416.45385705000001</v>
      </c>
      <c r="T12" s="74">
        <f t="shared" si="35"/>
        <v>837.07225267050001</v>
      </c>
      <c r="U12" s="72">
        <f t="shared" si="36"/>
        <v>84544.297519720509</v>
      </c>
      <c r="V12" s="74">
        <f t="shared" si="37"/>
        <v>1268.1644627958076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12785.81832</v>
      </c>
      <c r="AE12" s="76">
        <f t="shared" si="43"/>
        <v>700</v>
      </c>
      <c r="AF12" s="342">
        <f t="shared" si="44"/>
        <v>717.35999999999979</v>
      </c>
      <c r="AG12" s="343"/>
      <c r="AH12" s="76">
        <f t="shared" si="45"/>
        <v>25.619999999999997</v>
      </c>
      <c r="AI12" s="76">
        <f t="shared" si="15"/>
        <v>85.399999999999991</v>
      </c>
      <c r="AJ12" s="76">
        <f>J12*Pricing!Q8</f>
        <v>0</v>
      </c>
      <c r="AK12" s="76">
        <f>J12*Pricing!R8</f>
        <v>0</v>
      </c>
      <c r="AL12" s="76">
        <f t="shared" si="16"/>
        <v>4906.4723135999993</v>
      </c>
      <c r="AM12" s="77">
        <f t="shared" si="17"/>
        <v>0</v>
      </c>
      <c r="AN12" s="76">
        <f t="shared" si="18"/>
        <v>3925.1778508799994</v>
      </c>
      <c r="AO12" s="72">
        <f t="shared" si="19"/>
        <v>87340.8419825163</v>
      </c>
      <c r="AP12" s="74">
        <f t="shared" si="20"/>
        <v>109176.05247814537</v>
      </c>
      <c r="AQ12" s="74">
        <f t="shared" si="46"/>
        <v>0</v>
      </c>
      <c r="AR12" s="74">
        <f t="shared" si="22"/>
        <v>43112.601412449607</v>
      </c>
      <c r="AS12" s="72">
        <f t="shared" si="23"/>
        <v>218134.36294514165</v>
      </c>
      <c r="AT12" s="72">
        <f t="shared" si="24"/>
        <v>47855.121412449596</v>
      </c>
      <c r="AU12" s="78">
        <f t="shared" si="47"/>
        <v>4445.8492579384611</v>
      </c>
      <c r="AV12" s="79">
        <f t="shared" si="26"/>
        <v>7.89282082965089E-2</v>
      </c>
      <c r="AW12" s="80">
        <f t="shared" si="27"/>
        <v>1748.9645614560411</v>
      </c>
      <c r="AX12" s="81">
        <f t="shared" si="28"/>
        <v>2696.8846964824211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</v>
      </c>
      <c r="D13" s="131" t="str">
        <f>Pricing!B9</f>
        <v>W1</v>
      </c>
      <c r="E13" s="132" t="str">
        <f>Pricing!N9</f>
        <v>24MM</v>
      </c>
      <c r="F13" s="68">
        <f>Pricing!G9</f>
        <v>3960</v>
      </c>
      <c r="G13" s="68">
        <f>Pricing!H9</f>
        <v>1220</v>
      </c>
      <c r="H13" s="100">
        <f t="shared" si="0"/>
        <v>4.8311999999999999</v>
      </c>
      <c r="I13" s="70">
        <f>Pricing!I9</f>
        <v>1</v>
      </c>
      <c r="J13" s="69">
        <f t="shared" si="30"/>
        <v>4.8311999999999999</v>
      </c>
      <c r="K13" s="71">
        <f t="shared" si="31"/>
        <v>52.003036799999997</v>
      </c>
      <c r="L13" s="69"/>
      <c r="M13" s="72"/>
      <c r="N13" s="72"/>
      <c r="O13" s="72">
        <f t="shared" si="3"/>
        <v>0</v>
      </c>
      <c r="P13" s="73">
        <f>Pricing!M9</f>
        <v>29627.679999999997</v>
      </c>
      <c r="Q13" s="74">
        <f t="shared" si="32"/>
        <v>2962.768</v>
      </c>
      <c r="R13" s="74">
        <f t="shared" si="33"/>
        <v>3584.9492799999998</v>
      </c>
      <c r="S13" s="74">
        <f t="shared" si="34"/>
        <v>180.87698639999999</v>
      </c>
      <c r="T13" s="74">
        <f t="shared" si="35"/>
        <v>363.56274266399998</v>
      </c>
      <c r="U13" s="72">
        <f t="shared" si="36"/>
        <v>36719.837009063995</v>
      </c>
      <c r="V13" s="74">
        <f t="shared" si="37"/>
        <v>550.7975551359599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13551.516</v>
      </c>
      <c r="AE13" s="76">
        <f t="shared" si="43"/>
        <v>849.18032786885237</v>
      </c>
      <c r="AF13" s="342">
        <f t="shared" si="44"/>
        <v>870.2399999999999</v>
      </c>
      <c r="AG13" s="343"/>
      <c r="AH13" s="76">
        <f t="shared" si="45"/>
        <v>31.08</v>
      </c>
      <c r="AI13" s="76">
        <f t="shared" si="15"/>
        <v>103.6</v>
      </c>
      <c r="AJ13" s="76">
        <f>J13*Pricing!Q9</f>
        <v>0</v>
      </c>
      <c r="AK13" s="76">
        <f>J13*Pricing!R9</f>
        <v>0</v>
      </c>
      <c r="AL13" s="76">
        <f t="shared" si="16"/>
        <v>5200.3036799999991</v>
      </c>
      <c r="AM13" s="77">
        <f t="shared" si="17"/>
        <v>0</v>
      </c>
      <c r="AN13" s="76">
        <f t="shared" si="18"/>
        <v>4160.2429439999996</v>
      </c>
      <c r="AO13" s="72">
        <f t="shared" si="19"/>
        <v>39124.734892068809</v>
      </c>
      <c r="AP13" s="74">
        <f t="shared" si="20"/>
        <v>48905.918615086011</v>
      </c>
      <c r="AQ13" s="74">
        <f t="shared" si="46"/>
        <v>0</v>
      </c>
      <c r="AR13" s="74">
        <f t="shared" si="22"/>
        <v>18221.281153161701</v>
      </c>
      <c r="AS13" s="72">
        <f t="shared" si="23"/>
        <v>110942.71613115483</v>
      </c>
      <c r="AT13" s="72">
        <f t="shared" si="24"/>
        <v>22963.801153161705</v>
      </c>
      <c r="AU13" s="78">
        <f t="shared" si="47"/>
        <v>2133.3891818247589</v>
      </c>
      <c r="AV13" s="79">
        <f t="shared" si="26"/>
        <v>8.3654941030123525E-2</v>
      </c>
      <c r="AW13" s="80">
        <f t="shared" si="27"/>
        <v>716.70111704322539</v>
      </c>
      <c r="AX13" s="81">
        <f t="shared" si="28"/>
        <v>1416.6880647815335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W2</v>
      </c>
      <c r="E14" s="132" t="str">
        <f>Pricing!N10</f>
        <v>24MM</v>
      </c>
      <c r="F14" s="68">
        <f>Pricing!G10</f>
        <v>610</v>
      </c>
      <c r="G14" s="68">
        <f>Pricing!H10</f>
        <v>2134</v>
      </c>
      <c r="H14" s="100">
        <f t="shared" si="0"/>
        <v>1.3017399999999999</v>
      </c>
      <c r="I14" s="70">
        <f>Pricing!I10</f>
        <v>1</v>
      </c>
      <c r="J14" s="69">
        <f t="shared" si="30"/>
        <v>1.3017399999999999</v>
      </c>
      <c r="K14" s="71">
        <f t="shared" si="31"/>
        <v>14.011929359999998</v>
      </c>
      <c r="L14" s="69"/>
      <c r="M14" s="72"/>
      <c r="N14" s="72"/>
      <c r="O14" s="72">
        <f t="shared" si="3"/>
        <v>0</v>
      </c>
      <c r="P14" s="73">
        <f>Pricing!M10</f>
        <v>18161.23</v>
      </c>
      <c r="Q14" s="74">
        <f t="shared" si="32"/>
        <v>1816.123</v>
      </c>
      <c r="R14" s="74">
        <f t="shared" si="33"/>
        <v>2197.5088299999998</v>
      </c>
      <c r="S14" s="74">
        <f t="shared" si="34"/>
        <v>110.87430914999999</v>
      </c>
      <c r="T14" s="74">
        <f t="shared" si="35"/>
        <v>222.85736139149998</v>
      </c>
      <c r="U14" s="72">
        <f t="shared" si="36"/>
        <v>22508.593500541498</v>
      </c>
      <c r="V14" s="74">
        <f t="shared" si="37"/>
        <v>337.62890250812245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3651.3806999999997</v>
      </c>
      <c r="AE14" s="76">
        <f t="shared" si="43"/>
        <v>449.8360655737705</v>
      </c>
      <c r="AF14" s="342">
        <f t="shared" si="44"/>
        <v>460.99200000000008</v>
      </c>
      <c r="AG14" s="343"/>
      <c r="AH14" s="76">
        <f t="shared" si="45"/>
        <v>16.464000000000002</v>
      </c>
      <c r="AI14" s="76">
        <f t="shared" si="15"/>
        <v>54.88</v>
      </c>
      <c r="AJ14" s="76">
        <f>J14*Pricing!Q10</f>
        <v>0</v>
      </c>
      <c r="AK14" s="76">
        <f>J14*Pricing!R10</f>
        <v>0</v>
      </c>
      <c r="AL14" s="76">
        <f t="shared" si="16"/>
        <v>1401.1929359999997</v>
      </c>
      <c r="AM14" s="77">
        <f t="shared" si="17"/>
        <v>0</v>
      </c>
      <c r="AN14" s="76">
        <f t="shared" si="18"/>
        <v>1120.9543487999997</v>
      </c>
      <c r="AO14" s="72">
        <f t="shared" si="19"/>
        <v>23828.394468623395</v>
      </c>
      <c r="AP14" s="74">
        <f t="shared" si="20"/>
        <v>29785.493085779242</v>
      </c>
      <c r="AQ14" s="74">
        <f t="shared" si="46"/>
        <v>0</v>
      </c>
      <c r="AR14" s="74">
        <f t="shared" si="22"/>
        <v>41186.325652129184</v>
      </c>
      <c r="AS14" s="72">
        <f t="shared" si="23"/>
        <v>59787.415539202637</v>
      </c>
      <c r="AT14" s="72">
        <f t="shared" si="24"/>
        <v>45928.845652129181</v>
      </c>
      <c r="AU14" s="78">
        <f t="shared" si="47"/>
        <v>4266.8938732933093</v>
      </c>
      <c r="AV14" s="79">
        <f t="shared" si="26"/>
        <v>2.2540359110894394E-2</v>
      </c>
      <c r="AW14" s="80">
        <f t="shared" si="27"/>
        <v>1630.4836982884722</v>
      </c>
      <c r="AX14" s="81">
        <f t="shared" si="28"/>
        <v>2636.4101750048376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WINDOW</v>
      </c>
      <c r="D15" s="131" t="str">
        <f>Pricing!B11</f>
        <v>W3</v>
      </c>
      <c r="E15" s="132" t="str">
        <f>Pricing!N11</f>
        <v>20MM</v>
      </c>
      <c r="F15" s="68">
        <f>Pricing!G11</f>
        <v>1524</v>
      </c>
      <c r="G15" s="68">
        <f>Pricing!H11</f>
        <v>1372</v>
      </c>
      <c r="H15" s="100">
        <f t="shared" si="0"/>
        <v>2.0909279999999999</v>
      </c>
      <c r="I15" s="70">
        <f>Pricing!I11</f>
        <v>1</v>
      </c>
      <c r="J15" s="69">
        <f t="shared" si="30"/>
        <v>2.0909279999999999</v>
      </c>
      <c r="K15" s="71">
        <f t="shared" si="31"/>
        <v>22.506748991999999</v>
      </c>
      <c r="L15" s="69"/>
      <c r="M15" s="72"/>
      <c r="N15" s="72"/>
      <c r="O15" s="72">
        <f t="shared" si="3"/>
        <v>0</v>
      </c>
      <c r="P15" s="73">
        <f>Pricing!M11</f>
        <v>9359.91</v>
      </c>
      <c r="Q15" s="74">
        <f t="shared" si="4"/>
        <v>935.99099999999999</v>
      </c>
      <c r="R15" s="74">
        <f t="shared" si="5"/>
        <v>1132.5491099999999</v>
      </c>
      <c r="S15" s="74">
        <f t="shared" si="6"/>
        <v>57.14225055</v>
      </c>
      <c r="T15" s="74">
        <f t="shared" si="7"/>
        <v>114.8559236055</v>
      </c>
      <c r="U15" s="72">
        <f t="shared" si="8"/>
        <v>11600.4482841555</v>
      </c>
      <c r="V15" s="74">
        <f t="shared" si="9"/>
        <v>174.00672426233248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5306.7752639999999</v>
      </c>
      <c r="AE15" s="76">
        <f t="shared" si="43"/>
        <v>474.75409836065569</v>
      </c>
      <c r="AF15" s="342">
        <f t="shared" si="44"/>
        <v>486.52799999999991</v>
      </c>
      <c r="AG15" s="343"/>
      <c r="AH15" s="76">
        <f t="shared" si="45"/>
        <v>17.375999999999998</v>
      </c>
      <c r="AI15" s="76">
        <f t="shared" ref="AI15:AI20" si="49">(((F15+G15)*2*I15)/1000)*2*$AI$7</f>
        <v>57.92</v>
      </c>
      <c r="AJ15" s="76">
        <f>J15*Pricing!Q11</f>
        <v>0</v>
      </c>
      <c r="AK15" s="76">
        <f>J15*Pricing!R11</f>
        <v>0</v>
      </c>
      <c r="AL15" s="76">
        <f t="shared" si="16"/>
        <v>2250.6748991999998</v>
      </c>
      <c r="AM15" s="77">
        <f t="shared" si="17"/>
        <v>0</v>
      </c>
      <c r="AN15" s="76">
        <f t="shared" si="18"/>
        <v>1800.5399193599997</v>
      </c>
      <c r="AO15" s="72">
        <f t="shared" si="19"/>
        <v>12811.03310677849</v>
      </c>
      <c r="AP15" s="74">
        <f t="shared" si="20"/>
        <v>16013.791383473112</v>
      </c>
      <c r="AQ15" s="74">
        <f t="shared" si="21"/>
        <v>0</v>
      </c>
      <c r="AR15" s="74">
        <f t="shared" si="22"/>
        <v>13785.660955447343</v>
      </c>
      <c r="AS15" s="72">
        <f t="shared" si="23"/>
        <v>38182.814572811592</v>
      </c>
      <c r="AT15" s="72">
        <f t="shared" si="24"/>
        <v>18261.18095544734</v>
      </c>
      <c r="AU15" s="78">
        <f t="shared" si="25"/>
        <v>1696.5051054856319</v>
      </c>
      <c r="AV15" s="79">
        <f t="shared" si="26"/>
        <v>3.6205592510811832E-2</v>
      </c>
      <c r="AW15" s="80">
        <f t="shared" si="27"/>
        <v>523.15218926567536</v>
      </c>
      <c r="AX15" s="81">
        <f t="shared" si="28"/>
        <v>1173.3529162199566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WINDOW</v>
      </c>
      <c r="D16" s="131" t="str">
        <f>Pricing!B12</f>
        <v>W4</v>
      </c>
      <c r="E16" s="132" t="str">
        <f>Pricing!N12</f>
        <v>20MM</v>
      </c>
      <c r="F16" s="68">
        <f>Pricing!G12</f>
        <v>2440</v>
      </c>
      <c r="G16" s="68">
        <f>Pricing!H12</f>
        <v>1372</v>
      </c>
      <c r="H16" s="100">
        <f t="shared" si="0"/>
        <v>3.34768</v>
      </c>
      <c r="I16" s="70">
        <f>Pricing!I12</f>
        <v>1</v>
      </c>
      <c r="J16" s="69">
        <f t="shared" si="30"/>
        <v>3.34768</v>
      </c>
      <c r="K16" s="71">
        <f t="shared" si="31"/>
        <v>36.034427519999994</v>
      </c>
      <c r="L16" s="69"/>
      <c r="M16" s="72"/>
      <c r="N16" s="72"/>
      <c r="O16" s="72">
        <f t="shared" si="3"/>
        <v>0</v>
      </c>
      <c r="P16" s="73">
        <f>Pricing!M12</f>
        <v>11071.369999999999</v>
      </c>
      <c r="Q16" s="74">
        <f t="shared" si="4"/>
        <v>1107.1369999999999</v>
      </c>
      <c r="R16" s="74">
        <f t="shared" si="5"/>
        <v>1339.6357699999999</v>
      </c>
      <c r="S16" s="74">
        <f t="shared" si="6"/>
        <v>67.59071385</v>
      </c>
      <c r="T16" s="74">
        <f t="shared" si="7"/>
        <v>135.85733483849998</v>
      </c>
      <c r="U16" s="72">
        <f t="shared" si="8"/>
        <v>13721.590818688499</v>
      </c>
      <c r="V16" s="74">
        <f t="shared" si="9"/>
        <v>205.82386228032749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8496.4118400000007</v>
      </c>
      <c r="AE16" s="76">
        <f t="shared" si="43"/>
        <v>624.91803278688519</v>
      </c>
      <c r="AF16" s="342">
        <f t="shared" si="44"/>
        <v>640.41600000000005</v>
      </c>
      <c r="AG16" s="343"/>
      <c r="AH16" s="76">
        <f t="shared" si="45"/>
        <v>22.872</v>
      </c>
      <c r="AI16" s="76">
        <f t="shared" si="49"/>
        <v>76.239999999999995</v>
      </c>
      <c r="AJ16" s="76">
        <f>J16*Pricing!Q12</f>
        <v>0</v>
      </c>
      <c r="AK16" s="76">
        <f>J16*Pricing!R12</f>
        <v>0</v>
      </c>
      <c r="AL16" s="76">
        <f t="shared" si="16"/>
        <v>3603.4427519999995</v>
      </c>
      <c r="AM16" s="77">
        <f t="shared" si="17"/>
        <v>0</v>
      </c>
      <c r="AN16" s="76">
        <f t="shared" si="18"/>
        <v>2882.7542015999998</v>
      </c>
      <c r="AO16" s="72">
        <f t="shared" si="19"/>
        <v>15291.860713755712</v>
      </c>
      <c r="AP16" s="74">
        <f t="shared" si="20"/>
        <v>19114.82589219464</v>
      </c>
      <c r="AQ16" s="74">
        <f t="shared" si="21"/>
        <v>0</v>
      </c>
      <c r="AR16" s="74">
        <f t="shared" si="22"/>
        <v>10277.770457735014</v>
      </c>
      <c r="AS16" s="72">
        <f t="shared" si="23"/>
        <v>49389.295399550349</v>
      </c>
      <c r="AT16" s="72">
        <f t="shared" si="24"/>
        <v>14753.290457735013</v>
      </c>
      <c r="AU16" s="78">
        <f t="shared" si="25"/>
        <v>1370.6141265082695</v>
      </c>
      <c r="AV16" s="79">
        <f t="shared" si="26"/>
        <v>5.7966959138045185E-2</v>
      </c>
      <c r="AW16" s="80">
        <f t="shared" si="27"/>
        <v>386.50300946889661</v>
      </c>
      <c r="AX16" s="81">
        <f t="shared" si="28"/>
        <v>984.1111170393732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TRACK 2 SHUTTER SLIDING WINDOW</v>
      </c>
      <c r="D17" s="131" t="str">
        <f>Pricing!B13</f>
        <v>W5</v>
      </c>
      <c r="E17" s="132" t="str">
        <f>Pricing!N13</f>
        <v>20MM</v>
      </c>
      <c r="F17" s="68">
        <f>Pricing!G13</f>
        <v>1372</v>
      </c>
      <c r="G17" s="68">
        <f>Pricing!H13</f>
        <v>1524</v>
      </c>
      <c r="H17" s="100">
        <f t="shared" si="0"/>
        <v>2.0909279999999999</v>
      </c>
      <c r="I17" s="70">
        <f>Pricing!I13</f>
        <v>1</v>
      </c>
      <c r="J17" s="69">
        <f t="shared" si="30"/>
        <v>2.0909279999999999</v>
      </c>
      <c r="K17" s="71">
        <f t="shared" si="31"/>
        <v>22.506748991999999</v>
      </c>
      <c r="L17" s="69"/>
      <c r="M17" s="72"/>
      <c r="N17" s="72"/>
      <c r="O17" s="72">
        <f t="shared" si="3"/>
        <v>0</v>
      </c>
      <c r="P17" s="73">
        <f>Pricing!M13</f>
        <v>9564.09</v>
      </c>
      <c r="Q17" s="74">
        <f t="shared" si="4"/>
        <v>956.40900000000011</v>
      </c>
      <c r="R17" s="74">
        <f t="shared" si="5"/>
        <v>1157.2548899999999</v>
      </c>
      <c r="S17" s="74">
        <f t="shared" si="6"/>
        <v>58.388769449999998</v>
      </c>
      <c r="T17" s="74">
        <f t="shared" si="7"/>
        <v>117.36142659450002</v>
      </c>
      <c r="U17" s="72">
        <f t="shared" si="8"/>
        <v>11853.504086044501</v>
      </c>
      <c r="V17" s="74">
        <f t="shared" si="9"/>
        <v>177.80256129066751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5306.7752639999999</v>
      </c>
      <c r="AE17" s="76">
        <f t="shared" si="43"/>
        <v>474.75409836065569</v>
      </c>
      <c r="AF17" s="342">
        <f t="shared" si="44"/>
        <v>486.52799999999991</v>
      </c>
      <c r="AG17" s="343"/>
      <c r="AH17" s="76">
        <f t="shared" si="45"/>
        <v>17.375999999999998</v>
      </c>
      <c r="AI17" s="76">
        <f t="shared" si="49"/>
        <v>57.92</v>
      </c>
      <c r="AJ17" s="76">
        <f>J17*Pricing!Q13</f>
        <v>0</v>
      </c>
      <c r="AK17" s="76">
        <f>J17*Pricing!R13</f>
        <v>0</v>
      </c>
      <c r="AL17" s="76">
        <f t="shared" si="16"/>
        <v>2250.6748991999998</v>
      </c>
      <c r="AM17" s="77">
        <f t="shared" si="17"/>
        <v>0</v>
      </c>
      <c r="AN17" s="76">
        <f t="shared" si="18"/>
        <v>1800.5399193599997</v>
      </c>
      <c r="AO17" s="72">
        <f t="shared" si="19"/>
        <v>13067.884745695825</v>
      </c>
      <c r="AP17" s="74">
        <f t="shared" si="20"/>
        <v>16334.855932119781</v>
      </c>
      <c r="AQ17" s="74">
        <f t="shared" si="21"/>
        <v>0</v>
      </c>
      <c r="AR17" s="74">
        <f t="shared" si="22"/>
        <v>14062.053154300678</v>
      </c>
      <c r="AS17" s="72">
        <f t="shared" si="23"/>
        <v>38760.730760375605</v>
      </c>
      <c r="AT17" s="72">
        <f t="shared" si="24"/>
        <v>18537.573154300677</v>
      </c>
      <c r="AU17" s="78">
        <f t="shared" si="25"/>
        <v>1722.1825672891748</v>
      </c>
      <c r="AV17" s="79">
        <f t="shared" si="26"/>
        <v>3.6205592510811832E-2</v>
      </c>
      <c r="AW17" s="80">
        <f t="shared" si="27"/>
        <v>534.56439451169445</v>
      </c>
      <c r="AX17" s="81">
        <f t="shared" si="28"/>
        <v>1187.6181727774801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</v>
      </c>
      <c r="D18" s="131" t="str">
        <f>Pricing!B14</f>
        <v>W6</v>
      </c>
      <c r="E18" s="132" t="str">
        <f>Pricing!N14</f>
        <v>24MM</v>
      </c>
      <c r="F18" s="68">
        <f>Pricing!G14</f>
        <v>992</v>
      </c>
      <c r="G18" s="68">
        <f>Pricing!H14</f>
        <v>1372</v>
      </c>
      <c r="H18" s="100">
        <f t="shared" si="0"/>
        <v>1.361024</v>
      </c>
      <c r="I18" s="70">
        <f>Pricing!I14</f>
        <v>1</v>
      </c>
      <c r="J18" s="69">
        <f t="shared" si="30"/>
        <v>1.361024</v>
      </c>
      <c r="K18" s="71">
        <f t="shared" si="31"/>
        <v>14.650062336</v>
      </c>
      <c r="L18" s="69"/>
      <c r="M18" s="72"/>
      <c r="N18" s="72"/>
      <c r="O18" s="72">
        <f t="shared" si="3"/>
        <v>0</v>
      </c>
      <c r="P18" s="73">
        <f>Pricing!M14</f>
        <v>16387.52</v>
      </c>
      <c r="Q18" s="74">
        <f t="shared" si="4"/>
        <v>1638.7520000000002</v>
      </c>
      <c r="R18" s="74">
        <f t="shared" si="5"/>
        <v>1982.8899200000001</v>
      </c>
      <c r="S18" s="74">
        <f t="shared" si="6"/>
        <v>100.04580960000001</v>
      </c>
      <c r="T18" s="74">
        <f t="shared" si="7"/>
        <v>201.09207729600004</v>
      </c>
      <c r="U18" s="72">
        <f t="shared" si="8"/>
        <v>20310.299806896004</v>
      </c>
      <c r="V18" s="74">
        <f t="shared" si="9"/>
        <v>304.65449710344006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3817.6723200000001</v>
      </c>
      <c r="AE18" s="76">
        <f t="shared" si="43"/>
        <v>387.5409836065574</v>
      </c>
      <c r="AF18" s="342">
        <f t="shared" si="44"/>
        <v>397.15199999999999</v>
      </c>
      <c r="AG18" s="343"/>
      <c r="AH18" s="76">
        <f t="shared" si="45"/>
        <v>14.183999999999999</v>
      </c>
      <c r="AI18" s="76">
        <f t="shared" si="49"/>
        <v>47.28</v>
      </c>
      <c r="AJ18" s="76">
        <f>J18*Pricing!Q14</f>
        <v>0</v>
      </c>
      <c r="AK18" s="76">
        <f>J18*Pricing!R14</f>
        <v>0</v>
      </c>
      <c r="AL18" s="76">
        <f t="shared" si="16"/>
        <v>1465.0062335999999</v>
      </c>
      <c r="AM18" s="77">
        <f t="shared" si="17"/>
        <v>0</v>
      </c>
      <c r="AN18" s="76">
        <f t="shared" si="18"/>
        <v>1172.0049868799999</v>
      </c>
      <c r="AO18" s="72">
        <f t="shared" si="19"/>
        <v>21461.111287606003</v>
      </c>
      <c r="AP18" s="74">
        <f t="shared" si="20"/>
        <v>26826.389109507505</v>
      </c>
      <c r="AQ18" s="74">
        <f t="shared" si="21"/>
        <v>0</v>
      </c>
      <c r="AR18" s="74">
        <f t="shared" si="22"/>
        <v>35478.801547300791</v>
      </c>
      <c r="AS18" s="72">
        <f t="shared" si="23"/>
        <v>54742.183937593509</v>
      </c>
      <c r="AT18" s="72">
        <f t="shared" si="24"/>
        <v>40221.321547300788</v>
      </c>
      <c r="AU18" s="78">
        <f t="shared" si="25"/>
        <v>3736.651946051727</v>
      </c>
      <c r="AV18" s="79">
        <f t="shared" si="26"/>
        <v>2.3566894862680668E-2</v>
      </c>
      <c r="AW18" s="80">
        <f t="shared" si="27"/>
        <v>1407.1581288321042</v>
      </c>
      <c r="AX18" s="81">
        <f t="shared" si="28"/>
        <v>2329.493817219623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WINDOW</v>
      </c>
      <c r="D19" s="131" t="str">
        <f>Pricing!B15</f>
        <v>W7</v>
      </c>
      <c r="E19" s="132" t="str">
        <f>Pricing!N15</f>
        <v>24MM</v>
      </c>
      <c r="F19" s="68">
        <f>Pricing!G15</f>
        <v>992</v>
      </c>
      <c r="G19" s="68">
        <f>Pricing!H15</f>
        <v>1372</v>
      </c>
      <c r="H19" s="100">
        <f t="shared" si="0"/>
        <v>1.361024</v>
      </c>
      <c r="I19" s="70">
        <f>Pricing!I15</f>
        <v>1</v>
      </c>
      <c r="J19" s="69">
        <f t="shared" si="30"/>
        <v>1.361024</v>
      </c>
      <c r="K19" s="71">
        <f t="shared" si="31"/>
        <v>14.650062336</v>
      </c>
      <c r="L19" s="69"/>
      <c r="M19" s="72"/>
      <c r="N19" s="72"/>
      <c r="O19" s="72">
        <f t="shared" si="3"/>
        <v>0</v>
      </c>
      <c r="P19" s="73">
        <f>Pricing!M15</f>
        <v>16387.52</v>
      </c>
      <c r="Q19" s="74">
        <f t="shared" si="4"/>
        <v>1638.7520000000002</v>
      </c>
      <c r="R19" s="74">
        <f t="shared" si="5"/>
        <v>1982.8899200000001</v>
      </c>
      <c r="S19" s="74">
        <f t="shared" si="6"/>
        <v>100.04580960000001</v>
      </c>
      <c r="T19" s="74">
        <f t="shared" si="7"/>
        <v>201.09207729600004</v>
      </c>
      <c r="U19" s="72">
        <f t="shared" si="8"/>
        <v>20310.299806896004</v>
      </c>
      <c r="V19" s="74">
        <f t="shared" si="9"/>
        <v>304.65449710344006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3817.6723200000001</v>
      </c>
      <c r="AE19" s="76">
        <f t="shared" si="43"/>
        <v>387.5409836065574</v>
      </c>
      <c r="AF19" s="342">
        <f t="shared" si="44"/>
        <v>397.15199999999999</v>
      </c>
      <c r="AG19" s="343"/>
      <c r="AH19" s="76">
        <f t="shared" si="45"/>
        <v>14.183999999999999</v>
      </c>
      <c r="AI19" s="76">
        <f t="shared" si="49"/>
        <v>47.28</v>
      </c>
      <c r="AJ19" s="76">
        <f>J19*Pricing!Q15</f>
        <v>0</v>
      </c>
      <c r="AK19" s="76">
        <f>J19*Pricing!R15</f>
        <v>0</v>
      </c>
      <c r="AL19" s="76">
        <f t="shared" si="16"/>
        <v>1465.0062335999999</v>
      </c>
      <c r="AM19" s="77">
        <f t="shared" si="17"/>
        <v>0</v>
      </c>
      <c r="AN19" s="76">
        <f t="shared" si="18"/>
        <v>1172.0049868799999</v>
      </c>
      <c r="AO19" s="72">
        <f t="shared" si="19"/>
        <v>21461.111287606003</v>
      </c>
      <c r="AP19" s="74">
        <f t="shared" si="20"/>
        <v>26826.389109507505</v>
      </c>
      <c r="AQ19" s="74">
        <f t="shared" si="21"/>
        <v>0</v>
      </c>
      <c r="AR19" s="74">
        <f t="shared" si="22"/>
        <v>35478.801547300791</v>
      </c>
      <c r="AS19" s="72">
        <f t="shared" si="23"/>
        <v>54742.183937593509</v>
      </c>
      <c r="AT19" s="72">
        <f t="shared" si="24"/>
        <v>40221.321547300788</v>
      </c>
      <c r="AU19" s="78">
        <f t="shared" si="25"/>
        <v>3736.651946051727</v>
      </c>
      <c r="AV19" s="79">
        <f t="shared" si="26"/>
        <v>2.3566894862680668E-2</v>
      </c>
      <c r="AW19" s="80">
        <f t="shared" si="27"/>
        <v>1407.1581288321042</v>
      </c>
      <c r="AX19" s="81">
        <f t="shared" si="28"/>
        <v>2329.493817219623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TRACK 2 SHUTTER SLIDING WINDOW</v>
      </c>
      <c r="D20" s="131" t="str">
        <f>Pricing!B16</f>
        <v>W8</v>
      </c>
      <c r="E20" s="132" t="str">
        <f>Pricing!N16</f>
        <v>20MM</v>
      </c>
      <c r="F20" s="68">
        <f>Pricing!G16</f>
        <v>916</v>
      </c>
      <c r="G20" s="68">
        <f>Pricing!H16</f>
        <v>1372</v>
      </c>
      <c r="H20" s="100">
        <f t="shared" si="0"/>
        <v>1.2567520000000001</v>
      </c>
      <c r="I20" s="70">
        <f>Pricing!I16</f>
        <v>1</v>
      </c>
      <c r="J20" s="69">
        <f t="shared" si="30"/>
        <v>1.2567520000000001</v>
      </c>
      <c r="K20" s="71">
        <f t="shared" si="31"/>
        <v>13.527678528000001</v>
      </c>
      <c r="L20" s="69"/>
      <c r="M20" s="72"/>
      <c r="N20" s="72"/>
      <c r="O20" s="72">
        <f t="shared" si="3"/>
        <v>0</v>
      </c>
      <c r="P20" s="73">
        <f>Pricing!M16</f>
        <v>8223.64</v>
      </c>
      <c r="Q20" s="74">
        <f t="shared" si="4"/>
        <v>822.36400000000003</v>
      </c>
      <c r="R20" s="74">
        <f t="shared" si="5"/>
        <v>995.06043999999986</v>
      </c>
      <c r="S20" s="74">
        <f t="shared" si="6"/>
        <v>50.205322199999991</v>
      </c>
      <c r="T20" s="74">
        <f t="shared" si="7"/>
        <v>100.91269762199998</v>
      </c>
      <c r="U20" s="72">
        <f t="shared" si="8"/>
        <v>10192.182459821997</v>
      </c>
      <c r="V20" s="74">
        <f t="shared" si="9"/>
        <v>152.88273689732995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3189.6365760000003</v>
      </c>
      <c r="AE20" s="76">
        <f t="shared" si="43"/>
        <v>375.08196721311475</v>
      </c>
      <c r="AF20" s="342">
        <f t="shared" si="44"/>
        <v>384.38399999999996</v>
      </c>
      <c r="AG20" s="343"/>
      <c r="AH20" s="76">
        <f t="shared" si="45"/>
        <v>13.727999999999998</v>
      </c>
      <c r="AI20" s="76">
        <f t="shared" si="49"/>
        <v>45.76</v>
      </c>
      <c r="AJ20" s="76">
        <f>J20*Pricing!Q16</f>
        <v>0</v>
      </c>
      <c r="AK20" s="76">
        <f>J20*Pricing!R16</f>
        <v>0</v>
      </c>
      <c r="AL20" s="76">
        <f t="shared" si="16"/>
        <v>1352.7678527999999</v>
      </c>
      <c r="AM20" s="77">
        <f t="shared" si="17"/>
        <v>0</v>
      </c>
      <c r="AN20" s="76">
        <f t="shared" si="18"/>
        <v>1082.2142822399999</v>
      </c>
      <c r="AO20" s="72">
        <f t="shared" si="19"/>
        <v>11164.019163932442</v>
      </c>
      <c r="AP20" s="74">
        <f t="shared" si="20"/>
        <v>13955.023954915552</v>
      </c>
      <c r="AQ20" s="74">
        <f t="shared" si="21"/>
        <v>0</v>
      </c>
      <c r="AR20" s="74">
        <f t="shared" si="22"/>
        <v>19987.271250690661</v>
      </c>
      <c r="AS20" s="72">
        <f t="shared" si="23"/>
        <v>30743.661829887995</v>
      </c>
      <c r="AT20" s="72">
        <f t="shared" si="24"/>
        <v>24462.791250690665</v>
      </c>
      <c r="AU20" s="78">
        <f t="shared" si="25"/>
        <v>2272.6487598189024</v>
      </c>
      <c r="AV20" s="79">
        <f t="shared" si="26"/>
        <v>2.176136662723336E-2</v>
      </c>
      <c r="AW20" s="80">
        <f t="shared" si="27"/>
        <v>764.73322272604253</v>
      </c>
      <c r="AX20" s="81">
        <f t="shared" si="28"/>
        <v>1507.9155370928597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WITH GLASS LOUVERS AND EXHAUST PROVISION</v>
      </c>
      <c r="D21" s="131" t="str">
        <f>Pricing!B17</f>
        <v>V1</v>
      </c>
      <c r="E21" s="132" t="str">
        <f>Pricing!N17</f>
        <v>6MM (F)</v>
      </c>
      <c r="F21" s="68">
        <f>Pricing!G17</f>
        <v>610</v>
      </c>
      <c r="G21" s="68">
        <f>Pricing!H17</f>
        <v>610</v>
      </c>
      <c r="H21" s="100">
        <f t="shared" si="0"/>
        <v>0.37209999999999999</v>
      </c>
      <c r="I21" s="70">
        <f>Pricing!I17</f>
        <v>3</v>
      </c>
      <c r="J21" s="69">
        <f t="shared" si="30"/>
        <v>1.1162999999999998</v>
      </c>
      <c r="K21" s="71">
        <f t="shared" si="31"/>
        <v>12.015853199999997</v>
      </c>
      <c r="L21" s="69"/>
      <c r="M21" s="72"/>
      <c r="N21" s="72"/>
      <c r="O21" s="72">
        <f t="shared" si="3"/>
        <v>0</v>
      </c>
      <c r="P21" s="73">
        <f>Pricing!M17</f>
        <v>15198.960000000001</v>
      </c>
      <c r="Q21" s="74">
        <f t="shared" ref="Q21:Q26" si="50">P21*$Q$6</f>
        <v>1519.8960000000002</v>
      </c>
      <c r="R21" s="74">
        <f t="shared" ref="R21:R26" si="51">(P21+Q21)*$R$6</f>
        <v>1839.0741599999999</v>
      </c>
      <c r="S21" s="74">
        <f t="shared" ref="S21:S26" si="52">(P21+Q21+R21)*$S$6</f>
        <v>92.789650800000004</v>
      </c>
      <c r="T21" s="74">
        <f t="shared" ref="T21:T26" si="53">(P21+Q21+R21+S21)*$T$6</f>
        <v>186.50719810800001</v>
      </c>
      <c r="U21" s="72">
        <f t="shared" ref="U21:U26" si="54">SUM(P21:T21)</f>
        <v>18837.227008908001</v>
      </c>
      <c r="V21" s="74">
        <f t="shared" ref="V21:V26" si="55">U21*$V$6</f>
        <v>282.55840513362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2235.9488999999999</v>
      </c>
      <c r="AE21" s="76">
        <f t="shared" si="43"/>
        <v>600</v>
      </c>
      <c r="AF21" s="342">
        <f t="shared" si="44"/>
        <v>614.88</v>
      </c>
      <c r="AG21" s="343"/>
      <c r="AH21" s="76">
        <f t="shared" si="45"/>
        <v>21.96</v>
      </c>
      <c r="AI21" s="76">
        <f t="shared" si="15"/>
        <v>73.2</v>
      </c>
      <c r="AJ21" s="76">
        <f>J21*Pricing!Q17</f>
        <v>0</v>
      </c>
      <c r="AK21" s="76">
        <f>J21*Pricing!R17</f>
        <v>0</v>
      </c>
      <c r="AL21" s="76">
        <f t="shared" si="16"/>
        <v>1201.5853199999997</v>
      </c>
      <c r="AM21" s="77">
        <f t="shared" si="17"/>
        <v>0</v>
      </c>
      <c r="AN21" s="76">
        <f t="shared" si="18"/>
        <v>961.26825599999972</v>
      </c>
      <c r="AO21" s="72">
        <f t="shared" si="19"/>
        <v>20429.825414041621</v>
      </c>
      <c r="AP21" s="74">
        <f t="shared" si="20"/>
        <v>25537.281767552027</v>
      </c>
      <c r="AQ21" s="74">
        <f t="shared" ref="AQ21:AQ26" si="61">(AO21+AP21)*$AQ$6</f>
        <v>0</v>
      </c>
      <c r="AR21" s="74">
        <f t="shared" si="22"/>
        <v>41178.09476090088</v>
      </c>
      <c r="AS21" s="72">
        <f t="shared" si="23"/>
        <v>50365.909657593649</v>
      </c>
      <c r="AT21" s="72">
        <f t="shared" si="24"/>
        <v>45118.614760900884</v>
      </c>
      <c r="AU21" s="78">
        <f t="shared" ref="AU21:AU26" si="62">AT21/10.764</f>
        <v>4191.6215868544114</v>
      </c>
      <c r="AV21" s="79">
        <f t="shared" si="26"/>
        <v>1.9329361374384599E-2</v>
      </c>
      <c r="AW21" s="80">
        <f t="shared" si="27"/>
        <v>1591.2132992804561</v>
      </c>
      <c r="AX21" s="81">
        <f t="shared" si="28"/>
        <v>2600.4082875739555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GLASS LOUVERS AND EXHAUST PROVISION</v>
      </c>
      <c r="D22" s="131" t="str">
        <f>Pricing!B18</f>
        <v>V2</v>
      </c>
      <c r="E22" s="132" t="str">
        <f>Pricing!N18</f>
        <v>6MM (F)</v>
      </c>
      <c r="F22" s="68">
        <f>Pricing!G18</f>
        <v>840</v>
      </c>
      <c r="G22" s="68">
        <f>Pricing!H18</f>
        <v>610</v>
      </c>
      <c r="H22" s="100">
        <f t="shared" si="0"/>
        <v>0.51239999999999997</v>
      </c>
      <c r="I22" s="70">
        <f>Pricing!I18</f>
        <v>1</v>
      </c>
      <c r="J22" s="69">
        <f t="shared" si="30"/>
        <v>0.51239999999999997</v>
      </c>
      <c r="K22" s="71">
        <f t="shared" si="31"/>
        <v>5.5154735999999991</v>
      </c>
      <c r="L22" s="69"/>
      <c r="M22" s="72"/>
      <c r="N22" s="72"/>
      <c r="O22" s="72">
        <f t="shared" si="3"/>
        <v>0</v>
      </c>
      <c r="P22" s="73">
        <f>Pricing!M18</f>
        <v>6039.0800000000008</v>
      </c>
      <c r="Q22" s="74">
        <f t="shared" si="50"/>
        <v>603.90800000000013</v>
      </c>
      <c r="R22" s="74">
        <f t="shared" si="51"/>
        <v>730.72868000000017</v>
      </c>
      <c r="S22" s="74">
        <f t="shared" si="52"/>
        <v>36.868583400000006</v>
      </c>
      <c r="T22" s="74">
        <f t="shared" si="53"/>
        <v>74.105852634000016</v>
      </c>
      <c r="U22" s="72">
        <f t="shared" si="54"/>
        <v>7484.6911160340014</v>
      </c>
      <c r="V22" s="74">
        <f t="shared" si="55"/>
        <v>112.27036674051001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1026.3371999999999</v>
      </c>
      <c r="AE22" s="76">
        <f t="shared" si="43"/>
        <v>237.70491803278691</v>
      </c>
      <c r="AF22" s="342">
        <f t="shared" si="44"/>
        <v>243.6</v>
      </c>
      <c r="AG22" s="343"/>
      <c r="AH22" s="76">
        <f t="shared" si="45"/>
        <v>8.6999999999999993</v>
      </c>
      <c r="AI22" s="76">
        <f t="shared" si="15"/>
        <v>29</v>
      </c>
      <c r="AJ22" s="76">
        <f>J22*Pricing!Q18</f>
        <v>0</v>
      </c>
      <c r="AK22" s="76">
        <f>J22*Pricing!R18</f>
        <v>0</v>
      </c>
      <c r="AL22" s="76">
        <f t="shared" si="16"/>
        <v>551.54735999999991</v>
      </c>
      <c r="AM22" s="77">
        <f t="shared" si="17"/>
        <v>0</v>
      </c>
      <c r="AN22" s="76">
        <f t="shared" si="18"/>
        <v>441.23788799999994</v>
      </c>
      <c r="AO22" s="72">
        <f t="shared" si="19"/>
        <v>8115.9664008072996</v>
      </c>
      <c r="AP22" s="74">
        <f t="shared" si="20"/>
        <v>10144.958001009125</v>
      </c>
      <c r="AQ22" s="74">
        <f t="shared" si="61"/>
        <v>0</v>
      </c>
      <c r="AR22" s="74">
        <f t="shared" si="22"/>
        <v>35638.025764669059</v>
      </c>
      <c r="AS22" s="72">
        <f t="shared" si="23"/>
        <v>20280.046849816426</v>
      </c>
      <c r="AT22" s="72">
        <f t="shared" si="24"/>
        <v>39578.545764669063</v>
      </c>
      <c r="AU22" s="78">
        <f t="shared" si="62"/>
        <v>3676.9366187912547</v>
      </c>
      <c r="AV22" s="79">
        <f t="shared" si="26"/>
        <v>8.8724937456191606E-3</v>
      </c>
      <c r="AW22" s="80">
        <f t="shared" si="27"/>
        <v>1377.3905984745377</v>
      </c>
      <c r="AX22" s="81">
        <f t="shared" si="28"/>
        <v>2299.5460203167167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WITH GLASS LOUVERS AND EXHAUST PROVISION</v>
      </c>
      <c r="D23" s="131" t="str">
        <f>Pricing!B19</f>
        <v>V3</v>
      </c>
      <c r="E23" s="132" t="str">
        <f>Pricing!N19</f>
        <v>6MM (F)</v>
      </c>
      <c r="F23" s="68">
        <f>Pricing!G19</f>
        <v>724</v>
      </c>
      <c r="G23" s="68">
        <f>Pricing!H19</f>
        <v>610</v>
      </c>
      <c r="H23" s="100">
        <f t="shared" si="0"/>
        <v>0.44163999999999998</v>
      </c>
      <c r="I23" s="70">
        <f>Pricing!I19</f>
        <v>1</v>
      </c>
      <c r="J23" s="69">
        <f t="shared" si="30"/>
        <v>0.44163999999999998</v>
      </c>
      <c r="K23" s="71">
        <f t="shared" si="31"/>
        <v>4.7538129599999994</v>
      </c>
      <c r="L23" s="69"/>
      <c r="M23" s="72"/>
      <c r="N23" s="72"/>
      <c r="O23" s="72">
        <f t="shared" si="3"/>
        <v>0</v>
      </c>
      <c r="P23" s="73">
        <f>Pricing!M19</f>
        <v>5548.5499999999993</v>
      </c>
      <c r="Q23" s="74">
        <f t="shared" si="50"/>
        <v>554.8549999999999</v>
      </c>
      <c r="R23" s="74">
        <f t="shared" si="51"/>
        <v>671.37454999999989</v>
      </c>
      <c r="S23" s="74">
        <f t="shared" si="52"/>
        <v>33.87389774999999</v>
      </c>
      <c r="T23" s="74">
        <f t="shared" si="53"/>
        <v>68.086534477499981</v>
      </c>
      <c r="U23" s="72">
        <f t="shared" si="54"/>
        <v>6876.7399822274983</v>
      </c>
      <c r="V23" s="74">
        <f t="shared" si="55"/>
        <v>103.15109973341247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884.60491999999999</v>
      </c>
      <c r="AE23" s="76">
        <f t="shared" si="43"/>
        <v>218.68852459016392</v>
      </c>
      <c r="AF23" s="342">
        <f t="shared" si="44"/>
        <v>224.11200000000005</v>
      </c>
      <c r="AG23" s="343"/>
      <c r="AH23" s="76">
        <f t="shared" si="45"/>
        <v>8.0040000000000013</v>
      </c>
      <c r="AI23" s="76">
        <f t="shared" si="15"/>
        <v>26.68</v>
      </c>
      <c r="AJ23" s="76">
        <f>J23*Pricing!Q19</f>
        <v>0</v>
      </c>
      <c r="AK23" s="76">
        <f>J23*Pricing!R19</f>
        <v>0</v>
      </c>
      <c r="AL23" s="76">
        <f t="shared" si="16"/>
        <v>475.38129599999991</v>
      </c>
      <c r="AM23" s="77">
        <f t="shared" si="17"/>
        <v>0</v>
      </c>
      <c r="AN23" s="76">
        <f t="shared" si="18"/>
        <v>380.30503679999993</v>
      </c>
      <c r="AO23" s="72">
        <f t="shared" si="19"/>
        <v>7457.3756065510752</v>
      </c>
      <c r="AP23" s="74">
        <f t="shared" si="20"/>
        <v>9321.719508188844</v>
      </c>
      <c r="AQ23" s="74">
        <f t="shared" si="61"/>
        <v>0</v>
      </c>
      <c r="AR23" s="74">
        <f t="shared" si="22"/>
        <v>37992.697932116469</v>
      </c>
      <c r="AS23" s="72">
        <f t="shared" si="23"/>
        <v>18519.386367539923</v>
      </c>
      <c r="AT23" s="72">
        <f t="shared" si="24"/>
        <v>41933.21793211648</v>
      </c>
      <c r="AU23" s="78">
        <f t="shared" si="62"/>
        <v>3895.6910007540396</v>
      </c>
      <c r="AV23" s="79">
        <f t="shared" si="26"/>
        <v>7.647244609319372E-3</v>
      </c>
      <c r="AW23" s="80">
        <f t="shared" si="27"/>
        <v>1468.2721303281801</v>
      </c>
      <c r="AX23" s="81">
        <f t="shared" si="28"/>
        <v>2427.418870425859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51.053719999999998</v>
      </c>
      <c r="I109" s="87">
        <f>SUM(I8:I108)</f>
        <v>19</v>
      </c>
      <c r="J109" s="88">
        <f>SUM(J8:J108)</f>
        <v>57.751519999999999</v>
      </c>
      <c r="K109" s="89">
        <f>SUM(K8:K108)</f>
        <v>621.63736128000005</v>
      </c>
      <c r="L109" s="88">
        <f>SUM(L8:L8)</f>
        <v>0</v>
      </c>
      <c r="M109" s="88"/>
      <c r="N109" s="88"/>
      <c r="O109" s="88"/>
      <c r="P109" s="87">
        <f>SUM(P8:P108)</f>
        <v>395780.52000000008</v>
      </c>
      <c r="Q109" s="88">
        <f t="shared" ref="Q109:AE109" si="156">SUM(Q8:Q108)</f>
        <v>39578.052000000011</v>
      </c>
      <c r="R109" s="88">
        <f t="shared" si="156"/>
        <v>47889.442920000001</v>
      </c>
      <c r="S109" s="88">
        <f t="shared" si="156"/>
        <v>2416.2400745999998</v>
      </c>
      <c r="T109" s="88">
        <f t="shared" si="156"/>
        <v>4856.6425499459992</v>
      </c>
      <c r="U109" s="88">
        <f t="shared" si="156"/>
        <v>490520.89754454605</v>
      </c>
      <c r="V109" s="88">
        <f t="shared" si="156"/>
        <v>7357.8134631681905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157986.66202400002</v>
      </c>
      <c r="AE109" s="88">
        <f t="shared" si="156"/>
        <v>10029.508196721312</v>
      </c>
      <c r="AF109" s="353">
        <f>SUM(AF8:AG108)</f>
        <v>10278.239999999998</v>
      </c>
      <c r="AG109" s="354"/>
      <c r="AH109" s="88">
        <f t="shared" ref="AH109:AQ109" si="157">SUM(AH8:AH108)</f>
        <v>367.08000000000004</v>
      </c>
      <c r="AI109" s="88">
        <f t="shared" si="157"/>
        <v>1223.5999999999999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62163.736127999982</v>
      </c>
      <c r="AM109" s="88">
        <f t="shared" si="157"/>
        <v>0</v>
      </c>
      <c r="AN109" s="88">
        <f t="shared" si="157"/>
        <v>49730.988902399993</v>
      </c>
      <c r="AO109" s="88">
        <f t="shared" si="157"/>
        <v>519777.13920443546</v>
      </c>
      <c r="AP109" s="88">
        <f t="shared" si="157"/>
        <v>649721.4240055444</v>
      </c>
      <c r="AQ109" s="88">
        <f t="shared" si="157"/>
        <v>0</v>
      </c>
      <c r="AR109" s="88"/>
      <c r="AS109" s="87">
        <f>SUM(AS8:AS108)</f>
        <v>1439379.9502643796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10278.239999999998</v>
      </c>
      <c r="AW110" s="84"/>
    </row>
    <row r="111" spans="2:54">
      <c r="AF111" s="174"/>
      <c r="AG111" s="174"/>
      <c r="AH111" s="174">
        <f>SUM(AE109:AI109,AC109)</f>
        <v>21898.42819672131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ABPL-DE-19.20-2139-OP-2</v>
      </c>
      <c r="N6" s="472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Dr. Keerthi</v>
      </c>
      <c r="G7" s="434"/>
      <c r="H7" s="434"/>
      <c r="I7" s="434"/>
      <c r="J7" s="435"/>
      <c r="K7" s="499" t="s">
        <v>104</v>
      </c>
      <c r="L7" s="492"/>
      <c r="M7" s="497">
        <f>'BD Team'!J3</f>
        <v>43679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180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365</v>
      </c>
      <c r="N8" s="179">
        <v>43676</v>
      </c>
    </row>
    <row r="9" spans="2:15" ht="24.95" customHeight="1">
      <c r="B9" s="491" t="s">
        <v>169</v>
      </c>
      <c r="C9" s="492"/>
      <c r="D9" s="492"/>
      <c r="E9" s="492"/>
      <c r="F9" s="434" t="str">
        <f>'BD Team'!E4</f>
        <v xml:space="preserve">Mr. Jagadish : 8008103070 </v>
      </c>
      <c r="G9" s="434"/>
      <c r="H9" s="434"/>
      <c r="I9" s="434"/>
      <c r="J9" s="435"/>
      <c r="K9" s="499" t="s">
        <v>179</v>
      </c>
      <c r="L9" s="492"/>
      <c r="M9" s="473" t="str">
        <f>'BD Team'!J4</f>
        <v>Bal Kumari</v>
      </c>
      <c r="N9" s="474"/>
    </row>
    <row r="10" spans="2:15" ht="27.75" customHeight="1" thickBot="1">
      <c r="B10" s="493" t="s">
        <v>177</v>
      </c>
      <c r="C10" s="494"/>
      <c r="D10" s="494"/>
      <c r="E10" s="494"/>
      <c r="F10" s="217" t="str">
        <f>'BD Team'!E5</f>
        <v>Anodized</v>
      </c>
      <c r="G10" s="504" t="s">
        <v>178</v>
      </c>
      <c r="H10" s="505"/>
      <c r="I10" s="502" t="str">
        <f>'BD Team'!G5</f>
        <v>Silver</v>
      </c>
      <c r="J10" s="503"/>
      <c r="K10" s="500" t="s">
        <v>375</v>
      </c>
      <c r="L10" s="501"/>
      <c r="M10" s="495">
        <f>'BD Team'!J5</f>
        <v>0</v>
      </c>
      <c r="N10" s="496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5" t="s">
        <v>170</v>
      </c>
      <c r="C13" s="486"/>
      <c r="D13" s="489" t="s">
        <v>171</v>
      </c>
      <c r="E13" s="489" t="s">
        <v>172</v>
      </c>
      <c r="F13" s="489" t="s">
        <v>37</v>
      </c>
      <c r="G13" s="487" t="s">
        <v>63</v>
      </c>
      <c r="H13" s="487" t="s">
        <v>210</v>
      </c>
      <c r="I13" s="487" t="s">
        <v>209</v>
      </c>
      <c r="J13" s="488" t="s">
        <v>173</v>
      </c>
      <c r="K13" s="488" t="s">
        <v>174</v>
      </c>
      <c r="L13" s="486" t="s">
        <v>211</v>
      </c>
      <c r="M13" s="488" t="s">
        <v>175</v>
      </c>
      <c r="N13" s="490" t="s">
        <v>176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SD1</v>
      </c>
      <c r="E16" s="187" t="str">
        <f>Pricing!C4</f>
        <v>M14600</v>
      </c>
      <c r="F16" s="187" t="str">
        <f>Pricing!D4</f>
        <v>2 TRACK 2 SHUTTER SLIDING DOOR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3658</v>
      </c>
      <c r="K16" s="216">
        <f>Pricing!H4</f>
        <v>2440</v>
      </c>
      <c r="L16" s="216">
        <f>Pricing!I4</f>
        <v>1</v>
      </c>
      <c r="M16" s="188">
        <f t="shared" ref="M16:M24" si="0">J16*K16*L16/1000000</f>
        <v>8.9255200000000006</v>
      </c>
      <c r="N16" s="189">
        <f>'Cost Calculation'!AS8</f>
        <v>159591.16207239626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SD2</v>
      </c>
      <c r="E17" s="187" t="str">
        <f>Pricing!C5</f>
        <v>M14600</v>
      </c>
      <c r="F17" s="187" t="str">
        <f>Pricing!D5</f>
        <v>2 TRACK 2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NO</v>
      </c>
      <c r="J17" s="216">
        <f>Pricing!G5</f>
        <v>3354</v>
      </c>
      <c r="K17" s="216">
        <f>Pricing!H5</f>
        <v>2440</v>
      </c>
      <c r="L17" s="216">
        <f>Pricing!I5</f>
        <v>1</v>
      </c>
      <c r="M17" s="188">
        <f t="shared" si="0"/>
        <v>8.1837599999999995</v>
      </c>
      <c r="N17" s="189">
        <f>'Cost Calculation'!AS9</f>
        <v>152725.16034749246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SD3</v>
      </c>
      <c r="E18" s="187" t="str">
        <f>Pricing!C6</f>
        <v>M14600</v>
      </c>
      <c r="F18" s="187" t="str">
        <f>Pricing!D6</f>
        <v>2 TRACK 2 SHUTTER SLIDING DOOR</v>
      </c>
      <c r="G18" s="187" t="str">
        <f>Pricing!N6</f>
        <v>24MM</v>
      </c>
      <c r="H18" s="187" t="str">
        <f>Pricing!F6</f>
        <v>NA</v>
      </c>
      <c r="I18" s="216" t="str">
        <f>Pricing!E6</f>
        <v>NO</v>
      </c>
      <c r="J18" s="216">
        <f>Pricing!G6</f>
        <v>2440</v>
      </c>
      <c r="K18" s="216">
        <f>Pricing!H6</f>
        <v>2440</v>
      </c>
      <c r="L18" s="216">
        <f>Pricing!I6</f>
        <v>2</v>
      </c>
      <c r="M18" s="188">
        <f t="shared" si="0"/>
        <v>11.9072</v>
      </c>
      <c r="N18" s="189">
        <f>'Cost Calculation'!AS10</f>
        <v>264167.21389580652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SD4</v>
      </c>
      <c r="E19" s="187" t="str">
        <f>Pricing!C7</f>
        <v>M14600</v>
      </c>
      <c r="F19" s="187" t="str">
        <f>Pricing!D7</f>
        <v>2 TRACK 2 SHUTTER SLIDING DOOR</v>
      </c>
      <c r="G19" s="187" t="str">
        <f>Pricing!N7</f>
        <v>24MM</v>
      </c>
      <c r="H19" s="187" t="str">
        <f>Pricing!F7</f>
        <v>NA</v>
      </c>
      <c r="I19" s="216" t="str">
        <f>Pricing!E7</f>
        <v>NO</v>
      </c>
      <c r="J19" s="216">
        <f>Pricing!G7</f>
        <v>1830</v>
      </c>
      <c r="K19" s="216">
        <f>Pricing!H7</f>
        <v>2440</v>
      </c>
      <c r="L19" s="216">
        <f>Pricing!I7</f>
        <v>1</v>
      </c>
      <c r="M19" s="188">
        <f t="shared" si="0"/>
        <v>4.4652000000000003</v>
      </c>
      <c r="N19" s="189">
        <f>'Cost Calculation'!AS11</f>
        <v>118305.70602042292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CW</v>
      </c>
      <c r="E20" s="187" t="str">
        <f>Pricing!C8</f>
        <v>M15000</v>
      </c>
      <c r="F20" s="187" t="str">
        <f>Pricing!D8</f>
        <v>2 SINGLE DOOR WITH CORNOR GLASS</v>
      </c>
      <c r="G20" s="187" t="str">
        <f>Pricing!N8</f>
        <v>24MM</v>
      </c>
      <c r="H20" s="187" t="str">
        <f>Pricing!F8</f>
        <v>CORNOR WINDOW</v>
      </c>
      <c r="I20" s="216" t="str">
        <f>Pricing!E8</f>
        <v>NO</v>
      </c>
      <c r="J20" s="216">
        <f>Pricing!G8</f>
        <v>2136</v>
      </c>
      <c r="K20" s="216">
        <f>Pricing!H8</f>
        <v>2134</v>
      </c>
      <c r="L20" s="216">
        <f>Pricing!I8</f>
        <v>1</v>
      </c>
      <c r="M20" s="188">
        <f t="shared" si="0"/>
        <v>4.5582240000000001</v>
      </c>
      <c r="N20" s="189">
        <f>'Cost Calculation'!AS12</f>
        <v>218134.36294514165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W1</v>
      </c>
      <c r="E21" s="187" t="str">
        <f>Pricing!C9</f>
        <v>M14600</v>
      </c>
      <c r="F21" s="187" t="str">
        <f>Pricing!D9</f>
        <v>2 TRACK 2 SHUTTER SLIDING DOOR</v>
      </c>
      <c r="G21" s="187" t="str">
        <f>Pricing!N9</f>
        <v>24MM</v>
      </c>
      <c r="H21" s="187" t="str">
        <f>Pricing!F9</f>
        <v>KITCHEN</v>
      </c>
      <c r="I21" s="216" t="str">
        <f>Pricing!E9</f>
        <v>NO</v>
      </c>
      <c r="J21" s="216">
        <f>Pricing!G9</f>
        <v>3960</v>
      </c>
      <c r="K21" s="216">
        <f>Pricing!H9</f>
        <v>1220</v>
      </c>
      <c r="L21" s="216">
        <f>Pricing!I9</f>
        <v>1</v>
      </c>
      <c r="M21" s="188">
        <f t="shared" si="0"/>
        <v>4.8311999999999999</v>
      </c>
      <c r="N21" s="189">
        <f>'Cost Calculation'!AS13</f>
        <v>110942.71613115483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W2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24MM</v>
      </c>
      <c r="H22" s="187" t="str">
        <f>Pricing!F10</f>
        <v>M BED ROOM</v>
      </c>
      <c r="I22" s="216" t="str">
        <f>Pricing!E10</f>
        <v>NO</v>
      </c>
      <c r="J22" s="216">
        <f>Pricing!G10</f>
        <v>610</v>
      </c>
      <c r="K22" s="216">
        <f>Pricing!H10</f>
        <v>2134</v>
      </c>
      <c r="L22" s="216">
        <f>Pricing!I10</f>
        <v>1</v>
      </c>
      <c r="M22" s="188">
        <f t="shared" si="0"/>
        <v>1.3017399999999999</v>
      </c>
      <c r="N22" s="189">
        <f>'Cost Calculation'!AS14</f>
        <v>59787.415539202637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W3</v>
      </c>
      <c r="E23" s="187" t="str">
        <f>Pricing!C11</f>
        <v>M900</v>
      </c>
      <c r="F23" s="187" t="str">
        <f>Pricing!D11</f>
        <v>2 TRACK 2 SHUTTER SLIDING WINDOW</v>
      </c>
      <c r="G23" s="187" t="str">
        <f>Pricing!N11</f>
        <v>20MM</v>
      </c>
      <c r="H23" s="187" t="str">
        <f>Pricing!F11</f>
        <v>C BED ROOM 1</v>
      </c>
      <c r="I23" s="216" t="str">
        <f>Pricing!E11</f>
        <v>NO</v>
      </c>
      <c r="J23" s="216">
        <f>Pricing!G11</f>
        <v>1524</v>
      </c>
      <c r="K23" s="216">
        <f>Pricing!H11</f>
        <v>1372</v>
      </c>
      <c r="L23" s="216">
        <f>Pricing!I11</f>
        <v>1</v>
      </c>
      <c r="M23" s="188">
        <f t="shared" si="0"/>
        <v>2.0909279999999999</v>
      </c>
      <c r="N23" s="189">
        <f>'Cost Calculation'!AS15</f>
        <v>38182.814572811592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W4</v>
      </c>
      <c r="E24" s="187" t="str">
        <f>Pricing!C12</f>
        <v>M900</v>
      </c>
      <c r="F24" s="187" t="str">
        <f>Pricing!D12</f>
        <v>2 TRACK 2 SHUTTER SLIDING WINDOW</v>
      </c>
      <c r="G24" s="187" t="str">
        <f>Pricing!N12</f>
        <v>20MM</v>
      </c>
      <c r="H24" s="187" t="str">
        <f>Pricing!F12</f>
        <v>HOME HEALTH</v>
      </c>
      <c r="I24" s="216" t="str">
        <f>Pricing!E12</f>
        <v>NO</v>
      </c>
      <c r="J24" s="216">
        <f>Pricing!G12</f>
        <v>2440</v>
      </c>
      <c r="K24" s="216">
        <f>Pricing!H12</f>
        <v>1372</v>
      </c>
      <c r="L24" s="216">
        <f>Pricing!I12</f>
        <v>1</v>
      </c>
      <c r="M24" s="188">
        <f t="shared" si="0"/>
        <v>3.34768</v>
      </c>
      <c r="N24" s="189">
        <f>'Cost Calculation'!AS16</f>
        <v>49389.295399550349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W5</v>
      </c>
      <c r="E25" s="187" t="str">
        <f>Pricing!C13</f>
        <v>M900</v>
      </c>
      <c r="F25" s="187" t="str">
        <f>Pricing!D13</f>
        <v>2 TRACK 2 SHUTTER SLIDING WINDOW</v>
      </c>
      <c r="G25" s="187" t="str">
        <f>Pricing!N13</f>
        <v>20MM</v>
      </c>
      <c r="H25" s="187" t="str">
        <f>Pricing!F13</f>
        <v>POOJA</v>
      </c>
      <c r="I25" s="216" t="str">
        <f>Pricing!E13</f>
        <v>NO</v>
      </c>
      <c r="J25" s="216">
        <f>Pricing!G13</f>
        <v>1372</v>
      </c>
      <c r="K25" s="216">
        <f>Pricing!H13</f>
        <v>1524</v>
      </c>
      <c r="L25" s="216">
        <f>Pricing!I13</f>
        <v>1</v>
      </c>
      <c r="M25" s="188">
        <f t="shared" ref="M25:M42" si="1">J25*K25*L25/1000000</f>
        <v>2.0909279999999999</v>
      </c>
      <c r="N25" s="189">
        <f>'Cost Calculation'!AS17</f>
        <v>38760.730760375605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W6</v>
      </c>
      <c r="E26" s="187" t="str">
        <f>Pricing!C14</f>
        <v>M15000</v>
      </c>
      <c r="F26" s="187" t="str">
        <f>Pricing!D14</f>
        <v>SIDE HUNG WINDOW</v>
      </c>
      <c r="G26" s="187" t="str">
        <f>Pricing!N14</f>
        <v>24MM</v>
      </c>
      <c r="H26" s="187" t="str">
        <f>Pricing!F14</f>
        <v>STORE</v>
      </c>
      <c r="I26" s="216" t="str">
        <f>Pricing!E14</f>
        <v>NO</v>
      </c>
      <c r="J26" s="216">
        <f>Pricing!G14</f>
        <v>992</v>
      </c>
      <c r="K26" s="216">
        <f>Pricing!H14</f>
        <v>1372</v>
      </c>
      <c r="L26" s="216">
        <f>Pricing!I14</f>
        <v>1</v>
      </c>
      <c r="M26" s="188">
        <f t="shared" si="1"/>
        <v>1.361024</v>
      </c>
      <c r="N26" s="189">
        <f>'Cost Calculation'!AS18</f>
        <v>54742.183937593509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W7</v>
      </c>
      <c r="E27" s="187" t="str">
        <f>Pricing!C15</f>
        <v>M15000</v>
      </c>
      <c r="F27" s="187" t="str">
        <f>Pricing!D15</f>
        <v>SIDE HUNG WINDOW</v>
      </c>
      <c r="G27" s="187" t="str">
        <f>Pricing!N15</f>
        <v>24MM</v>
      </c>
      <c r="H27" s="187" t="str">
        <f>Pricing!F15</f>
        <v>FORMAL LIVING</v>
      </c>
      <c r="I27" s="216" t="str">
        <f>Pricing!E15</f>
        <v>NO</v>
      </c>
      <c r="J27" s="216">
        <f>Pricing!G15</f>
        <v>992</v>
      </c>
      <c r="K27" s="216">
        <f>Pricing!H15</f>
        <v>1372</v>
      </c>
      <c r="L27" s="216">
        <f>Pricing!I15</f>
        <v>1</v>
      </c>
      <c r="M27" s="188">
        <f t="shared" si="1"/>
        <v>1.361024</v>
      </c>
      <c r="N27" s="189">
        <f>'Cost Calculation'!AS19</f>
        <v>54742.183937593509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W8</v>
      </c>
      <c r="E28" s="187" t="str">
        <f>Pricing!C16</f>
        <v>M900</v>
      </c>
      <c r="F28" s="187" t="str">
        <f>Pricing!D16</f>
        <v>2 TRACK 2 SHUTTER SLIDING WINDOW</v>
      </c>
      <c r="G28" s="187" t="str">
        <f>Pricing!N16</f>
        <v>20MM</v>
      </c>
      <c r="H28" s="187" t="str">
        <f>Pricing!F16</f>
        <v>OUTSIDE STAIRCASE</v>
      </c>
      <c r="I28" s="216" t="str">
        <f>Pricing!E16</f>
        <v>NO</v>
      </c>
      <c r="J28" s="216">
        <f>Pricing!G16</f>
        <v>916</v>
      </c>
      <c r="K28" s="216">
        <f>Pricing!H16</f>
        <v>1372</v>
      </c>
      <c r="L28" s="216">
        <f>Pricing!I16</f>
        <v>1</v>
      </c>
      <c r="M28" s="188">
        <f t="shared" si="1"/>
        <v>1.2567520000000001</v>
      </c>
      <c r="N28" s="189">
        <f>'Cost Calculation'!AS20</f>
        <v>30743.661829887995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V1</v>
      </c>
      <c r="E29" s="187" t="str">
        <f>Pricing!C17</f>
        <v>M940</v>
      </c>
      <c r="F29" s="187" t="str">
        <f>Pricing!D17</f>
        <v>FIXED GLASS WITH GLASS LOUVERS AND EXHAUST PROVISION</v>
      </c>
      <c r="G29" s="187" t="str">
        <f>Pricing!N17</f>
        <v>6MM (F)</v>
      </c>
      <c r="H29" s="187" t="str">
        <f>Pricing!F17</f>
        <v>VENTILATOR 1</v>
      </c>
      <c r="I29" s="216" t="str">
        <f>Pricing!E17</f>
        <v>NO</v>
      </c>
      <c r="J29" s="216">
        <f>Pricing!G17</f>
        <v>610</v>
      </c>
      <c r="K29" s="216">
        <f>Pricing!H17</f>
        <v>610</v>
      </c>
      <c r="L29" s="216">
        <f>Pricing!I17</f>
        <v>3</v>
      </c>
      <c r="M29" s="188">
        <f t="shared" si="1"/>
        <v>1.1163000000000001</v>
      </c>
      <c r="N29" s="189">
        <f>'Cost Calculation'!AS21</f>
        <v>50365.909657593649</v>
      </c>
      <c r="O29" s="95"/>
    </row>
    <row r="30" spans="2:15" s="94" customFormat="1" ht="49.9" customHeight="1" thickTop="1" thickBot="1">
      <c r="B30" s="410">
        <f>Pricing!A18</f>
        <v>15</v>
      </c>
      <c r="C30" s="411"/>
      <c r="D30" s="187" t="str">
        <f>Pricing!B18</f>
        <v>V2</v>
      </c>
      <c r="E30" s="187" t="str">
        <f>Pricing!C18</f>
        <v>M940</v>
      </c>
      <c r="F30" s="187" t="str">
        <f>Pricing!D18</f>
        <v>FIXED GLASS WITH GLASS LOUVERS AND EXHAUST PROVISION</v>
      </c>
      <c r="G30" s="187" t="str">
        <f>Pricing!N18</f>
        <v>6MM (F)</v>
      </c>
      <c r="H30" s="187" t="str">
        <f>Pricing!F18</f>
        <v>VENTILATOR 2</v>
      </c>
      <c r="I30" s="216" t="str">
        <f>Pricing!E18</f>
        <v>NO</v>
      </c>
      <c r="J30" s="216">
        <f>Pricing!G18</f>
        <v>840</v>
      </c>
      <c r="K30" s="216">
        <f>Pricing!H18</f>
        <v>610</v>
      </c>
      <c r="L30" s="216">
        <f>Pricing!I18</f>
        <v>1</v>
      </c>
      <c r="M30" s="188">
        <f t="shared" si="1"/>
        <v>0.51239999999999997</v>
      </c>
      <c r="N30" s="189">
        <f>'Cost Calculation'!AS22</f>
        <v>20280.046849816426</v>
      </c>
      <c r="O30" s="95"/>
    </row>
    <row r="31" spans="2:15" s="94" customFormat="1" ht="49.9" customHeight="1" thickTop="1" thickBot="1">
      <c r="B31" s="410">
        <f>Pricing!A19</f>
        <v>16</v>
      </c>
      <c r="C31" s="411"/>
      <c r="D31" s="187" t="str">
        <f>Pricing!B19</f>
        <v>V3</v>
      </c>
      <c r="E31" s="187" t="str">
        <f>Pricing!C19</f>
        <v>M940</v>
      </c>
      <c r="F31" s="187" t="str">
        <f>Pricing!D19</f>
        <v>FIXED GLASS WITH GLASS LOUVERS AND EXHAUST PROVISION</v>
      </c>
      <c r="G31" s="187" t="str">
        <f>Pricing!N19</f>
        <v>6MM (F)</v>
      </c>
      <c r="H31" s="187" t="str">
        <f>Pricing!F19</f>
        <v>VENTILATOR 3</v>
      </c>
      <c r="I31" s="216" t="str">
        <f>Pricing!E19</f>
        <v>NO</v>
      </c>
      <c r="J31" s="216">
        <f>Pricing!G19</f>
        <v>724</v>
      </c>
      <c r="K31" s="216">
        <f>Pricing!H19</f>
        <v>610</v>
      </c>
      <c r="L31" s="216">
        <f>Pricing!I19</f>
        <v>1</v>
      </c>
      <c r="M31" s="188">
        <f t="shared" si="1"/>
        <v>0.44163999999999998</v>
      </c>
      <c r="N31" s="189">
        <f>'Cost Calculation'!AS23</f>
        <v>18519.386367539923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19</v>
      </c>
      <c r="M116" s="191">
        <f>SUM(M16:M115)</f>
        <v>57.751519999999999</v>
      </c>
      <c r="N116" s="186"/>
      <c r="O116" s="95"/>
    </row>
    <row r="117" spans="2:15" s="94" customFormat="1" ht="30" customHeight="1" thickTop="1" thickBot="1">
      <c r="B117" s="509" t="s">
        <v>181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1439380</v>
      </c>
      <c r="O117" s="95">
        <f>N117/SUM(M116)</f>
        <v>24923.673004623946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259088</v>
      </c>
      <c r="O118" s="95">
        <f>N118/SUM(M116)</f>
        <v>4486.2542146076848</v>
      </c>
    </row>
    <row r="119" spans="2:15" s="94" customFormat="1" ht="30" customHeight="1" thickTop="1" thickBot="1">
      <c r="B119" s="509" t="s">
        <v>182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1698468</v>
      </c>
      <c r="O119" s="95">
        <f>N119/SUM(M116)</f>
        <v>29409.927219231631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2315.4657194931206</v>
      </c>
    </row>
    <row r="121" spans="2:15" s="139" customFormat="1" ht="30" customHeight="1" thickTop="1">
      <c r="B121" s="477" t="s">
        <v>237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1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374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460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3</v>
      </c>
      <c r="C127" s="413"/>
      <c r="D127" s="414" t="s">
        <v>461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4" t="s">
        <v>364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390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143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144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139" customFormat="1" ht="30" customHeight="1">
      <c r="B135" s="416" t="s">
        <v>145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14" t="s">
        <v>147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2</v>
      </c>
      <c r="C138" s="413"/>
      <c r="D138" s="414" t="s">
        <v>403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3</v>
      </c>
      <c r="C139" s="413"/>
      <c r="D139" s="414" t="s">
        <v>148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4</v>
      </c>
      <c r="C140" s="413"/>
      <c r="D140" s="414" t="s">
        <v>149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5</v>
      </c>
      <c r="C141" s="413"/>
      <c r="D141" s="414" t="s">
        <v>150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6</v>
      </c>
      <c r="C142" s="413"/>
      <c r="D142" s="414" t="s">
        <v>151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140" customFormat="1" ht="30" customHeight="1">
      <c r="B143" s="416" t="s">
        <v>152</v>
      </c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1</v>
      </c>
      <c r="C144" s="413"/>
      <c r="D144" s="414" t="s">
        <v>153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135" customHeight="1">
      <c r="B145" s="412">
        <v>2</v>
      </c>
      <c r="C145" s="413"/>
      <c r="D145" s="422" t="s">
        <v>154</v>
      </c>
      <c r="E145" s="423"/>
      <c r="F145" s="423"/>
      <c r="G145" s="423"/>
      <c r="H145" s="423"/>
      <c r="I145" s="423"/>
      <c r="J145" s="423"/>
      <c r="K145" s="423"/>
      <c r="L145" s="423"/>
      <c r="M145" s="423"/>
      <c r="N145" s="424"/>
    </row>
    <row r="146" spans="2:14" s="93" customFormat="1" ht="24.95" customHeight="1">
      <c r="B146" s="412">
        <v>3</v>
      </c>
      <c r="C146" s="413"/>
      <c r="D146" s="414" t="s">
        <v>155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12">
        <v>4</v>
      </c>
      <c r="C147" s="413"/>
      <c r="D147" s="414" t="s">
        <v>156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140" customFormat="1" ht="30" customHeight="1">
      <c r="B148" s="416" t="s">
        <v>157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4" t="s">
        <v>158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55.9" customHeight="1">
      <c r="B150" s="412">
        <v>2</v>
      </c>
      <c r="C150" s="413"/>
      <c r="D150" s="422" t="s">
        <v>159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140" customFormat="1" ht="30" customHeight="1">
      <c r="B151" s="416" t="s">
        <v>160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39" t="s">
        <v>161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2">
        <v>2</v>
      </c>
      <c r="C153" s="413"/>
      <c r="D153" s="439" t="s">
        <v>162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2">
        <v>3</v>
      </c>
      <c r="C154" s="413"/>
      <c r="D154" s="444" t="s">
        <v>163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2">
        <v>4</v>
      </c>
      <c r="C155" s="413"/>
      <c r="D155" s="439" t="s">
        <v>164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16" t="s">
        <v>165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39" t="s">
        <v>166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2</v>
      </c>
      <c r="C158" s="413"/>
      <c r="D158" s="439" t="s">
        <v>167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2">
        <v>3</v>
      </c>
      <c r="C159" s="413"/>
      <c r="D159" s="439" t="s">
        <v>168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2">
        <v>4</v>
      </c>
      <c r="C160" s="413"/>
      <c r="D160" s="439" t="s">
        <v>402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240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241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 thickBo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0" customHeight="1" thickTop="1">
      <c r="B167" s="449" t="s">
        <v>110</v>
      </c>
      <c r="C167" s="450"/>
      <c r="D167" s="450"/>
      <c r="E167" s="453"/>
      <c r="F167" s="454"/>
      <c r="G167" s="454"/>
      <c r="H167" s="454"/>
      <c r="I167" s="454"/>
      <c r="J167" s="454"/>
      <c r="K167" s="454"/>
      <c r="L167" s="455"/>
      <c r="M167" s="450" t="s">
        <v>205</v>
      </c>
      <c r="N167" s="451"/>
    </row>
    <row r="168" spans="2:14" s="93" customFormat="1" ht="33" customHeight="1" thickBot="1">
      <c r="B168" s="452" t="s">
        <v>107</v>
      </c>
      <c r="C168" s="447"/>
      <c r="D168" s="447"/>
      <c r="E168" s="456"/>
      <c r="F168" s="457"/>
      <c r="G168" s="457"/>
      <c r="H168" s="457"/>
      <c r="I168" s="457"/>
      <c r="J168" s="457"/>
      <c r="K168" s="457"/>
      <c r="L168" s="458"/>
      <c r="M168" s="447" t="s">
        <v>108</v>
      </c>
      <c r="N168" s="44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D125:N125"/>
    <mergeCell ref="B130:C130"/>
    <mergeCell ref="D130:N130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133:C133"/>
    <mergeCell ref="D133:N133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L29" sqref="L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43676</v>
      </c>
      <c r="F2" s="516" t="s">
        <v>245</v>
      </c>
      <c r="G2" s="516"/>
    </row>
    <row r="3" spans="3:13">
      <c r="C3" s="297" t="s">
        <v>126</v>
      </c>
      <c r="D3" s="517" t="str">
        <f>QUOTATION!F7</f>
        <v>Dr. Keerthi</v>
      </c>
      <c r="E3" s="517"/>
      <c r="F3" s="520" t="s">
        <v>246</v>
      </c>
      <c r="G3" s="521">
        <f>QUOTATION!N8</f>
        <v>43676</v>
      </c>
    </row>
    <row r="4" spans="3:13">
      <c r="C4" s="297" t="s">
        <v>243</v>
      </c>
      <c r="D4" s="518" t="str">
        <f>QUOTATION!M6</f>
        <v>ABPL-DE-19.20-2139-OP-2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169</v>
      </c>
      <c r="D6" s="517" t="str">
        <f>QUOTATION!F9</f>
        <v xml:space="preserve">Mr. Jagadish : 8008103070 </v>
      </c>
      <c r="E6" s="517"/>
      <c r="F6" s="520"/>
      <c r="G6" s="522"/>
    </row>
    <row r="7" spans="3:13">
      <c r="C7" s="297" t="s">
        <v>377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Anodized</v>
      </c>
      <c r="E8" s="517"/>
      <c r="F8" s="520"/>
      <c r="G8" s="522"/>
    </row>
    <row r="9" spans="3:13">
      <c r="C9" s="297" t="s">
        <v>178</v>
      </c>
      <c r="D9" s="517" t="str">
        <f>QUOTATION!I10</f>
        <v>Silver</v>
      </c>
      <c r="E9" s="517"/>
      <c r="F9" s="520"/>
      <c r="G9" s="522"/>
    </row>
    <row r="10" spans="3:13">
      <c r="C10" s="297" t="s">
        <v>180</v>
      </c>
      <c r="D10" s="517" t="str">
        <f>QUOTATION!I8</f>
        <v>1.5Kpa</v>
      </c>
      <c r="E10" s="517"/>
      <c r="F10" s="520"/>
      <c r="G10" s="522"/>
    </row>
    <row r="11" spans="3:13">
      <c r="C11" s="297" t="s">
        <v>242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244</v>
      </c>
      <c r="D12" s="519">
        <f>QUOTATION!M7</f>
        <v>43679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4768.4399999999996</v>
      </c>
      <c r="F14" s="205"/>
      <c r="G14" s="206">
        <f>E14</f>
        <v>4768.4399999999996</v>
      </c>
    </row>
    <row r="15" spans="3:13">
      <c r="C15" s="194" t="s">
        <v>235</v>
      </c>
      <c r="D15" s="296">
        <f>'Changable Values'!D4</f>
        <v>83</v>
      </c>
      <c r="E15" s="199">
        <f>E14*D15</f>
        <v>395780.51999999996</v>
      </c>
      <c r="F15" s="205"/>
      <c r="G15" s="207">
        <f>E15</f>
        <v>395780.51999999996</v>
      </c>
    </row>
    <row r="16" spans="3:13">
      <c r="C16" s="195" t="s">
        <v>97</v>
      </c>
      <c r="D16" s="200">
        <f>'Changable Values'!D5</f>
        <v>0.1</v>
      </c>
      <c r="E16" s="199">
        <f>E15*D16</f>
        <v>39578.051999999996</v>
      </c>
      <c r="F16" s="208">
        <f>'Changable Values'!D5</f>
        <v>0.1</v>
      </c>
      <c r="G16" s="207">
        <f>G15*F16</f>
        <v>39578.051999999996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47889.442919999994</v>
      </c>
      <c r="F17" s="208">
        <f>'Changable Values'!D6</f>
        <v>0.11</v>
      </c>
      <c r="G17" s="207">
        <f>SUM(G15:G16)*F17</f>
        <v>47889.442919999994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2416.2400745999998</v>
      </c>
      <c r="F18" s="208">
        <f>'Changable Values'!D7</f>
        <v>5.0000000000000001E-3</v>
      </c>
      <c r="G18" s="207">
        <f>SUM(G15:G17)*F18</f>
        <v>2416.2400745999998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4856.6425499459992</v>
      </c>
      <c r="F19" s="208">
        <f>'Changable Values'!D8</f>
        <v>0.01</v>
      </c>
      <c r="G19" s="207">
        <f>SUM(G15:G18)*F19</f>
        <v>4856.6425499459992</v>
      </c>
    </row>
    <row r="20" spans="3:7">
      <c r="C20" s="195" t="s">
        <v>99</v>
      </c>
      <c r="D20" s="201"/>
      <c r="E20" s="199">
        <f>SUM(E15:E19)</f>
        <v>490520.89754454588</v>
      </c>
      <c r="F20" s="208"/>
      <c r="G20" s="207">
        <f>SUM(G15:G19)</f>
        <v>490520.89754454588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7357.8134631681878</v>
      </c>
      <c r="F21" s="208">
        <f>'Changable Values'!D9</f>
        <v>1.4999999999999999E-2</v>
      </c>
      <c r="G21" s="207">
        <f>G20*F21</f>
        <v>7357.8134631681878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157986.66202400002</v>
      </c>
      <c r="F23" s="209"/>
      <c r="G23" s="207">
        <f t="shared" si="0"/>
        <v>157986.66202400002</v>
      </c>
    </row>
    <row r="24" spans="3:7">
      <c r="C24" s="195" t="s">
        <v>230</v>
      </c>
      <c r="D24" s="198"/>
      <c r="E24" s="199">
        <f>'Cost Calculation'!AH111</f>
        <v>21898.42819672131</v>
      </c>
      <c r="F24" s="209"/>
      <c r="G24" s="207">
        <f t="shared" si="0"/>
        <v>21898.42819672131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62163.736127999982</v>
      </c>
      <c r="F27" s="209"/>
      <c r="G27" s="207">
        <f t="shared" si="0"/>
        <v>62163.736127999982</v>
      </c>
    </row>
    <row r="28" spans="3:7">
      <c r="C28" s="195" t="s">
        <v>88</v>
      </c>
      <c r="D28" s="198"/>
      <c r="E28" s="199">
        <f>'Cost Calculation'!AN109</f>
        <v>49730.988902399993</v>
      </c>
      <c r="F28" s="209"/>
      <c r="G28" s="207">
        <f t="shared" si="0"/>
        <v>49730.988902399993</v>
      </c>
    </row>
    <row r="29" spans="3:7">
      <c r="C29" s="293" t="s">
        <v>380</v>
      </c>
      <c r="D29" s="294"/>
      <c r="E29" s="295">
        <f>SUM(E20:E28)</f>
        <v>789658.52625883534</v>
      </c>
      <c r="F29" s="209"/>
      <c r="G29" s="207">
        <f>SUM(G20:G21,G24)</f>
        <v>519777.13920443534</v>
      </c>
    </row>
    <row r="30" spans="3:7">
      <c r="C30" s="293" t="s">
        <v>381</v>
      </c>
      <c r="D30" s="294"/>
      <c r="E30" s="295">
        <f>E29/E33</f>
        <v>1270.2880737941273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649721.42400554416</v>
      </c>
      <c r="F31" s="214">
        <f>'Changable Values'!D23</f>
        <v>1.25</v>
      </c>
      <c r="G31" s="207">
        <f>G29*F31</f>
        <v>649721.42400554416</v>
      </c>
    </row>
    <row r="32" spans="3:7">
      <c r="C32" s="290" t="s">
        <v>5</v>
      </c>
      <c r="D32" s="291"/>
      <c r="E32" s="292">
        <f>E31+E29</f>
        <v>1439379.9502643794</v>
      </c>
      <c r="F32" s="205"/>
      <c r="G32" s="207">
        <f>SUM(G25:G31,G22:G23)</f>
        <v>1439379.9502643796</v>
      </c>
    </row>
    <row r="33" spans="3:7">
      <c r="C33" s="300" t="s">
        <v>231</v>
      </c>
      <c r="D33" s="301"/>
      <c r="E33" s="308">
        <f>'Cost Calculation'!K109</f>
        <v>621.63736128000005</v>
      </c>
      <c r="F33" s="210"/>
      <c r="G33" s="211">
        <f>E33</f>
        <v>621.63736128000005</v>
      </c>
    </row>
    <row r="34" spans="3:7">
      <c r="C34" s="302" t="s">
        <v>9</v>
      </c>
      <c r="D34" s="303"/>
      <c r="E34" s="304">
        <f>QUOTATION!L116</f>
        <v>19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2315.4656394856693</v>
      </c>
      <c r="F35" s="212"/>
      <c r="G35" s="213">
        <f>G32/(G33)</f>
        <v>2315.4656394856697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2019-08-02T09:39:05Z</cp:lastPrinted>
  <dcterms:created xsi:type="dcterms:W3CDTF">2010-12-18T06:34:46Z</dcterms:created>
  <dcterms:modified xsi:type="dcterms:W3CDTF">2019-08-05T06:17:25Z</dcterms:modified>
</cp:coreProperties>
</file>