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Drawings!$C$2:$O$304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7" i="158" l="1"/>
  <c r="R4" i="158"/>
  <c r="Q30" i="158"/>
  <c r="Q27" i="158"/>
  <c r="Q26" i="158"/>
  <c r="Q25" i="158"/>
  <c r="Q24" i="158"/>
  <c r="Q20" i="158"/>
  <c r="Q17" i="158"/>
  <c r="Q16" i="158"/>
  <c r="Q15" i="158"/>
  <c r="Q14" i="158"/>
  <c r="Q13" i="158"/>
  <c r="Q6" i="158"/>
  <c r="Q5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H103" i="158"/>
  <c r="G103" i="158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H101" i="158"/>
  <c r="G101" i="158"/>
  <c r="T101" i="158" s="1"/>
  <c r="W101" i="158" s="1"/>
  <c r="X101" i="158" s="1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H99" i="158"/>
  <c r="G99" i="158"/>
  <c r="T99" i="158" s="1"/>
  <c r="W99" i="158" s="1"/>
  <c r="X99" i="158" s="1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T97" i="158" s="1"/>
  <c r="W97" i="158" s="1"/>
  <c r="X97" i="158" s="1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H95" i="158"/>
  <c r="G95" i="158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T93" i="158" s="1"/>
  <c r="W93" i="158" s="1"/>
  <c r="X93" i="158" s="1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T91" i="158" s="1"/>
  <c r="W91" i="158" s="1"/>
  <c r="X91" i="158" s="1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T89" i="158" s="1"/>
  <c r="W89" i="158" s="1"/>
  <c r="X89" i="158" s="1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H87" i="158"/>
  <c r="G87" i="158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H85" i="158"/>
  <c r="G85" i="158"/>
  <c r="T85" i="158" s="1"/>
  <c r="W85" i="158" s="1"/>
  <c r="X85" i="158" s="1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T81" i="158" s="1"/>
  <c r="W81" i="158" s="1"/>
  <c r="X81" i="158" s="1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 i="158"/>
  <c r="K79" i="160" s="1"/>
  <c r="G67" i="158"/>
  <c r="T67" i="158" s="1"/>
  <c r="W67" i="158" s="1"/>
  <c r="X67" i="158" s="1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 i="158"/>
  <c r="K75" i="160" s="1"/>
  <c r="G63" i="158"/>
  <c r="T63" i="158" s="1"/>
  <c r="W63" i="158" s="1"/>
  <c r="X63" i="158" s="1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T59" i="158" s="1"/>
  <c r="W59" i="158" s="1"/>
  <c r="X59" i="158" s="1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 i="158"/>
  <c r="K69" i="160" s="1"/>
  <c r="G57" i="158"/>
  <c r="T57" i="158" s="1"/>
  <c r="W57" i="158" s="1"/>
  <c r="X57" i="158" s="1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83" i="160" l="1"/>
  <c r="M83" i="160" s="1"/>
  <c r="T71" i="158"/>
  <c r="W71" i="158" s="1"/>
  <c r="X71" i="158" s="1"/>
  <c r="J87" i="160"/>
  <c r="T75" i="158"/>
  <c r="W75" i="158" s="1"/>
  <c r="X75" i="158" s="1"/>
  <c r="I86" i="159"/>
  <c r="W86" i="159" s="1"/>
  <c r="U82" i="158"/>
  <c r="V82" i="158"/>
  <c r="Y82" i="158"/>
  <c r="U55" i="158"/>
  <c r="V55" i="158"/>
  <c r="Y55" i="158"/>
  <c r="T56" i="158"/>
  <c r="W56" i="158" s="1"/>
  <c r="X56" i="158" s="1"/>
  <c r="U59" i="158"/>
  <c r="V59" i="158"/>
  <c r="Y59" i="158"/>
  <c r="J72" i="160"/>
  <c r="T60" i="158"/>
  <c r="W60" i="158" s="1"/>
  <c r="X60" i="158" s="1"/>
  <c r="L75" i="160"/>
  <c r="U63" i="158"/>
  <c r="V63" i="158"/>
  <c r="Y63" i="158"/>
  <c r="T64" i="158"/>
  <c r="W64" i="158" s="1"/>
  <c r="X64" i="158" s="1"/>
  <c r="I71" i="159"/>
  <c r="W71" i="159" s="1"/>
  <c r="U67" i="158"/>
  <c r="V67" i="158"/>
  <c r="Y67" i="158"/>
  <c r="J80" i="160"/>
  <c r="T68" i="158"/>
  <c r="W68" i="158" s="1"/>
  <c r="X68" i="158" s="1"/>
  <c r="L83" i="160"/>
  <c r="U71" i="158"/>
  <c r="V71" i="158"/>
  <c r="Y71" i="158"/>
  <c r="F76" i="159"/>
  <c r="T72" i="158"/>
  <c r="W72" i="158" s="1"/>
  <c r="X72" i="158" s="1"/>
  <c r="U75" i="158"/>
  <c r="V75" i="158"/>
  <c r="Y75" i="158"/>
  <c r="J88" i="160"/>
  <c r="T76" i="158"/>
  <c r="W76" i="158" s="1"/>
  <c r="X76" i="158" s="1"/>
  <c r="L79" i="158"/>
  <c r="M79" i="158" s="1"/>
  <c r="P83" i="159" s="1"/>
  <c r="U79" i="158"/>
  <c r="Y79" i="158"/>
  <c r="V79" i="158"/>
  <c r="T80" i="158"/>
  <c r="W80" i="158" s="1"/>
  <c r="X80" i="158" s="1"/>
  <c r="U83" i="158"/>
  <c r="V83" i="158"/>
  <c r="Y83" i="158"/>
  <c r="T84" i="158"/>
  <c r="W84" i="158" s="1"/>
  <c r="X84" i="158" s="1"/>
  <c r="L87" i="158"/>
  <c r="M87" i="158" s="1"/>
  <c r="P91" i="159" s="1"/>
  <c r="U87" i="158"/>
  <c r="V87" i="158"/>
  <c r="Y87" i="158"/>
  <c r="T88" i="158"/>
  <c r="W88" i="158" s="1"/>
  <c r="X88" i="158" s="1"/>
  <c r="U91" i="158"/>
  <c r="V91" i="158"/>
  <c r="Y91" i="158"/>
  <c r="T92" i="158"/>
  <c r="W92" i="158" s="1"/>
  <c r="X92" i="158" s="1"/>
  <c r="L95" i="158"/>
  <c r="M95" i="158" s="1"/>
  <c r="P99" i="159" s="1"/>
  <c r="U95" i="158"/>
  <c r="V95" i="158"/>
  <c r="Y95" i="158"/>
  <c r="T96" i="158"/>
  <c r="W96" i="158" s="1"/>
  <c r="X96" i="158" s="1"/>
  <c r="L99" i="158"/>
  <c r="M99" i="158" s="1"/>
  <c r="P103" i="159" s="1"/>
  <c r="U99" i="158"/>
  <c r="V99" i="158"/>
  <c r="Y99" i="158"/>
  <c r="T100" i="158"/>
  <c r="W100" i="158" s="1"/>
  <c r="X100" i="158" s="1"/>
  <c r="L103" i="158"/>
  <c r="M103" i="158" s="1"/>
  <c r="P107" i="159" s="1"/>
  <c r="U103" i="158"/>
  <c r="Y103" i="158"/>
  <c r="V103" i="158"/>
  <c r="I82" i="159"/>
  <c r="W82" i="159" s="1"/>
  <c r="X82" i="159" s="1"/>
  <c r="Y82" i="159" s="1"/>
  <c r="U78" i="158"/>
  <c r="V78" i="158"/>
  <c r="Y78" i="158"/>
  <c r="J67" i="160"/>
  <c r="T55" i="158"/>
  <c r="W55" i="158" s="1"/>
  <c r="X55" i="158" s="1"/>
  <c r="U86" i="158"/>
  <c r="V86" i="158"/>
  <c r="Y86" i="158"/>
  <c r="F107" i="159"/>
  <c r="T103" i="158"/>
  <c r="W103" i="158" s="1"/>
  <c r="X103" i="158" s="1"/>
  <c r="L76" i="160"/>
  <c r="U64" i="158"/>
  <c r="V64" i="158"/>
  <c r="Y64" i="158"/>
  <c r="J77" i="160"/>
  <c r="T65" i="158"/>
  <c r="W65" i="158" s="1"/>
  <c r="X65" i="158" s="1"/>
  <c r="I72" i="159"/>
  <c r="W72" i="159" s="1"/>
  <c r="U68" i="158"/>
  <c r="V68" i="158"/>
  <c r="Y68" i="158"/>
  <c r="J81" i="160"/>
  <c r="T69" i="158"/>
  <c r="W69" i="158" s="1"/>
  <c r="X69" i="158" s="1"/>
  <c r="L84" i="160"/>
  <c r="U72" i="158"/>
  <c r="V72" i="158"/>
  <c r="Y72" i="158"/>
  <c r="F77" i="159"/>
  <c r="T73" i="158"/>
  <c r="W73" i="158" s="1"/>
  <c r="X73" i="158" s="1"/>
  <c r="I80" i="159"/>
  <c r="W80" i="159" s="1"/>
  <c r="X80" i="159" s="1"/>
  <c r="U76" i="158"/>
  <c r="V76" i="158"/>
  <c r="Y76" i="158"/>
  <c r="J89" i="160"/>
  <c r="T77" i="158"/>
  <c r="W77" i="158" s="1"/>
  <c r="X77" i="158" s="1"/>
  <c r="U80" i="158"/>
  <c r="V80" i="158"/>
  <c r="Y80" i="158"/>
  <c r="U84" i="158"/>
  <c r="V84" i="158"/>
  <c r="Y84" i="158"/>
  <c r="U88" i="158"/>
  <c r="V88" i="158"/>
  <c r="Y88" i="158"/>
  <c r="U92" i="158"/>
  <c r="Y92" i="158"/>
  <c r="V92" i="158"/>
  <c r="U96" i="158"/>
  <c r="V96" i="158"/>
  <c r="Y96" i="158"/>
  <c r="U100" i="158"/>
  <c r="V100" i="158"/>
  <c r="Y100" i="158"/>
  <c r="I62" i="159"/>
  <c r="W62" i="159" s="1"/>
  <c r="X62" i="159" s="1"/>
  <c r="U58" i="158"/>
  <c r="V58" i="158"/>
  <c r="Y58" i="158"/>
  <c r="L86" i="160"/>
  <c r="U74" i="158"/>
  <c r="V74" i="158"/>
  <c r="Y74" i="158"/>
  <c r="U60" i="158"/>
  <c r="V60" i="158"/>
  <c r="Y60" i="158"/>
  <c r="J73" i="160"/>
  <c r="T61" i="158"/>
  <c r="W61" i="158" s="1"/>
  <c r="X61" i="158" s="1"/>
  <c r="L54" i="158"/>
  <c r="M54" i="158" s="1"/>
  <c r="P58" i="159" s="1"/>
  <c r="U54" i="158"/>
  <c r="V54" i="158"/>
  <c r="Y54" i="158"/>
  <c r="L62" i="158"/>
  <c r="M62" i="158" s="1"/>
  <c r="P66" i="159" s="1"/>
  <c r="U62" i="158"/>
  <c r="V62" i="158"/>
  <c r="Y62" i="158"/>
  <c r="I70" i="159"/>
  <c r="W70" i="159" s="1"/>
  <c r="U66" i="158"/>
  <c r="V66" i="158"/>
  <c r="Y66" i="158"/>
  <c r="I74" i="159"/>
  <c r="W74" i="159" s="1"/>
  <c r="X74" i="159" s="1"/>
  <c r="Y74" i="159" s="1"/>
  <c r="U70" i="158"/>
  <c r="V70" i="158"/>
  <c r="Y70" i="158"/>
  <c r="I61" i="159"/>
  <c r="W61" i="159" s="1"/>
  <c r="U57" i="158"/>
  <c r="Y57" i="158"/>
  <c r="V57" i="158"/>
  <c r="J70" i="160"/>
  <c r="T58" i="158"/>
  <c r="W58" i="158" s="1"/>
  <c r="X58" i="158" s="1"/>
  <c r="L73" i="160"/>
  <c r="U61" i="158"/>
  <c r="Y61" i="158"/>
  <c r="V61" i="158"/>
  <c r="F66" i="159"/>
  <c r="T62" i="158"/>
  <c r="W62" i="158" s="1"/>
  <c r="X62" i="158" s="1"/>
  <c r="I69" i="159"/>
  <c r="W69" i="159" s="1"/>
  <c r="X69" i="159" s="1"/>
  <c r="U65" i="158"/>
  <c r="Y65" i="158"/>
  <c r="V65" i="158"/>
  <c r="T66" i="158"/>
  <c r="W66" i="158" s="1"/>
  <c r="X66" i="158" s="1"/>
  <c r="L81" i="160"/>
  <c r="M81" i="160" s="1"/>
  <c r="U69" i="158"/>
  <c r="Y69" i="158"/>
  <c r="V69" i="158"/>
  <c r="F74" i="159"/>
  <c r="T70" i="158"/>
  <c r="W70" i="158" s="1"/>
  <c r="X70" i="158" s="1"/>
  <c r="U73" i="158"/>
  <c r="Y73" i="158"/>
  <c r="V73" i="158"/>
  <c r="T74" i="158"/>
  <c r="W74" i="158" s="1"/>
  <c r="X74" i="158" s="1"/>
  <c r="L89" i="160"/>
  <c r="U77" i="158"/>
  <c r="V77" i="158"/>
  <c r="Y77" i="158"/>
  <c r="T78" i="158"/>
  <c r="W78" i="158" s="1"/>
  <c r="X78" i="158" s="1"/>
  <c r="U81" i="158"/>
  <c r="Y81" i="158"/>
  <c r="V81" i="158"/>
  <c r="T82" i="158"/>
  <c r="W82" i="158" s="1"/>
  <c r="X82" i="158" s="1"/>
  <c r="L97" i="160"/>
  <c r="U85" i="158"/>
  <c r="Y85" i="158"/>
  <c r="V85" i="158"/>
  <c r="T86" i="158"/>
  <c r="W86" i="158" s="1"/>
  <c r="X86" i="158" s="1"/>
  <c r="U89" i="158"/>
  <c r="Y89" i="158"/>
  <c r="V89" i="158"/>
  <c r="T90" i="158"/>
  <c r="W90" i="158" s="1"/>
  <c r="X90" i="158" s="1"/>
  <c r="U93" i="158"/>
  <c r="Y93" i="158"/>
  <c r="V93" i="158"/>
  <c r="T94" i="158"/>
  <c r="W94" i="158" s="1"/>
  <c r="X94" i="158" s="1"/>
  <c r="U97" i="158"/>
  <c r="Y97" i="158"/>
  <c r="V97" i="158"/>
  <c r="T98" i="158"/>
  <c r="W98" i="158" s="1"/>
  <c r="X98" i="158" s="1"/>
  <c r="I105" i="159"/>
  <c r="W105" i="159" s="1"/>
  <c r="U101" i="158"/>
  <c r="Y101" i="158"/>
  <c r="V101" i="158"/>
  <c r="T102" i="158"/>
  <c r="W102" i="158" s="1"/>
  <c r="X102" i="158" s="1"/>
  <c r="I60" i="159"/>
  <c r="W60" i="159" s="1"/>
  <c r="U56" i="158"/>
  <c r="V56" i="158"/>
  <c r="Y56" i="158"/>
  <c r="F58" i="159"/>
  <c r="T54" i="158"/>
  <c r="W54" i="158" s="1"/>
  <c r="X54" i="158" s="1"/>
  <c r="F91" i="159"/>
  <c r="T87" i="158"/>
  <c r="W87" i="158" s="1"/>
  <c r="X87" i="158" s="1"/>
  <c r="I94" i="159"/>
  <c r="W94" i="159" s="1"/>
  <c r="U90" i="158"/>
  <c r="V90" i="158"/>
  <c r="Y90" i="158"/>
  <c r="I102" i="159"/>
  <c r="W102" i="159" s="1"/>
  <c r="X102" i="159" s="1"/>
  <c r="Y102" i="159" s="1"/>
  <c r="U98" i="158"/>
  <c r="V98" i="158"/>
  <c r="Y98" i="158"/>
  <c r="F83" i="159"/>
  <c r="T79" i="158"/>
  <c r="W79" i="158" s="1"/>
  <c r="X79" i="158" s="1"/>
  <c r="F87" i="159"/>
  <c r="T83" i="158"/>
  <c r="W83" i="158" s="1"/>
  <c r="X83" i="158" s="1"/>
  <c r="L106" i="160"/>
  <c r="U94" i="158"/>
  <c r="V94" i="158"/>
  <c r="Y94" i="158"/>
  <c r="F99" i="159"/>
  <c r="T95" i="158"/>
  <c r="W95" i="158" s="1"/>
  <c r="X95" i="158" s="1"/>
  <c r="L114" i="160"/>
  <c r="U102" i="158"/>
  <c r="V102" i="158"/>
  <c r="Y102" i="158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D88" i="159"/>
  <c r="D96" i="160"/>
  <c r="G98" i="159"/>
  <c r="K106" i="160"/>
  <c r="G111" i="160"/>
  <c r="E103" i="159"/>
  <c r="J64" i="158"/>
  <c r="J76" i="160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70" i="159"/>
  <c r="Y70" i="159" s="1"/>
  <c r="X71" i="159"/>
  <c r="X72" i="159"/>
  <c r="Y72" i="159" s="1"/>
  <c r="X94" i="159"/>
  <c r="Y94" i="159" s="1"/>
  <c r="X105" i="159"/>
  <c r="X86" i="159"/>
  <c r="J55" i="158"/>
  <c r="J68" i="158"/>
  <c r="J76" i="158"/>
  <c r="J84" i="158"/>
  <c r="J92" i="158"/>
  <c r="E53" i="162"/>
  <c r="E56" i="162" s="1"/>
  <c r="B46" i="162"/>
  <c r="E35" i="162"/>
  <c r="E16" i="162"/>
  <c r="M70" i="160" l="1"/>
  <c r="M87" i="160"/>
  <c r="M84" i="160"/>
  <c r="M89" i="160"/>
  <c r="H76" i="159"/>
  <c r="H107" i="159"/>
  <c r="M86" i="160"/>
  <c r="H99" i="159"/>
  <c r="M73" i="160"/>
  <c r="M72" i="160"/>
  <c r="H58" i="159"/>
  <c r="J58" i="159" s="1"/>
  <c r="H66" i="159"/>
  <c r="H83" i="159"/>
  <c r="J83" i="159" s="1"/>
  <c r="M88" i="160"/>
  <c r="M76" i="160"/>
  <c r="H74" i="159"/>
  <c r="J74" i="159" s="1"/>
  <c r="AD74" i="159" s="1"/>
  <c r="H91" i="159"/>
  <c r="H87" i="159"/>
  <c r="J87" i="159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AJ74" i="159" l="1"/>
  <c r="AK74" i="159"/>
  <c r="AM74" i="159"/>
  <c r="K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53" i="158" l="1"/>
  <c r="Y53" i="158"/>
  <c r="V53" i="158"/>
  <c r="J59" i="160"/>
  <c r="T47" i="158"/>
  <c r="W47" i="158" s="1"/>
  <c r="X47" i="158" s="1"/>
  <c r="U45" i="158"/>
  <c r="V45" i="158"/>
  <c r="Y45" i="158"/>
  <c r="J62" i="160"/>
  <c r="T50" i="158"/>
  <c r="W50" i="158" s="1"/>
  <c r="X50" i="158" s="1"/>
  <c r="U48" i="158"/>
  <c r="V48" i="158"/>
  <c r="Y48" i="158"/>
  <c r="J54" i="160"/>
  <c r="T42" i="158"/>
  <c r="W42" i="158" s="1"/>
  <c r="X42" i="158" s="1"/>
  <c r="J65" i="160"/>
  <c r="T53" i="158"/>
  <c r="W53" i="158" s="1"/>
  <c r="X53" i="158" s="1"/>
  <c r="U51" i="158"/>
  <c r="V51" i="158"/>
  <c r="Y51" i="158"/>
  <c r="J57" i="160"/>
  <c r="T45" i="158"/>
  <c r="W45" i="158" s="1"/>
  <c r="X45" i="158" s="1"/>
  <c r="U43" i="158"/>
  <c r="V43" i="158"/>
  <c r="Y43" i="158"/>
  <c r="J60" i="160"/>
  <c r="T48" i="158"/>
  <c r="W48" i="158" s="1"/>
  <c r="X48" i="158" s="1"/>
  <c r="U46" i="158"/>
  <c r="V46" i="158"/>
  <c r="Y46" i="158"/>
  <c r="J63" i="160"/>
  <c r="T51" i="158"/>
  <c r="W51" i="158" s="1"/>
  <c r="X51" i="158" s="1"/>
  <c r="U49" i="158"/>
  <c r="Y49" i="158"/>
  <c r="V49" i="158"/>
  <c r="J55" i="160"/>
  <c r="T43" i="158"/>
  <c r="W43" i="158" s="1"/>
  <c r="X43" i="158" s="1"/>
  <c r="U41" i="158"/>
  <c r="Y41" i="158"/>
  <c r="V41" i="158"/>
  <c r="U52" i="158"/>
  <c r="V52" i="158"/>
  <c r="Y52" i="158"/>
  <c r="J58" i="160"/>
  <c r="T46" i="158"/>
  <c r="W46" i="158" s="1"/>
  <c r="X46" i="158" s="1"/>
  <c r="U44" i="158"/>
  <c r="V44" i="158"/>
  <c r="Y44" i="158"/>
  <c r="J61" i="160"/>
  <c r="T49" i="158"/>
  <c r="W49" i="158" s="1"/>
  <c r="X49" i="158" s="1"/>
  <c r="U47" i="158"/>
  <c r="V47" i="158"/>
  <c r="Y47" i="158"/>
  <c r="J53" i="160"/>
  <c r="T41" i="158"/>
  <c r="W41" i="158" s="1"/>
  <c r="X41" i="158" s="1"/>
  <c r="J64" i="160"/>
  <c r="T52" i="158"/>
  <c r="W52" i="158" s="1"/>
  <c r="X52" i="158" s="1"/>
  <c r="U50" i="158"/>
  <c r="V50" i="158"/>
  <c r="Y50" i="158"/>
  <c r="J56" i="160"/>
  <c r="T44" i="158"/>
  <c r="W44" i="158" s="1"/>
  <c r="X44" i="158" s="1"/>
  <c r="U42" i="158"/>
  <c r="V42" i="158"/>
  <c r="Y42" i="158"/>
  <c r="U16" i="158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L44" i="158"/>
  <c r="M44" i="158" s="1"/>
  <c r="P48" i="159" s="1"/>
  <c r="Q48" i="159" s="1"/>
  <c r="L56" i="160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53" i="160" l="1"/>
  <c r="M52" i="160"/>
  <c r="M61" i="160"/>
  <c r="M56" i="160"/>
  <c r="M25" i="160"/>
  <c r="M65" i="160"/>
  <c r="AH48" i="159"/>
  <c r="M64" i="160"/>
  <c r="M42" i="160"/>
  <c r="M38" i="160"/>
  <c r="M37" i="160"/>
  <c r="AH29" i="159"/>
  <c r="AH32" i="159"/>
  <c r="AH40" i="159"/>
  <c r="AH45" i="159"/>
  <c r="AH50" i="159"/>
  <c r="AH53" i="159"/>
  <c r="AH47" i="159"/>
  <c r="AH27" i="159"/>
  <c r="AH30" i="159"/>
  <c r="AH35" i="159"/>
  <c r="AH38" i="159"/>
  <c r="AH43" i="159"/>
  <c r="AH46" i="159"/>
  <c r="AH54" i="159"/>
  <c r="AH57" i="159"/>
  <c r="AH51" i="159"/>
  <c r="AH25" i="159"/>
  <c r="AH28" i="159"/>
  <c r="AH33" i="159"/>
  <c r="AH36" i="159"/>
  <c r="AH41" i="159"/>
  <c r="AH44" i="159"/>
  <c r="AH9" i="159"/>
  <c r="AH31" i="159"/>
  <c r="AH52" i="159"/>
  <c r="AH55" i="159"/>
  <c r="AH49" i="159"/>
  <c r="AH16" i="159"/>
  <c r="AH18" i="159"/>
  <c r="AH26" i="159"/>
  <c r="AH34" i="159"/>
  <c r="AH39" i="159"/>
  <c r="AH42" i="159"/>
  <c r="AH37" i="159"/>
  <c r="AH56" i="159"/>
  <c r="AH24" i="159"/>
  <c r="AH23" i="159"/>
  <c r="M31" i="160"/>
  <c r="AH22" i="159"/>
  <c r="M30" i="160"/>
  <c r="AH21" i="159"/>
  <c r="AH20" i="159"/>
  <c r="AH19" i="159"/>
  <c r="M26" i="160"/>
  <c r="AH17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AS81" i="159"/>
  <c r="AT81" i="159" s="1"/>
  <c r="AU81" i="159" s="1"/>
  <c r="AZ81" i="159" s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T25" i="159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<sst xmlns="http://schemas.openxmlformats.org/spreadsheetml/2006/main" count="2079" uniqueCount="472">
  <si>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</si>
  <si>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</si>
  <si>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</si>
  <si>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</si>
  <si>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</si>
  <si>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</si>
  <si>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</si>
  <si>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</si>
  <si>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</si>
  <si>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</si>
  <si>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</si>
  <si>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</si>
  <si>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</si>
  <si>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</si>
  <si>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</si>
  <si>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</si>
  <si>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</si>
  <si>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</si>
  <si>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</si>
  <si>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</si>
  <si>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</si>
  <si>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</si>
  <si>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</si>
  <si>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</si>
  <si>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</si>
  <si>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</si>
  <si>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</si>
  <si>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</si>
  <si>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</si>
  <si>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</si>
  <si>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</si>
  <si>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</si>
  <si>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</si>
  <si>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</si>
  <si>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</si>
  <si>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</si>
  <si>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</si>
  <si>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</si>
  <si>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</si>
  <si>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</si>
  <si>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</si>
  <si>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</si>
  <si>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</si>
  <si>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</si>
  <si>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</si>
  <si>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</si>
  <si>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</si>
  <si>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</si>
  <si>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</si>
  <si>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</si>
  <si>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</si>
  <si>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</si>
  <si>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</si>
  <si>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</si>
  <si>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</si>
  <si>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</si>
  <si>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</si>
  <si>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</si>
  <si>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</si>
  <si>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</si>
  <si>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</si>
  <si>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</si>
  <si>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</si>
  <si>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</si>
  <si>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</si>
  <si>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</si>
  <si>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</si>
  <si>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</si>
  <si>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</si>
  <si>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</si>
  <si>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</si>
  <si>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</si>
  <si>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</si>
  <si>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</si>
  <si>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</si>
  <si>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</si>
  <si>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</si>
  <si>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</si>
  <si>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</si>
  <si>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</si>
  <si>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</si>
  <si>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</si>
  <si>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</si>
  <si>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</si>
  <si>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</si>
  <si>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</si>
  <si>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</si>
  <si>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</si>
  <si>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</si>
  <si>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</si>
  <si>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</si>
  <si>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</si>
  <si>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</si>
  <si>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</si>
  <si>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</si>
  <si>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</si>
  <si>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</si>
  <si>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</si>
  <si>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</si>
  <si>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</si>
  <si>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</si>
  <si>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</si>
  <si>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</si>
  <si>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</si>
  <si>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</si>
  <si>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</si>
  <si>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</si>
  <si>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</si>
  <si>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</si>
  <si>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</si>
  <si>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</si>
  <si>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</si>
  <si>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</si>
  <si>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</si>
  <si>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</si>
  <si>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</si>
  <si>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</si>
  <si>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</si>
  <si>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</si>
  <si>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</si>
  <si>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</si>
  <si>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</si>
  <si>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</si>
  <si>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</si>
  <si>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</si>
  <si>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</si>
  <si>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</si>
  <si>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</si>
  <si>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</si>
  <si>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</si>
  <si>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</si>
  <si>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</si>
  <si>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</si>
  <si>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</si>
  <si>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</si>
  <si>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</si>
  <si>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</si>
  <si>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</si>
  <si>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</si>
  <si>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</si>
  <si>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</si>
  <si>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</si>
  <si>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</si>
  <si>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</si>
  <si>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</si>
  <si>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</si>
  <si>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</si>
  <si>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</si>
  <si>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</si>
  <si>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</si>
  <si>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</si>
  <si>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</si>
  <si>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</si>
  <si>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</si>
  <si>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</si>
  <si>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</si>
  <si>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</si>
  <si>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</si>
  <si>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</si>
  <si>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</si>
  <si>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</si>
  <si>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</si>
  <si>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</si>
  <si>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</si>
  <si>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</si>
  <si>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</si>
  <si>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</si>
  <si>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</si>
  <si>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</si>
  <si>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</si>
  <si>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</si>
  <si>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</si>
  <si>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</si>
  <si>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</si>
  <si>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</si>
  <si>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</si>
  <si>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</si>
  <si>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</si>
  <si>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</si>
  <si>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</si>
  <si>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</si>
  <si>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</si>
  <si>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</si>
  <si>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</si>
  <si>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</si>
  <si>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</si>
  <si>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</si>
  <si>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</si>
  <si>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</si>
  <si>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</si>
  <si>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</si>
  <si>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</si>
  <si>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</si>
  <si>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</si>
  <si>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</si>
  <si>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</si>
  <si>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</si>
  <si>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</si>
  <si>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</si>
  <si>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</si>
  <si>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</si>
  <si>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</si>
  <si>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</si>
  <si>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</si>
  <si>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</si>
  <si>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</si>
  <si>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</si>
  <si>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</si>
  <si>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</si>
  <si>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</si>
  <si>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</si>
  <si>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</si>
  <si>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</si>
  <si>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</si>
  <si>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</si>
  <si>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</si>
  <si>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</si>
  <si>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</si>
  <si>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</si>
  <si>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</si>
  <si>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</si>
  <si>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</si>
  <si>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</si>
  <si>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</si>
  <si>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</si>
  <si>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</si>
  <si>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</si>
  <si>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</si>
  <si>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</si>
  <si>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</si>
  <si>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</si>
  <si>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</si>
  <si>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</si>
  <si>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</si>
  <si>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</si>
  <si>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</si>
  <si>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</si>
  <si>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</si>
  <si>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</si>
  <si>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</si>
  <si>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</si>
  <si>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</si>
  <si>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</si>
  <si>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</si>
  <si>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</si>
  <si>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</si>
  <si>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</si>
  <si>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</si>
  <si>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</si>
  <si>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</si>
  <si>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</si>
  <si>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</si>
  <si>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</si>
  <si>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</si>
  <si>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</si>
  <si>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</si>
  <si>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</si>
  <si>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</si>
  <si>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</si>
  <si>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</si>
  <si>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</si>
  <si>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</si>
  <si>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</si>
  <si>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</si>
  <si>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</si>
  <si>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</si>
  <si>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</si>
  <si>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</si>
  <si>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</si>
  <si>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</si>
  <si>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</si>
  <si>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</si>
  <si>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</si>
  <si>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</si>
  <si>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</si>
  <si>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</si>
  <si>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</si>
  <si>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</si>
  <si>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</si>
  <si>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</si>
  <si>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</si>
  <si>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</si>
  <si>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</si>
  <si>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</si>
  <si>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</si>
  <si>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</si>
  <si>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</si>
  <si>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</si>
  <si>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</si>
  <si>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</si>
  <si>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</si>
  <si>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</si>
  <si>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</si>
  <si>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</si>
  <si>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</si>
  <si>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</si>
  <si>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</si>
  <si>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</si>
  <si>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</si>
  <si>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</si>
  <si>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</si>
  <si>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</si>
  <si>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</si>
  <si>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</si>
  <si>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</si>
  <si>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</si>
  <si>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</si>
  <si>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</si>
  <si>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</si>
  <si>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</si>
  <si>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</si>
  <si>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</si>
  <si>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</si>
  <si>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</si>
  <si>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</si>
  <si>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</si>
  <si>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</si>
  <si>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</si>
  <si>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</si>
  <si>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</si>
  <si>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</si>
  <si>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</si>
  <si>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</si>
  <si>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</si>
  <si>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</si>
  <si>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</si>
  <si>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</si>
  <si>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</si>
  <si>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</si>
  <si>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</si>
  <si>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</si>
  <si>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</si>
  <si>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</si>
  <si>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</si>
  <si>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</si>
  <si>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</si>
  <si>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</si>
  <si>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</si>
  <si>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</si>
  <si>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</si>
  <si>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</si>
  <si>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</si>
  <si>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</si>
  <si>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</si>
  <si>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</si>
  <si>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</si>
  <si>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</si>
  <si>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</si>
  <si>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</si>
  <si>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</si>
  <si>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</si>
  <si>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</si>
  <si>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</si>
  <si>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</si>
  <si>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</si>
  <si>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</si>
  <si>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</si>
  <si>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</si>
  <si>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</si>
  <si>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</si>
  <si>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</si>
  <si>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</si>
  <si>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</si>
  <si>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</si>
  <si>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</si>
  <si>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</si>
  <si>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</si>
  <si>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</si>
  <si>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</si>
  <si>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</si>
  <si>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</si>
  <si>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</si>
  <si>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</si>
  <si>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</si>
  <si>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</si>
  <si>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</si>
  <si>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</si>
  <si>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</si>
  <si>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</si>
  <si>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</si>
  <si>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</si>
  <si>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</si>
  <si>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</si>
  <si>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</si>
  <si>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</si>
  <si>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</si>
  <si>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</si>
  <si>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</si>
  <si>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</si>
  <si>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</si>
  <si>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</si>
  <si>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</si>
  <si>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</si>
  <si>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</si>
  <si>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</si>
  <si>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</si>
  <si>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</si>
  <si>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</si>
  <si>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</si>
  <si>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</si>
  <si>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</si>
  <si>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</si>
  <si>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</si>
  <si>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</si>
  <si>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</si>
  <si>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</si>
  <si>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</si>
  <si>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</si>
  <si>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</si>
  <si>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</si>
  <si>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</si>
  <si>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</si>
  <si>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</si>
  <si>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</si>
  <si>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</si>
  <si>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</si>
  <si>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</si>
  <si>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</si>
  <si>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</si>
  <si>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</si>
  <si>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Rachana : 9154030271</t>
  </si>
  <si>
    <t>Mr. Hari Prasad</t>
  </si>
  <si>
    <t>Hyderabad</t>
  </si>
  <si>
    <t>Anodized</t>
  </si>
  <si>
    <t>ABPL-DE-19.20-2141</t>
  </si>
  <si>
    <t>M15000</t>
  </si>
  <si>
    <t>FRENCH DOOR WITH FIXED GLASS</t>
  </si>
  <si>
    <t>RETRACTABLE</t>
  </si>
  <si>
    <t>NA</t>
  </si>
  <si>
    <t>M14600</t>
  </si>
  <si>
    <t>3 TRACK 2 SHUTTER SLIDING DOOR</t>
  </si>
  <si>
    <t>SS</t>
  </si>
  <si>
    <t>FRENCH DOOR</t>
  </si>
  <si>
    <t>DA-LH-4TH-P</t>
  </si>
  <si>
    <t>SIDE HUNG DOOR</t>
  </si>
  <si>
    <t>NO</t>
  </si>
  <si>
    <t>D1A-4TH-P</t>
  </si>
  <si>
    <t>D1A-LH-4TH-P</t>
  </si>
  <si>
    <t>3 TRACK 4 SHUTTER SLIDING DOOR</t>
  </si>
  <si>
    <t>M900</t>
  </si>
  <si>
    <t>3 TRACK 2 SHUTTER SLIDING WINDOW</t>
  </si>
  <si>
    <t>20MM</t>
  </si>
  <si>
    <t>M940</t>
  </si>
  <si>
    <t>FIXED GLASS WITH GLASS LOUVERS &amp; EXHAUST FAN PROVISION</t>
  </si>
  <si>
    <t>6MM (F)</t>
  </si>
  <si>
    <t>FIXED GLASS</t>
  </si>
  <si>
    <t>MD-4TH-P</t>
  </si>
  <si>
    <t>FDA-FDB-4TH-P</t>
  </si>
  <si>
    <t>FDB-4TH-P</t>
  </si>
  <si>
    <t>DDA-4TH-P</t>
  </si>
  <si>
    <t>D2A-LH-4TH-P</t>
  </si>
  <si>
    <t>O-LH-4TH-P</t>
  </si>
  <si>
    <t>WA1-4TH-P</t>
  </si>
  <si>
    <t>WA2-4TH-P</t>
  </si>
  <si>
    <t>W1B-4TH-P</t>
  </si>
  <si>
    <t>W2A-4TH-P</t>
  </si>
  <si>
    <t>W3A-4TH-P</t>
  </si>
  <si>
    <t>VENT-VA-4TH-P</t>
  </si>
  <si>
    <t>W4-PUJA-4TH-P</t>
  </si>
  <si>
    <t>FDA-5TH-Q</t>
  </si>
  <si>
    <t>DA-5TH-Q</t>
  </si>
  <si>
    <t>D1A-5TH-Q</t>
  </si>
  <si>
    <t>D2A-5TH-Q</t>
  </si>
  <si>
    <t>WA1-5TH-Q</t>
  </si>
  <si>
    <t>W1B-5TH-Q</t>
  </si>
  <si>
    <t>W2A-5TH-Q</t>
  </si>
  <si>
    <t>W2B-5TH-Q</t>
  </si>
  <si>
    <t>VA-5TH-Q</t>
  </si>
  <si>
    <t>W3B-5TH-Q</t>
  </si>
  <si>
    <t>WA4-5TH-Q</t>
  </si>
  <si>
    <t>20mm :- 5mm Clear Toughened Glass + 10mm Spacer + 5mm Clear Toughened Glass</t>
  </si>
  <si>
    <t>6mm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</si>
</sst>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63619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16564</xdr:colOff>
      <xdr:row>8</xdr:row>
      <xdr:rowOff>82826</xdr:rowOff>
    </xdr:from>
    <xdr:to>
      <xdr:col>7</xdr:col>
      <xdr:colOff>157369</xdr:colOff>
      <xdr:row>16</xdr:row>
      <xdr:rowOff>246713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4" y="1557130"/>
          <a:ext cx="2509631" cy="268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19</xdr:row>
      <xdr:rowOff>57978</xdr:rowOff>
    </xdr:from>
    <xdr:to>
      <xdr:col>7</xdr:col>
      <xdr:colOff>41412</xdr:colOff>
      <xdr:row>27</xdr:row>
      <xdr:rowOff>211066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4845326"/>
          <a:ext cx="2203174" cy="2671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30</xdr:row>
      <xdr:rowOff>82824</xdr:rowOff>
    </xdr:from>
    <xdr:to>
      <xdr:col>6</xdr:col>
      <xdr:colOff>207065</xdr:colOff>
      <xdr:row>38</xdr:row>
      <xdr:rowOff>258439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8183215"/>
          <a:ext cx="1714500" cy="2693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472107</xdr:colOff>
      <xdr:row>41</xdr:row>
      <xdr:rowOff>173933</xdr:rowOff>
    </xdr:from>
    <xdr:to>
      <xdr:col>6</xdr:col>
      <xdr:colOff>82826</xdr:colOff>
      <xdr:row>49</xdr:row>
      <xdr:rowOff>194515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7" y="11587368"/>
          <a:ext cx="1590262" cy="2538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52</xdr:row>
      <xdr:rowOff>91108</xdr:rowOff>
    </xdr:from>
    <xdr:to>
      <xdr:col>5</xdr:col>
      <xdr:colOff>1880153</xdr:colOff>
      <xdr:row>60</xdr:row>
      <xdr:rowOff>165730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2" y="14817586"/>
          <a:ext cx="1366631" cy="2592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495300</xdr:colOff>
      <xdr:row>63</xdr:row>
      <xdr:rowOff>78684</xdr:rowOff>
    </xdr:from>
    <xdr:to>
      <xdr:col>5</xdr:col>
      <xdr:colOff>1789044</xdr:colOff>
      <xdr:row>71</xdr:row>
      <xdr:rowOff>163955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8118206"/>
          <a:ext cx="1293744" cy="26031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463825</xdr:colOff>
      <xdr:row>74</xdr:row>
      <xdr:rowOff>115956</xdr:rowOff>
    </xdr:from>
    <xdr:to>
      <xdr:col>5</xdr:col>
      <xdr:colOff>1747630</xdr:colOff>
      <xdr:row>82</xdr:row>
      <xdr:rowOff>168755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5" y="21468521"/>
          <a:ext cx="1283805" cy="2570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455542</xdr:colOff>
      <xdr:row>85</xdr:row>
      <xdr:rowOff>99392</xdr:rowOff>
    </xdr:from>
    <xdr:to>
      <xdr:col>5</xdr:col>
      <xdr:colOff>1606825</xdr:colOff>
      <xdr:row>93</xdr:row>
      <xdr:rowOff>174993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2" y="24765001"/>
          <a:ext cx="1151283" cy="2593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96</xdr:row>
      <xdr:rowOff>124240</xdr:rowOff>
    </xdr:from>
    <xdr:to>
      <xdr:col>5</xdr:col>
      <xdr:colOff>1557130</xdr:colOff>
      <xdr:row>104</xdr:row>
      <xdr:rowOff>237160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28102892"/>
          <a:ext cx="1167848" cy="2630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265043</xdr:colOff>
      <xdr:row>107</xdr:row>
      <xdr:rowOff>57977</xdr:rowOff>
    </xdr:from>
    <xdr:to>
      <xdr:col>8</xdr:col>
      <xdr:colOff>165652</xdr:colOff>
      <xdr:row>115</xdr:row>
      <xdr:rowOff>233349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31349673"/>
          <a:ext cx="3230218" cy="2693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118</xdr:row>
      <xdr:rowOff>182218</xdr:rowOff>
    </xdr:from>
    <xdr:to>
      <xdr:col>6</xdr:col>
      <xdr:colOff>132522</xdr:colOff>
      <xdr:row>125</xdr:row>
      <xdr:rowOff>314715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34786957"/>
          <a:ext cx="2302566" cy="2335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679172</xdr:colOff>
      <xdr:row>129</xdr:row>
      <xdr:rowOff>198783</xdr:rowOff>
    </xdr:from>
    <xdr:to>
      <xdr:col>5</xdr:col>
      <xdr:colOff>1896716</xdr:colOff>
      <xdr:row>137</xdr:row>
      <xdr:rowOff>169846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3" y="38116566"/>
          <a:ext cx="1913283" cy="248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132522</xdr:colOff>
      <xdr:row>140</xdr:row>
      <xdr:rowOff>124239</xdr:rowOff>
    </xdr:from>
    <xdr:to>
      <xdr:col>6</xdr:col>
      <xdr:colOff>57979</xdr:colOff>
      <xdr:row>148</xdr:row>
      <xdr:rowOff>198932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2" y="41355065"/>
          <a:ext cx="1905000" cy="2592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670891</xdr:colOff>
      <xdr:row>151</xdr:row>
      <xdr:rowOff>240195</xdr:rowOff>
    </xdr:from>
    <xdr:to>
      <xdr:col>5</xdr:col>
      <xdr:colOff>1722783</xdr:colOff>
      <xdr:row>159</xdr:row>
      <xdr:rowOff>12852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2" y="44784065"/>
          <a:ext cx="1747631" cy="2290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115956</xdr:colOff>
      <xdr:row>163</xdr:row>
      <xdr:rowOff>99391</xdr:rowOff>
    </xdr:from>
    <xdr:to>
      <xdr:col>8</xdr:col>
      <xdr:colOff>422413</xdr:colOff>
      <xdr:row>169</xdr:row>
      <xdr:rowOff>35733</xdr:rowOff>
    </xdr:to>
    <xdr:grpSp>
      <xdr:nvGrpSpPr>
        <xdr:cNvPr id="22" name="Group 21"/>
        <xdr:cNvGrpSpPr/>
      </xdr:nvGrpSpPr>
      <xdr:grpSpPr>
        <a:xfrm>
          <a:off x="2468217" y="48271043"/>
          <a:ext cx="3636066" cy="1824777"/>
          <a:chOff x="2468217" y="48271043"/>
          <a:chExt cx="3636066" cy="1824777"/>
        </a:xfrm>
      </xdr:grpSpPr>
      <xdr:pic>
        <xdr:nvPicPr>
          <xdr:cNvPr id="16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68217" y="48271043"/>
            <a:ext cx="3636066" cy="182477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8" name="Straight Connector 17"/>
          <xdr:cNvCxnSpPr/>
        </xdr:nvCxnSpPr>
        <xdr:spPr>
          <a:xfrm>
            <a:off x="3205370" y="48710022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3205370" y="48792848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205370" y="48883957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3205370" y="48975065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124237</xdr:colOff>
      <xdr:row>173</xdr:row>
      <xdr:rowOff>265043</xdr:rowOff>
    </xdr:from>
    <xdr:to>
      <xdr:col>5</xdr:col>
      <xdr:colOff>1432890</xdr:colOff>
      <xdr:row>181</xdr:row>
      <xdr:rowOff>57486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7" y="51435000"/>
          <a:ext cx="1308653" cy="2310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184</xdr:row>
      <xdr:rowOff>74543</xdr:rowOff>
    </xdr:from>
    <xdr:to>
      <xdr:col>6</xdr:col>
      <xdr:colOff>82826</xdr:colOff>
      <xdr:row>192</xdr:row>
      <xdr:rowOff>147300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54557543"/>
          <a:ext cx="2136913" cy="2590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195</xdr:row>
      <xdr:rowOff>173935</xdr:rowOff>
    </xdr:from>
    <xdr:to>
      <xdr:col>5</xdr:col>
      <xdr:colOff>1631674</xdr:colOff>
      <xdr:row>203</xdr:row>
      <xdr:rowOff>201419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57969978"/>
          <a:ext cx="1341783" cy="2545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356151</xdr:colOff>
      <xdr:row>206</xdr:row>
      <xdr:rowOff>107674</xdr:rowOff>
    </xdr:from>
    <xdr:to>
      <xdr:col>5</xdr:col>
      <xdr:colOff>1648238</xdr:colOff>
      <xdr:row>214</xdr:row>
      <xdr:rowOff>177055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1" y="61216761"/>
          <a:ext cx="1292087" cy="2587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389281</xdr:colOff>
      <xdr:row>217</xdr:row>
      <xdr:rowOff>115956</xdr:rowOff>
    </xdr:from>
    <xdr:to>
      <xdr:col>5</xdr:col>
      <xdr:colOff>1515716</xdr:colOff>
      <xdr:row>225</xdr:row>
      <xdr:rowOff>135584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1" y="64538086"/>
          <a:ext cx="1126435" cy="253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99390</xdr:colOff>
      <xdr:row>228</xdr:row>
      <xdr:rowOff>132521</xdr:rowOff>
    </xdr:from>
    <xdr:to>
      <xdr:col>7</xdr:col>
      <xdr:colOff>165652</xdr:colOff>
      <xdr:row>236</xdr:row>
      <xdr:rowOff>225023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1" y="67867695"/>
          <a:ext cx="3130827" cy="2610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</xdr:colOff>
      <xdr:row>239</xdr:row>
      <xdr:rowOff>256761</xdr:rowOff>
    </xdr:from>
    <xdr:to>
      <xdr:col>5</xdr:col>
      <xdr:colOff>1938130</xdr:colOff>
      <xdr:row>247</xdr:row>
      <xdr:rowOff>206278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2" y="71304978"/>
          <a:ext cx="1896718" cy="2467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687455</xdr:colOff>
      <xdr:row>250</xdr:row>
      <xdr:rowOff>115957</xdr:rowOff>
    </xdr:from>
    <xdr:to>
      <xdr:col>5</xdr:col>
      <xdr:colOff>1954695</xdr:colOff>
      <xdr:row>258</xdr:row>
      <xdr:rowOff>269556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6" y="74477218"/>
          <a:ext cx="1962979" cy="267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124238</xdr:colOff>
      <xdr:row>261</xdr:row>
      <xdr:rowOff>140804</xdr:rowOff>
    </xdr:from>
    <xdr:to>
      <xdr:col>5</xdr:col>
      <xdr:colOff>1789043</xdr:colOff>
      <xdr:row>269</xdr:row>
      <xdr:rowOff>168137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8" y="77815108"/>
          <a:ext cx="1664805" cy="25452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298173</xdr:colOff>
      <xdr:row>273</xdr:row>
      <xdr:rowOff>74543</xdr:rowOff>
    </xdr:from>
    <xdr:to>
      <xdr:col>9</xdr:col>
      <xdr:colOff>16565</xdr:colOff>
      <xdr:row>279</xdr:row>
      <xdr:rowOff>10885</xdr:rowOff>
    </xdr:to>
    <xdr:grpSp>
      <xdr:nvGrpSpPr>
        <xdr:cNvPr id="32" name="Group 31"/>
        <xdr:cNvGrpSpPr/>
      </xdr:nvGrpSpPr>
      <xdr:grpSpPr>
        <a:xfrm>
          <a:off x="2650434" y="81376630"/>
          <a:ext cx="3636066" cy="1824777"/>
          <a:chOff x="2468217" y="48271043"/>
          <a:chExt cx="3636066" cy="1824777"/>
        </a:xfrm>
      </xdr:grpSpPr>
      <xdr:pic>
        <xdr:nvPicPr>
          <xdr:cNvPr id="33" name="Picture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68217" y="48271043"/>
            <a:ext cx="3636066" cy="182477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34" name="Straight Connector 33"/>
          <xdr:cNvCxnSpPr/>
        </xdr:nvCxnSpPr>
        <xdr:spPr>
          <a:xfrm>
            <a:off x="3205370" y="48710022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3205370" y="48792848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3205370" y="48883957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>
            <a:off x="3205370" y="48975065"/>
            <a:ext cx="66260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521804</xdr:colOff>
      <xdr:row>283</xdr:row>
      <xdr:rowOff>149087</xdr:rowOff>
    </xdr:from>
    <xdr:to>
      <xdr:col>5</xdr:col>
      <xdr:colOff>1623391</xdr:colOff>
      <xdr:row>291</xdr:row>
      <xdr:rowOff>225962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4" y="84449478"/>
          <a:ext cx="1101587" cy="2594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294</xdr:row>
      <xdr:rowOff>82825</xdr:rowOff>
    </xdr:from>
    <xdr:to>
      <xdr:col>6</xdr:col>
      <xdr:colOff>99392</xdr:colOff>
      <xdr:row>302</xdr:row>
      <xdr:rowOff>256611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87696260"/>
          <a:ext cx="2020957" cy="2691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9" sqref="C9:K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ABPL-DE-19.20-2141</v>
      </c>
      <c r="O2" s="540"/>
      <c r="P2" s="219" t="s">
        <v>257</v>
      </c>
    </row>
    <row r="3" spans="2:16">
      <c r="B3" s="218"/>
      <c r="C3" s="539" t="s">
        <v>126</v>
      </c>
      <c r="D3" s="539"/>
      <c r="E3" s="539"/>
      <c r="F3" s="540" t="str">
        <f>QUOTATION!F7</f>
        <v>Mr. Hari Prasad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43680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43680</v>
      </c>
    </row>
    <row r="5" spans="2:16">
      <c r="B5" s="218"/>
      <c r="C5" s="539" t="s">
        <v>169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1" t="s">
        <v>178</v>
      </c>
      <c r="J6" s="541"/>
      <c r="K6" s="540" t="str">
        <f>QUOTATION!I10</f>
        <v>Silver</v>
      </c>
      <c r="L6" s="540"/>
      <c r="M6" s="320" t="s">
        <v>375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MD-4TH-P</v>
      </c>
      <c r="F8" s="288" t="s">
        <v>255</v>
      </c>
      <c r="G8" s="540" t="str">
        <f>'BD Team'!D9</f>
        <v>FRENCH DOOR WITH FIXED GLASS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NA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2440 X 2440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RETRACTABLE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FDA-FDB-4TH-P</v>
      </c>
      <c r="F19" s="288" t="s">
        <v>255</v>
      </c>
      <c r="G19" s="540" t="str">
        <f>'BD Team'!D10</f>
        <v>3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NA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2440 X 2440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 t="str">
        <f>'BD Team'!B11</f>
        <v>FDB-4TH-P</v>
      </c>
      <c r="F30" s="288" t="s">
        <v>255</v>
      </c>
      <c r="G30" s="540" t="str">
        <f>'BD Team'!D11</f>
        <v>3 TRACK 2 SHUTTER SLIDING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NA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>1830 X 2440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 t="str">
        <f>'BD Team'!C11</f>
        <v>M14600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 t="str">
        <f>'BD Team'!B12</f>
        <v>DDA-4TH-P</v>
      </c>
      <c r="F41" s="288" t="s">
        <v>255</v>
      </c>
      <c r="G41" s="540" t="str">
        <f>'BD Team'!D12</f>
        <v>FRENCH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NA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>1372 X 2440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 t="str">
        <f>'BD Team'!F12</f>
        <v>RETRACTABLE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 t="str">
        <f>'BD Team'!B13</f>
        <v>DA-LH-4TH-P</v>
      </c>
      <c r="F52" s="288" t="s">
        <v>255</v>
      </c>
      <c r="G52" s="540" t="str">
        <f>'BD Team'!D13</f>
        <v>SIDE HUNG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NA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>1068 X 2440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 t="str">
        <f>'BD Team'!C13</f>
        <v>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 t="str">
        <f>'BD Team'!F13</f>
        <v>NO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 t="str">
        <f>'BD Team'!B14</f>
        <v>D1A-4TH-P</v>
      </c>
      <c r="F63" s="288" t="s">
        <v>255</v>
      </c>
      <c r="G63" s="540" t="str">
        <f>'BD Team'!D14</f>
        <v>SIDE HUNG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NA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>992 X 2440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2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 t="str">
        <f>'BD Team'!E14</f>
        <v>24MM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 t="str">
        <f>'BD Team'!B15</f>
        <v>D1A-LH-4TH-P</v>
      </c>
      <c r="F74" s="288" t="s">
        <v>255</v>
      </c>
      <c r="G74" s="540" t="str">
        <f>'BD Team'!D15</f>
        <v>SIDE HUNG DOOR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NA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>992 X 2440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 t="str">
        <f>'BD Team'!B16</f>
        <v>D2A-LH-4TH-P</v>
      </c>
      <c r="F85" s="288" t="s">
        <v>255</v>
      </c>
      <c r="G85" s="540" t="str">
        <f>'BD Team'!D16</f>
        <v>SIDE HUNG DOOR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NA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>840 X 2440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5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 t="str">
        <f>'BD Team'!E16</f>
        <v>24MM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 t="str">
        <f>'BD Team'!B17</f>
        <v>O-LH-4TH-P</v>
      </c>
      <c r="F96" s="288" t="s">
        <v>255</v>
      </c>
      <c r="G96" s="540" t="str">
        <f>'BD Team'!D17</f>
        <v>SIDE HUNG DOOR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NA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>840 X 2440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 t="str">
        <f>'BD Team'!E17</f>
        <v>24MM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 t="str">
        <f>'BD Team'!B18</f>
        <v>WA1-4TH-P</v>
      </c>
      <c r="F107" s="288" t="s">
        <v>255</v>
      </c>
      <c r="G107" s="540" t="str">
        <f>'BD Team'!D18</f>
        <v>3 TRACK 4 SHUTTER SLIDING DOOR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NA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>3658 X 2440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 t="str">
        <f>'BD Team'!E18</f>
        <v>24MM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 t="str">
        <f>'BD Team'!B19</f>
        <v>WA2-4TH-P</v>
      </c>
      <c r="F118" s="288" t="s">
        <v>255</v>
      </c>
      <c r="G118" s="540" t="str">
        <f>'BD Team'!D19</f>
        <v>3 TRACK 2 SHUTTER SLIDING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NA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>2240 X 1830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 t="str">
        <f>'BD Team'!C19</f>
        <v>M900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 t="str">
        <f>'BD Team'!E19</f>
        <v>20MM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 t="str">
        <f>'BD Team'!F19</f>
        <v>SS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 t="str">
        <f>'BD Team'!B20</f>
        <v>W1B-4TH-P</v>
      </c>
      <c r="F129" s="288" t="s">
        <v>255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NA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>1830 X 1982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3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 t="str">
        <f>'BD Team'!C20</f>
        <v>M900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 t="str">
        <f>'BD Team'!E20</f>
        <v>20MM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 t="str">
        <f>'BD Team'!B21</f>
        <v>W2A-4TH-P</v>
      </c>
      <c r="F140" s="288" t="s">
        <v>255</v>
      </c>
      <c r="G140" s="540" t="str">
        <f>'BD Team'!D21</f>
        <v>3 TRACK 2 SHUTTER SLIDING DOOR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NA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>2134 X 2440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2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 t="str">
        <f>'BD Team'!C21</f>
        <v>M14600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 t="str">
        <f>'BD Team'!E21</f>
        <v>24MM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 t="str">
        <f>'BD Team'!B22</f>
        <v>W3A-4TH-P</v>
      </c>
      <c r="F151" s="288" t="s">
        <v>255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NA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>1220 X 1220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2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 t="str">
        <f>'BD Team'!C22</f>
        <v>M900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 t="str">
        <f>'BD Team'!E22</f>
        <v>20MM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 t="str">
        <f>'BD Team'!F22</f>
        <v>SS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254</v>
      </c>
      <c r="D162" s="539"/>
      <c r="E162" s="286" t="str">
        <f>'BD Team'!B23</f>
        <v>VENT-VA-4TH-P</v>
      </c>
      <c r="F162" s="288" t="s">
        <v>255</v>
      </c>
      <c r="G162" s="540" t="str">
        <f>'BD Team'!D23</f>
        <v>FIXED GLASS WITH GLASS LOUVERS &amp; EXHAUST FAN PROVISION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NA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>762 X 610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4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 t="str">
        <f>'BD Team'!C23</f>
        <v>M940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 t="str">
        <f>'BD Team'!E23</f>
        <v>6MM (F)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 t="str">
        <f>'BD Team'!F23</f>
        <v>NO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 t="str">
        <f>'BD Team'!B24</f>
        <v>W4-PUJA-4TH-P</v>
      </c>
      <c r="F173" s="288" t="s">
        <v>255</v>
      </c>
      <c r="G173" s="540" t="str">
        <f>'BD Team'!D24</f>
        <v>FIXED GLASS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NA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>762 X 1524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 t="str">
        <f>'BD Team'!E24</f>
        <v>24MM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 t="str">
        <f>'BD Team'!F24</f>
        <v>NO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254</v>
      </c>
      <c r="D184" s="539"/>
      <c r="E184" s="286" t="str">
        <f>'BD Team'!B25</f>
        <v>FDA-5TH-Q</v>
      </c>
      <c r="F184" s="288" t="s">
        <v>255</v>
      </c>
      <c r="G184" s="540" t="str">
        <f>'BD Team'!D25</f>
        <v>3 TRACK 2 SHUTTER SLIDING DOOR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NA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>2440 X 2440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 t="str">
        <f>'BD Team'!C25</f>
        <v>M14600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 t="str">
        <f>'BD Team'!E25</f>
        <v>24MM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 t="str">
        <f>'BD Team'!F25</f>
        <v>SS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 t="str">
        <f>'BD Team'!B26</f>
        <v>DA-5TH-Q</v>
      </c>
      <c r="F195" s="288" t="s">
        <v>255</v>
      </c>
      <c r="G195" s="540" t="str">
        <f>'BD Team'!D26</f>
        <v>SIDE HUNG DOOR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NA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>1068 X 2440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 t="str">
        <f>'BD Team'!C26</f>
        <v>M15000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 t="str">
        <f>'BD Team'!E26</f>
        <v>24MM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 t="str">
        <f>'BD Team'!F26</f>
        <v>NO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 t="str">
        <f>'BD Team'!B27</f>
        <v>D1A-5TH-Q</v>
      </c>
      <c r="F206" s="288" t="s">
        <v>255</v>
      </c>
      <c r="G206" s="540" t="str">
        <f>'BD Team'!D27</f>
        <v>SIDE HUNG DOOR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NA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>992 X 2440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4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 t="str">
        <f>'BD Team'!C27</f>
        <v>M15000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 t="str">
        <f>'BD Team'!E27</f>
        <v>24MM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 t="str">
        <f>'BD Team'!F27</f>
        <v>NO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 t="str">
        <f>'BD Team'!B28</f>
        <v>D2A-5TH-Q</v>
      </c>
      <c r="F217" s="288" t="s">
        <v>255</v>
      </c>
      <c r="G217" s="540" t="str">
        <f>'BD Team'!D28</f>
        <v>SIDE HUNG DOOR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NA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>840 X 2440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3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 t="str">
        <f>'BD Team'!C28</f>
        <v>M15000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 t="str">
        <f>'BD Team'!E28</f>
        <v>24MM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 t="str">
        <f>'BD Team'!F28</f>
        <v>NO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 t="str">
        <f>'BD Team'!B29</f>
        <v>WA1-5TH-Q</v>
      </c>
      <c r="F228" s="288" t="s">
        <v>255</v>
      </c>
      <c r="G228" s="540" t="str">
        <f>'BD Team'!D29</f>
        <v>3 TRACK 2 SHUTTER SLIDING DOOR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NA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>3658 X 2440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1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 t="str">
        <f>'BD Team'!C29</f>
        <v>M14600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 t="str">
        <f>'BD Team'!E29</f>
        <v>24MM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 t="str">
        <f>'BD Team'!F29</f>
        <v>SS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 t="str">
        <f>'BD Team'!B30</f>
        <v>W1B-5TH-Q</v>
      </c>
      <c r="F239" s="288" t="s">
        <v>255</v>
      </c>
      <c r="G239" s="540" t="str">
        <f>'BD Team'!D30</f>
        <v>3 TRACK 2 SHUTTER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NA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>1830 X 1982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4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 t="str">
        <f>'BD Team'!C30</f>
        <v>M900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 t="str">
        <f>'BD Team'!E30</f>
        <v>20MM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 t="str">
        <f>'BD Team'!F30</f>
        <v>SS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254</v>
      </c>
      <c r="D250" s="539"/>
      <c r="E250" s="286" t="str">
        <f>'BD Team'!B31</f>
        <v>W2A-5TH-Q</v>
      </c>
      <c r="F250" s="288" t="s">
        <v>255</v>
      </c>
      <c r="G250" s="540" t="str">
        <f>'BD Team'!D31</f>
        <v>3 TRACK 2 SHUTTER SLIDING DOOR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NA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>2134 X 2440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2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 t="str">
        <f>'BD Team'!C31</f>
        <v>M14600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 t="str">
        <f>'BD Team'!E31</f>
        <v>24MM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 t="str">
        <f>'BD Team'!F31</f>
        <v>SS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 t="str">
        <f>'BD Team'!B32</f>
        <v>W2B-5TH-Q</v>
      </c>
      <c r="F261" s="288" t="s">
        <v>255</v>
      </c>
      <c r="G261" s="540" t="str">
        <f>'BD Team'!D32</f>
        <v>3 TRACK 2 SHUTTER SLIDING WINDOW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NA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>1220 X 1524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 t="str">
        <f>'BD Team'!C32</f>
        <v>M900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 t="str">
        <f>'BD Team'!E32</f>
        <v>20MM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 t="str">
        <f>'BD Team'!F32</f>
        <v>SS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254</v>
      </c>
      <c r="D272" s="539"/>
      <c r="E272" s="286" t="str">
        <f>'BD Team'!B33</f>
        <v>VA-5TH-Q</v>
      </c>
      <c r="F272" s="288" t="s">
        <v>255</v>
      </c>
      <c r="G272" s="540" t="str">
        <f>'BD Team'!D33</f>
        <v>FIXED GLASS WITH GLASS LOUVERS &amp; EXHAUST FAN PROVISION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NA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>762 X 610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3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 t="str">
        <f>'BD Team'!C33</f>
        <v>M940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 t="str">
        <f>'BD Team'!E33</f>
        <v>6MM (F)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 t="str">
        <f>'BD Team'!B34</f>
        <v>W3B-5TH-Q</v>
      </c>
      <c r="F283" s="288" t="s">
        <v>255</v>
      </c>
      <c r="G283" s="540" t="str">
        <f>'BD Team'!D34</f>
        <v>SIDE HUNG DOOR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NA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>916 X 2744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 t="str">
        <f>'BD Team'!C34</f>
        <v>M15000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 t="str">
        <f>'BD Team'!E34</f>
        <v>24MM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 t="str">
        <f>'BD Team'!F34</f>
        <v>NO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 t="str">
        <f>'BD Team'!B35</f>
        <v>WA4-5TH-Q</v>
      </c>
      <c r="F294" s="288" t="s">
        <v>255</v>
      </c>
      <c r="G294" s="540" t="str">
        <f>'BD Team'!D35</f>
        <v>3 TRACK 2 SHUTTER SLIDING DOOR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NA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>2440 X 2744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1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 t="str">
        <f>'BD Team'!C35</f>
        <v>M14600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 t="str">
        <f>'BD Team'!E35</f>
        <v>24MM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 t="str">
        <f>'BD Team'!F35</f>
        <v>SS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1153</v>
      </c>
    </row>
    <row r="5" spans="3:5">
      <c r="C5" s="236" t="s">
        <v>397</v>
      </c>
      <c r="D5" s="236" t="s">
        <v>395</v>
      </c>
      <c r="E5" s="309">
        <f>ROUND(Pricing!U104,0.1)/40</f>
        <v>34.575000000000003</v>
      </c>
    </row>
    <row r="6" spans="3:5">
      <c r="C6" s="236" t="s">
        <v>83</v>
      </c>
      <c r="D6" s="236" t="s">
        <v>394</v>
      </c>
      <c r="E6" s="309">
        <f>ROUND(Pricing!V104,0.1)</f>
        <v>72</v>
      </c>
    </row>
    <row r="7" spans="3:5">
      <c r="C7" s="236" t="s">
        <v>401</v>
      </c>
      <c r="D7" s="236" t="s">
        <v>393</v>
      </c>
      <c r="E7" s="309">
        <f>ROUND(Pricing!W104,0.1)</f>
        <v>1153</v>
      </c>
    </row>
    <row r="8" spans="3:5">
      <c r="C8" s="236" t="s">
        <v>398</v>
      </c>
      <c r="D8" s="236" t="s">
        <v>393</v>
      </c>
      <c r="E8" s="309">
        <f>ROUND(Pricing!X104,0.1)</f>
        <v>2305</v>
      </c>
    </row>
    <row r="9" spans="3:5">
      <c r="C9" t="s">
        <v>223</v>
      </c>
      <c r="D9" s="236" t="s">
        <v>396</v>
      </c>
      <c r="E9" s="309">
        <f>ROUND(Pricing!Y104,0.1)</f>
        <v>692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8"/>
  <sheetViews>
    <sheetView topLeftCell="A13" workbookViewId="0">
      <selection activeCell="A29" sqref="A29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408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409</v>
      </c>
      <c r="G1" s="315" t="s">
        <v>410</v>
      </c>
      <c r="H1" s="315" t="s">
        <v>411</v>
      </c>
      <c r="I1" s="315" t="s">
        <v>114</v>
      </c>
      <c r="J1" s="315" t="s">
        <v>412</v>
      </c>
      <c r="K1" s="315" t="s">
        <v>9</v>
      </c>
      <c r="L1" s="316" t="s">
        <v>216</v>
      </c>
      <c r="M1" s="315" t="s">
        <v>219</v>
      </c>
      <c r="N1" s="315" t="s">
        <v>413</v>
      </c>
      <c r="O1" s="315" t="s">
        <v>414</v>
      </c>
      <c r="P1" s="315" t="s">
        <v>190</v>
      </c>
      <c r="Q1" s="315" t="s">
        <v>415</v>
      </c>
      <c r="R1" s="315" t="s">
        <v>416</v>
      </c>
      <c r="S1" s="315" t="s">
        <v>417</v>
      </c>
      <c r="T1" s="315" t="s">
        <v>278</v>
      </c>
      <c r="U1" s="315" t="s">
        <v>418</v>
      </c>
    </row>
    <row r="2" spans="1:21">
      <c r="A2" s="318" t="str">
        <f>'BD Team'!B9</f>
        <v>MD-4TH-P</v>
      </c>
      <c r="B2" s="318" t="str">
        <f>'BD Team'!C9</f>
        <v>M15000</v>
      </c>
      <c r="C2" s="318" t="str">
        <f>'BD Team'!D9</f>
        <v>FRENCH DOOR WITH FIXED GLASS</v>
      </c>
      <c r="D2" s="318" t="str">
        <f>'BD Team'!E9</f>
        <v>24MM</v>
      </c>
      <c r="E2" s="318" t="str">
        <f>'BD Team'!G9</f>
        <v>NA</v>
      </c>
      <c r="F2" s="318" t="str">
        <f>'BD Team'!F9</f>
        <v>RETRACTABLE</v>
      </c>
      <c r="I2" s="318">
        <f>'BD Team'!H9</f>
        <v>2440</v>
      </c>
      <c r="J2" s="318">
        <f>'BD Team'!I9</f>
        <v>2440</v>
      </c>
      <c r="K2" s="318">
        <f>'BD Team'!J9</f>
        <v>1</v>
      </c>
      <c r="L2" s="319">
        <f>'BD Team'!K9</f>
        <v>721.31</v>
      </c>
      <c r="M2" s="318">
        <f>Pricing!O4</f>
        <v>2805</v>
      </c>
      <c r="N2" s="318">
        <f>Pricing!Q4</f>
        <v>0</v>
      </c>
      <c r="O2" s="318">
        <f>Pricing!R4</f>
        <v>9687.5999999999985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FDA-FDB-4TH-P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NA</v>
      </c>
      <c r="F3" s="318" t="str">
        <f>'BD Team'!F10</f>
        <v>SS</v>
      </c>
      <c r="I3" s="318">
        <f>'BD Team'!H10</f>
        <v>2440</v>
      </c>
      <c r="J3" s="318">
        <f>'BD Team'!I10</f>
        <v>2440</v>
      </c>
      <c r="K3" s="318">
        <f>'BD Team'!J10</f>
        <v>1</v>
      </c>
      <c r="L3" s="319">
        <f>'BD Team'!K10</f>
        <v>481.94</v>
      </c>
      <c r="M3" s="318">
        <f>Pricing!O5</f>
        <v>2805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FDB-4TH-P</v>
      </c>
      <c r="B4" s="318" t="str">
        <f>'BD Team'!C11</f>
        <v>M14600</v>
      </c>
      <c r="C4" s="318" t="str">
        <f>'BD Team'!D11</f>
        <v>3 TRACK 2 SHUTTER SLIDING DOOR</v>
      </c>
      <c r="D4" s="318" t="str">
        <f>'BD Team'!E11</f>
        <v>24MM</v>
      </c>
      <c r="E4" s="318" t="str">
        <f>'BD Team'!G11</f>
        <v>NA</v>
      </c>
      <c r="F4" s="318" t="str">
        <f>'BD Team'!F11</f>
        <v>SS</v>
      </c>
      <c r="I4" s="318">
        <f>'BD Team'!H11</f>
        <v>1830</v>
      </c>
      <c r="J4" s="318">
        <f>'BD Team'!I11</f>
        <v>2440</v>
      </c>
      <c r="K4" s="318">
        <f>'BD Team'!J11</f>
        <v>1</v>
      </c>
      <c r="L4" s="319">
        <f>'BD Team'!K11</f>
        <v>443.23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DDA-4TH-P</v>
      </c>
      <c r="B5" s="318" t="str">
        <f>'BD Team'!C12</f>
        <v>M15000</v>
      </c>
      <c r="C5" s="318" t="str">
        <f>'BD Team'!D12</f>
        <v>FRENCH DOOR</v>
      </c>
      <c r="D5" s="318" t="str">
        <f>'BD Team'!E12</f>
        <v>24MM</v>
      </c>
      <c r="E5" s="318" t="str">
        <f>'BD Team'!G12</f>
        <v>NA</v>
      </c>
      <c r="F5" s="318" t="str">
        <f>'BD Team'!F12</f>
        <v>RETRACTABLE</v>
      </c>
      <c r="I5" s="318">
        <f>'BD Team'!H12</f>
        <v>1372</v>
      </c>
      <c r="J5" s="318">
        <f>'BD Team'!I12</f>
        <v>2440</v>
      </c>
      <c r="K5" s="318">
        <f>'BD Team'!J12</f>
        <v>1</v>
      </c>
      <c r="L5" s="319">
        <f>'BD Team'!K12</f>
        <v>496.99</v>
      </c>
      <c r="M5" s="318">
        <f>Pricing!O7</f>
        <v>2805</v>
      </c>
      <c r="N5" s="318">
        <f>Pricing!Q7</f>
        <v>0</v>
      </c>
      <c r="O5" s="318">
        <f>Pricing!R7</f>
        <v>9687.5999999999985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DA-LH-4TH-P</v>
      </c>
      <c r="B6" s="318" t="str">
        <f>'BD Team'!C13</f>
        <v>M15000</v>
      </c>
      <c r="C6" s="318" t="str">
        <f>'BD Team'!D13</f>
        <v>SIDE HUNG DOOR</v>
      </c>
      <c r="D6" s="318" t="str">
        <f>'BD Team'!E13</f>
        <v>24MM</v>
      </c>
      <c r="E6" s="318" t="str">
        <f>'BD Team'!G13</f>
        <v>NA</v>
      </c>
      <c r="F6" s="318" t="str">
        <f>'BD Team'!F13</f>
        <v>NO</v>
      </c>
      <c r="I6" s="318">
        <f>'BD Team'!H13</f>
        <v>1068</v>
      </c>
      <c r="J6" s="318">
        <f>'BD Team'!I13</f>
        <v>2440</v>
      </c>
      <c r="K6" s="318">
        <f>'BD Team'!J13</f>
        <v>1</v>
      </c>
      <c r="L6" s="319">
        <f>'BD Team'!K13</f>
        <v>316.92</v>
      </c>
      <c r="M6" s="318">
        <f>Pricing!O8</f>
        <v>2805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D1A-4TH-P</v>
      </c>
      <c r="B7" s="318" t="str">
        <f>'BD Team'!C14</f>
        <v>M15000</v>
      </c>
      <c r="C7" s="318" t="str">
        <f>'BD Team'!D14</f>
        <v>SIDE HUNG DOOR</v>
      </c>
      <c r="D7" s="318" t="str">
        <f>'BD Team'!E14</f>
        <v>24MM</v>
      </c>
      <c r="E7" s="318" t="str">
        <f>'BD Team'!G14</f>
        <v>NA</v>
      </c>
      <c r="F7" s="318" t="str">
        <f>'BD Team'!F14</f>
        <v>NO</v>
      </c>
      <c r="I7" s="318">
        <f>'BD Team'!H14</f>
        <v>992</v>
      </c>
      <c r="J7" s="318">
        <f>'BD Team'!I14</f>
        <v>2440</v>
      </c>
      <c r="K7" s="318">
        <f>'BD Team'!J14</f>
        <v>2</v>
      </c>
      <c r="L7" s="319">
        <f>'BD Team'!K14</f>
        <v>282.75</v>
      </c>
      <c r="M7" s="318">
        <f>Pricing!O9</f>
        <v>2805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D1A-LH-4TH-P</v>
      </c>
      <c r="B8" s="318" t="str">
        <f>'BD Team'!C15</f>
        <v>M15000</v>
      </c>
      <c r="C8" s="318" t="str">
        <f>'BD Team'!D15</f>
        <v>SIDE HUNG DOOR</v>
      </c>
      <c r="D8" s="318" t="str">
        <f>'BD Team'!E15</f>
        <v>24MM</v>
      </c>
      <c r="E8" s="318" t="str">
        <f>'BD Team'!G15</f>
        <v>NA</v>
      </c>
      <c r="F8" s="318" t="str">
        <f>'BD Team'!F15</f>
        <v>NO</v>
      </c>
      <c r="I8" s="318">
        <f>'BD Team'!H15</f>
        <v>992</v>
      </c>
      <c r="J8" s="318">
        <f>'BD Team'!I15</f>
        <v>2440</v>
      </c>
      <c r="K8" s="318">
        <f>'BD Team'!J15</f>
        <v>1</v>
      </c>
      <c r="L8" s="319">
        <f>'BD Team'!K15</f>
        <v>313.12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D2A-LH-4TH-P</v>
      </c>
      <c r="B9" s="318" t="str">
        <f>'BD Team'!C16</f>
        <v>M15000</v>
      </c>
      <c r="C9" s="318" t="str">
        <f>'BD Team'!D16</f>
        <v>SIDE HUNG DOOR</v>
      </c>
      <c r="D9" s="318" t="str">
        <f>'BD Team'!E16</f>
        <v>24MM</v>
      </c>
      <c r="E9" s="318" t="str">
        <f>'BD Team'!G16</f>
        <v>NA</v>
      </c>
      <c r="F9" s="318" t="str">
        <f>'BD Team'!F16</f>
        <v>NO</v>
      </c>
      <c r="I9" s="318">
        <f>'BD Team'!H16</f>
        <v>840</v>
      </c>
      <c r="J9" s="318">
        <f>'BD Team'!I16</f>
        <v>2440</v>
      </c>
      <c r="K9" s="318">
        <f>'BD Team'!J16</f>
        <v>5</v>
      </c>
      <c r="L9" s="319">
        <f>'BD Team'!K16</f>
        <v>275.82</v>
      </c>
      <c r="M9" s="318">
        <f>Pricing!O11</f>
        <v>2805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O-LH-4TH-P</v>
      </c>
      <c r="B10" s="318" t="str">
        <f>'BD Team'!C17</f>
        <v>M15000</v>
      </c>
      <c r="C10" s="318" t="str">
        <f>'BD Team'!D17</f>
        <v>SIDE HUNG DOOR</v>
      </c>
      <c r="D10" s="318" t="str">
        <f>'BD Team'!E17</f>
        <v>24MM</v>
      </c>
      <c r="E10" s="318" t="str">
        <f>'BD Team'!G17</f>
        <v>NA</v>
      </c>
      <c r="F10" s="318" t="str">
        <f>'BD Team'!F17</f>
        <v>NO</v>
      </c>
      <c r="I10" s="318">
        <f>'BD Team'!H17</f>
        <v>840</v>
      </c>
      <c r="J10" s="318">
        <f>'BD Team'!I17</f>
        <v>2440</v>
      </c>
      <c r="K10" s="318">
        <f>'BD Team'!J17</f>
        <v>1</v>
      </c>
      <c r="L10" s="319">
        <f>'BD Team'!K17</f>
        <v>275.82</v>
      </c>
      <c r="M10" s="318">
        <f>Pricing!O12</f>
        <v>2805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WA1-4TH-P</v>
      </c>
      <c r="B11" s="318" t="str">
        <f>'BD Team'!C18</f>
        <v>M14600</v>
      </c>
      <c r="C11" s="318" t="str">
        <f>'BD Team'!D18</f>
        <v>3 TRACK 4 SHUTTER SLIDING DOOR</v>
      </c>
      <c r="D11" s="318" t="str">
        <f>'BD Team'!E18</f>
        <v>24MM</v>
      </c>
      <c r="E11" s="318" t="str">
        <f>'BD Team'!G18</f>
        <v>NA</v>
      </c>
      <c r="F11" s="318" t="str">
        <f>'BD Team'!F18</f>
        <v>SS</v>
      </c>
      <c r="I11" s="318">
        <f>'BD Team'!H18</f>
        <v>3658</v>
      </c>
      <c r="J11" s="318">
        <f>'BD Team'!I18</f>
        <v>2440</v>
      </c>
      <c r="K11" s="318">
        <f>'BD Team'!J18</f>
        <v>1</v>
      </c>
      <c r="L11" s="319">
        <f>'BD Team'!K18</f>
        <v>963.69</v>
      </c>
      <c r="M11" s="318">
        <f>Pricing!O13</f>
        <v>2805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WA2-4TH-P</v>
      </c>
      <c r="B12" s="318" t="str">
        <f>'BD Team'!C19</f>
        <v>M900</v>
      </c>
      <c r="C12" s="318" t="str">
        <f>'BD Team'!D19</f>
        <v>3 TRACK 2 SHUTTER SLIDING WINDOW</v>
      </c>
      <c r="D12" s="318" t="str">
        <f>'BD Team'!E19</f>
        <v>20MM</v>
      </c>
      <c r="E12" s="318" t="str">
        <f>'BD Team'!G19</f>
        <v>NA</v>
      </c>
      <c r="F12" s="318" t="str">
        <f>'BD Team'!F19</f>
        <v>SS</v>
      </c>
      <c r="I12" s="318">
        <f>'BD Team'!H19</f>
        <v>2240</v>
      </c>
      <c r="J12" s="318">
        <f>'BD Team'!I19</f>
        <v>1830</v>
      </c>
      <c r="K12" s="318">
        <f>'BD Team'!J19</f>
        <v>1</v>
      </c>
      <c r="L12" s="319">
        <f>'BD Team'!K19</f>
        <v>164.94</v>
      </c>
      <c r="M12" s="318">
        <f>Pricing!O14</f>
        <v>2538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W1B-4TH-P</v>
      </c>
      <c r="B13" s="318" t="str">
        <f>'BD Team'!C20</f>
        <v>M900</v>
      </c>
      <c r="C13" s="318" t="str">
        <f>'BD Team'!D20</f>
        <v>3 TRACK 2 SHUTTER SLIDING WINDOW</v>
      </c>
      <c r="D13" s="318" t="str">
        <f>'BD Team'!E20</f>
        <v>20MM</v>
      </c>
      <c r="E13" s="318" t="str">
        <f>'BD Team'!G20</f>
        <v>NA</v>
      </c>
      <c r="F13" s="318" t="str">
        <f>'BD Team'!F20</f>
        <v>SS</v>
      </c>
      <c r="I13" s="318">
        <f>'BD Team'!H20</f>
        <v>1830</v>
      </c>
      <c r="J13" s="318">
        <f>'BD Team'!I20</f>
        <v>1982</v>
      </c>
      <c r="K13" s="318">
        <f>'BD Team'!J20</f>
        <v>3</v>
      </c>
      <c r="L13" s="319">
        <f>'BD Team'!K20</f>
        <v>161.07</v>
      </c>
      <c r="M13" s="318">
        <f>Pricing!O15</f>
        <v>2538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W2A-4TH-P</v>
      </c>
      <c r="B14" s="318" t="str">
        <f>'BD Team'!C21</f>
        <v>M14600</v>
      </c>
      <c r="C14" s="318" t="str">
        <f>'BD Team'!D21</f>
        <v>3 TRACK 2 SHUTTER SLIDING DOOR</v>
      </c>
      <c r="D14" s="318" t="str">
        <f>'BD Team'!E21</f>
        <v>24MM</v>
      </c>
      <c r="E14" s="318" t="str">
        <f>'BD Team'!G21</f>
        <v>NA</v>
      </c>
      <c r="F14" s="318" t="str">
        <f>'BD Team'!F21</f>
        <v>SS</v>
      </c>
      <c r="I14" s="318">
        <f>'BD Team'!H21</f>
        <v>2134</v>
      </c>
      <c r="J14" s="318">
        <f>'BD Team'!I21</f>
        <v>2440</v>
      </c>
      <c r="K14" s="318">
        <f>'BD Team'!J21</f>
        <v>2</v>
      </c>
      <c r="L14" s="319">
        <f>'BD Team'!K21</f>
        <v>462.52</v>
      </c>
      <c r="M14" s="318">
        <f>Pricing!O16</f>
        <v>2805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W3A-4TH-P</v>
      </c>
      <c r="B15" s="318" t="str">
        <f>'BD Team'!C22</f>
        <v>M900</v>
      </c>
      <c r="C15" s="318" t="str">
        <f>'BD Team'!D22</f>
        <v>3 TRACK 2 SHUTTER SLIDING WINDOW</v>
      </c>
      <c r="D15" s="318" t="str">
        <f>'BD Team'!E22</f>
        <v>20MM</v>
      </c>
      <c r="E15" s="318" t="str">
        <f>'BD Team'!G22</f>
        <v>NA</v>
      </c>
      <c r="F15" s="318" t="str">
        <f>'BD Team'!F22</f>
        <v>SS</v>
      </c>
      <c r="I15" s="318">
        <f>'BD Team'!H22</f>
        <v>1220</v>
      </c>
      <c r="J15" s="318">
        <f>'BD Team'!I22</f>
        <v>1220</v>
      </c>
      <c r="K15" s="318">
        <f>'BD Team'!J22</f>
        <v>2</v>
      </c>
      <c r="L15" s="319">
        <f>'BD Team'!K22</f>
        <v>110.12</v>
      </c>
      <c r="M15" s="318">
        <f>Pricing!O17</f>
        <v>2538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VENT-VA-4TH-P</v>
      </c>
      <c r="B16" s="318" t="str">
        <f>'BD Team'!C23</f>
        <v>M940</v>
      </c>
      <c r="C16" s="318" t="str">
        <f>'BD Team'!D23</f>
        <v>FIXED GLASS WITH GLASS LOUVERS &amp; EXHAUST FAN PROVISION</v>
      </c>
      <c r="D16" s="318" t="str">
        <f>'BD Team'!E23</f>
        <v>6MM (F)</v>
      </c>
      <c r="E16" s="318" t="str">
        <f>'BD Team'!G23</f>
        <v>NA</v>
      </c>
      <c r="F16" s="318" t="str">
        <f>'BD Team'!F23</f>
        <v>NO</v>
      </c>
      <c r="I16" s="318">
        <f>'BD Team'!H23</f>
        <v>762</v>
      </c>
      <c r="J16" s="318">
        <f>'BD Team'!I23</f>
        <v>610</v>
      </c>
      <c r="K16" s="318">
        <f>'BD Team'!J23</f>
        <v>4</v>
      </c>
      <c r="L16" s="319">
        <f>'BD Team'!K23</f>
        <v>60.69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W4-PUJA-4TH-P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24MM</v>
      </c>
      <c r="E17" s="318" t="str">
        <f>'BD Team'!G24</f>
        <v>NA</v>
      </c>
      <c r="F17" s="318" t="str">
        <f>'BD Team'!F24</f>
        <v>NO</v>
      </c>
      <c r="I17" s="318">
        <f>'BD Team'!H24</f>
        <v>762</v>
      </c>
      <c r="J17" s="318">
        <f>'BD Team'!I24</f>
        <v>1524</v>
      </c>
      <c r="K17" s="318">
        <f>'BD Team'!J24</f>
        <v>1</v>
      </c>
      <c r="L17" s="319">
        <f>'BD Team'!K24</f>
        <v>48.27</v>
      </c>
      <c r="M17" s="318">
        <f>Pricing!O19</f>
        <v>2805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FDA-5TH-Q</v>
      </c>
      <c r="B18" s="318" t="str">
        <f>'BD Team'!C25</f>
        <v>M14600</v>
      </c>
      <c r="C18" s="318" t="str">
        <f>'BD Team'!D25</f>
        <v>3 TRACK 2 SHUTTER SLIDING DOOR</v>
      </c>
      <c r="D18" s="318" t="str">
        <f>'BD Team'!E25</f>
        <v>24MM</v>
      </c>
      <c r="E18" s="318" t="str">
        <f>'BD Team'!G25</f>
        <v>NA</v>
      </c>
      <c r="F18" s="318" t="str">
        <f>'BD Team'!F25</f>
        <v>SS</v>
      </c>
      <c r="I18" s="318">
        <f>'BD Team'!H25</f>
        <v>2440</v>
      </c>
      <c r="J18" s="318">
        <f>'BD Team'!I25</f>
        <v>2440</v>
      </c>
      <c r="K18" s="318">
        <f>'BD Team'!J25</f>
        <v>1</v>
      </c>
      <c r="L18" s="319">
        <f>'BD Team'!K25</f>
        <v>481.94</v>
      </c>
      <c r="M18" s="318">
        <f>Pricing!O20</f>
        <v>2805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DA-5TH-Q</v>
      </c>
      <c r="B19" s="318" t="str">
        <f>'BD Team'!C26</f>
        <v>M15000</v>
      </c>
      <c r="C19" s="318" t="str">
        <f>'BD Team'!D26</f>
        <v>SIDE HUNG DOOR</v>
      </c>
      <c r="D19" s="318" t="str">
        <f>'BD Team'!E26</f>
        <v>24MM</v>
      </c>
      <c r="E19" s="318" t="str">
        <f>'BD Team'!G26</f>
        <v>NA</v>
      </c>
      <c r="F19" s="318" t="str">
        <f>'BD Team'!F26</f>
        <v>NO</v>
      </c>
      <c r="I19" s="318">
        <f>'BD Team'!H26</f>
        <v>1068</v>
      </c>
      <c r="J19" s="318">
        <f>'BD Team'!I26</f>
        <v>2440</v>
      </c>
      <c r="K19" s="318">
        <f>'BD Team'!J26</f>
        <v>1</v>
      </c>
      <c r="L19" s="319">
        <f>'BD Team'!K26</f>
        <v>316.92</v>
      </c>
      <c r="M19" s="318">
        <f>Pricing!O21</f>
        <v>2805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D1A-5TH-Q</v>
      </c>
      <c r="B20" s="318" t="str">
        <f>'BD Team'!C27</f>
        <v>M15000</v>
      </c>
      <c r="C20" s="318" t="str">
        <f>'BD Team'!D27</f>
        <v>SIDE HUNG DOOR</v>
      </c>
      <c r="D20" s="318" t="str">
        <f>'BD Team'!E27</f>
        <v>24MM</v>
      </c>
      <c r="E20" s="318" t="str">
        <f>'BD Team'!G27</f>
        <v>NA</v>
      </c>
      <c r="F20" s="318" t="str">
        <f>'BD Team'!F27</f>
        <v>NO</v>
      </c>
      <c r="I20" s="318">
        <f>'BD Team'!H27</f>
        <v>992</v>
      </c>
      <c r="J20" s="318">
        <f>'BD Team'!I27</f>
        <v>2440</v>
      </c>
      <c r="K20" s="318">
        <f>'BD Team'!J27</f>
        <v>4</v>
      </c>
      <c r="L20" s="319">
        <f>'BD Team'!K27</f>
        <v>282.75</v>
      </c>
      <c r="M20" s="318">
        <f>Pricing!O22</f>
        <v>2805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D2A-5TH-Q</v>
      </c>
      <c r="B21" s="318" t="str">
        <f>'BD Team'!C28</f>
        <v>M15000</v>
      </c>
      <c r="C21" s="318" t="str">
        <f>'BD Team'!D28</f>
        <v>SIDE HUNG DOOR</v>
      </c>
      <c r="D21" s="318" t="str">
        <f>'BD Team'!E28</f>
        <v>24MM</v>
      </c>
      <c r="E21" s="318" t="str">
        <f>'BD Team'!G28</f>
        <v>NA</v>
      </c>
      <c r="F21" s="318" t="str">
        <f>'BD Team'!F28</f>
        <v>NO</v>
      </c>
      <c r="I21" s="318">
        <f>'BD Team'!H28</f>
        <v>840</v>
      </c>
      <c r="J21" s="318">
        <f>'BD Team'!I28</f>
        <v>2440</v>
      </c>
      <c r="K21" s="318">
        <f>'BD Team'!J28</f>
        <v>3</v>
      </c>
      <c r="L21" s="319">
        <f>'BD Team'!K28</f>
        <v>275.82</v>
      </c>
      <c r="M21" s="318">
        <f>Pricing!O23</f>
        <v>2805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WA1-5TH-Q</v>
      </c>
      <c r="B22" s="318" t="str">
        <f>'BD Team'!C29</f>
        <v>M14600</v>
      </c>
      <c r="C22" s="318" t="str">
        <f>'BD Team'!D29</f>
        <v>3 TRACK 2 SHUTTER SLIDING DOOR</v>
      </c>
      <c r="D22" s="318" t="str">
        <f>'BD Team'!E29</f>
        <v>24MM</v>
      </c>
      <c r="E22" s="318" t="str">
        <f>'BD Team'!G29</f>
        <v>NA</v>
      </c>
      <c r="F22" s="318" t="str">
        <f>'BD Team'!F29</f>
        <v>SS</v>
      </c>
      <c r="I22" s="318">
        <f>'BD Team'!H29</f>
        <v>3658</v>
      </c>
      <c r="J22" s="318">
        <f>'BD Team'!I29</f>
        <v>2440</v>
      </c>
      <c r="K22" s="318">
        <f>'BD Team'!J29</f>
        <v>1</v>
      </c>
      <c r="L22" s="319">
        <f>'BD Team'!K29</f>
        <v>963.69</v>
      </c>
      <c r="M22" s="318">
        <f>Pricing!O24</f>
        <v>2805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W1B-5TH-Q</v>
      </c>
      <c r="B23" s="318" t="str">
        <f>'BD Team'!C30</f>
        <v>M900</v>
      </c>
      <c r="C23" s="318" t="str">
        <f>'BD Team'!D30</f>
        <v>3 TRACK 2 SHUTTER SLIDING WINDOW</v>
      </c>
      <c r="D23" s="318" t="str">
        <f>'BD Team'!E30</f>
        <v>20MM</v>
      </c>
      <c r="E23" s="318" t="str">
        <f>'BD Team'!G30</f>
        <v>NA</v>
      </c>
      <c r="F23" s="318" t="str">
        <f>'BD Team'!F30</f>
        <v>SS</v>
      </c>
      <c r="I23" s="318">
        <f>'BD Team'!H30</f>
        <v>1830</v>
      </c>
      <c r="J23" s="318">
        <f>'BD Team'!I30</f>
        <v>1982</v>
      </c>
      <c r="K23" s="318">
        <f>'BD Team'!J30</f>
        <v>4</v>
      </c>
      <c r="L23" s="319">
        <f>'BD Team'!K30</f>
        <v>161.07</v>
      </c>
      <c r="M23" s="318">
        <f>Pricing!O25</f>
        <v>2538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W2A-5TH-Q</v>
      </c>
      <c r="B24" s="318" t="str">
        <f>'BD Team'!C31</f>
        <v>M14600</v>
      </c>
      <c r="C24" s="318" t="str">
        <f>'BD Team'!D31</f>
        <v>3 TRACK 2 SHUTTER SLIDING DOOR</v>
      </c>
      <c r="D24" s="318" t="str">
        <f>'BD Team'!E31</f>
        <v>24MM</v>
      </c>
      <c r="E24" s="318" t="str">
        <f>'BD Team'!G31</f>
        <v>NA</v>
      </c>
      <c r="F24" s="318" t="str">
        <f>'BD Team'!F31</f>
        <v>SS</v>
      </c>
      <c r="I24" s="318">
        <f>'BD Team'!H31</f>
        <v>2134</v>
      </c>
      <c r="J24" s="318">
        <f>'BD Team'!I31</f>
        <v>2440</v>
      </c>
      <c r="K24" s="318">
        <f>'BD Team'!J31</f>
        <v>2</v>
      </c>
      <c r="L24" s="319">
        <f>'BD Team'!K31</f>
        <v>462.52</v>
      </c>
      <c r="M24" s="318">
        <f>Pricing!O26</f>
        <v>2805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W2B-5TH-Q</v>
      </c>
      <c r="B25" s="318" t="str">
        <f>'BD Team'!C32</f>
        <v>M900</v>
      </c>
      <c r="C25" s="318" t="str">
        <f>'BD Team'!D32</f>
        <v>3 TRACK 2 SHUTTER SLIDING WINDOW</v>
      </c>
      <c r="D25" s="318" t="str">
        <f>'BD Team'!E32</f>
        <v>20MM</v>
      </c>
      <c r="E25" s="318" t="str">
        <f>'BD Team'!G32</f>
        <v>NA</v>
      </c>
      <c r="F25" s="318" t="str">
        <f>'BD Team'!F32</f>
        <v>SS</v>
      </c>
      <c r="I25" s="318">
        <f>'BD Team'!H32</f>
        <v>1220</v>
      </c>
      <c r="J25" s="318">
        <f>'BD Team'!I32</f>
        <v>1524</v>
      </c>
      <c r="K25" s="318">
        <f>'BD Team'!J32</f>
        <v>1</v>
      </c>
      <c r="L25" s="319">
        <f>'BD Team'!K32</f>
        <v>123.35</v>
      </c>
      <c r="M25" s="318">
        <f>Pricing!O27</f>
        <v>2538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VA-5TH-Q</v>
      </c>
      <c r="B26" s="318" t="str">
        <f>'BD Team'!C33</f>
        <v>M940</v>
      </c>
      <c r="C26" s="318" t="str">
        <f>'BD Team'!D33</f>
        <v>FIXED GLASS WITH GLASS LOUVERS &amp; EXHAUST FAN PROVISION</v>
      </c>
      <c r="D26" s="318" t="str">
        <f>'BD Team'!E33</f>
        <v>6MM (F)</v>
      </c>
      <c r="E26" s="318" t="str">
        <f>'BD Team'!G33</f>
        <v>NA</v>
      </c>
      <c r="F26" s="318" t="str">
        <f>'BD Team'!F33</f>
        <v>NO</v>
      </c>
      <c r="I26" s="318">
        <f>'BD Team'!H33</f>
        <v>762</v>
      </c>
      <c r="J26" s="318">
        <f>'BD Team'!I33</f>
        <v>610</v>
      </c>
      <c r="K26" s="318">
        <f>'BD Team'!J33</f>
        <v>3</v>
      </c>
      <c r="L26" s="319">
        <f>'BD Team'!K33</f>
        <v>60.69</v>
      </c>
      <c r="M26" s="318">
        <f>Pricing!O28</f>
        <v>2003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W3B-5TH-Q</v>
      </c>
      <c r="B27" s="318" t="str">
        <f>'BD Team'!C34</f>
        <v>M15000</v>
      </c>
      <c r="C27" s="318" t="str">
        <f>'BD Team'!D34</f>
        <v>SIDE HUNG DOOR</v>
      </c>
      <c r="D27" s="318" t="str">
        <f>'BD Team'!E34</f>
        <v>24MM</v>
      </c>
      <c r="E27" s="318" t="str">
        <f>'BD Team'!G34</f>
        <v>NA</v>
      </c>
      <c r="F27" s="318" t="str">
        <f>'BD Team'!F34</f>
        <v>NO</v>
      </c>
      <c r="I27" s="318">
        <f>'BD Team'!H34</f>
        <v>916</v>
      </c>
      <c r="J27" s="318">
        <f>'BD Team'!I34</f>
        <v>2744</v>
      </c>
      <c r="K27" s="318">
        <f>'BD Team'!J34</f>
        <v>1</v>
      </c>
      <c r="L27" s="319">
        <f>'BD Team'!K34</f>
        <v>291.97000000000003</v>
      </c>
      <c r="M27" s="318">
        <f>Pricing!O29</f>
        <v>2805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WA4-5TH-Q</v>
      </c>
      <c r="B28" s="318" t="str">
        <f>'BD Team'!C35</f>
        <v>M14600</v>
      </c>
      <c r="C28" s="318" t="str">
        <f>'BD Team'!D35</f>
        <v>3 TRACK 2 SHUTTER SLIDING DOOR</v>
      </c>
      <c r="D28" s="318" t="str">
        <f>'BD Team'!E35</f>
        <v>24MM</v>
      </c>
      <c r="E28" s="318" t="str">
        <f>'BD Team'!G35</f>
        <v>NA</v>
      </c>
      <c r="F28" s="318" t="str">
        <f>'BD Team'!F35</f>
        <v>SS</v>
      </c>
      <c r="I28" s="318">
        <f>'BD Team'!H35</f>
        <v>2440</v>
      </c>
      <c r="J28" s="318">
        <f>'BD Team'!I35</f>
        <v>2744</v>
      </c>
      <c r="K28" s="318">
        <f>'BD Team'!J35</f>
        <v>1</v>
      </c>
      <c r="L28" s="319">
        <f>'BD Team'!K35</f>
        <v>513.52</v>
      </c>
      <c r="M28" s="318">
        <f>Pricing!O30</f>
        <v>2805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2" zoomScale="75" zoomScaleNormal="75" zoomScaleSheetLayoutView="75" workbookViewId="0">
      <selection activeCell="H36" sqref="H3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customWidth="1"/>
    <col min="13" max="13" width="11.5703125" style="47" customWidth="1"/>
    <col min="14" max="226" width="9.140625" style="47"/>
    <col min="227" max="227" width="7.42578125" style="47" customWidth="1"/>
    <col min="228" max="228" width="7.7109375" style="47" customWidth="1"/>
    <col min="229" max="229" width="30.42578125" style="47" bestFit="1" customWidth="1"/>
    <col min="230" max="230" width="13.85546875" style="47" customWidth="1"/>
    <col min="231" max="231" width="8.140625" style="47" customWidth="1"/>
    <col min="232" max="232" width="9" style="47" customWidth="1"/>
    <col min="233" max="234" width="0" style="47" hidden="1" customWidth="1"/>
    <col min="235" max="235" width="10.7109375" style="47" customWidth="1"/>
    <col min="236" max="236" width="14.140625" style="47" customWidth="1"/>
    <col min="237" max="237" width="16.5703125" style="47" bestFit="1" customWidth="1"/>
    <col min="238" max="238" width="15.85546875" style="47" customWidth="1"/>
    <col min="239" max="239" width="12.7109375" style="47" customWidth="1"/>
    <col min="240" max="240" width="9.7109375" style="47" customWidth="1"/>
    <col min="241" max="241" width="17.42578125" style="47" customWidth="1"/>
    <col min="242" max="242" width="12.5703125" style="47" customWidth="1"/>
    <col min="243" max="243" width="14.5703125" style="47" customWidth="1"/>
    <col min="244" max="247" width="9.140625" style="47"/>
    <col min="248" max="248" width="12.85546875" style="47" bestFit="1" customWidth="1"/>
    <col min="249" max="482" width="9.140625" style="47"/>
    <col min="483" max="483" width="7.42578125" style="47" customWidth="1"/>
    <col min="484" max="484" width="7.7109375" style="47" customWidth="1"/>
    <col min="485" max="485" width="30.42578125" style="47" bestFit="1" customWidth="1"/>
    <col min="486" max="486" width="13.85546875" style="47" customWidth="1"/>
    <col min="487" max="487" width="8.140625" style="47" customWidth="1"/>
    <col min="488" max="488" width="9" style="47" customWidth="1"/>
    <col min="489" max="490" width="0" style="47" hidden="1" customWidth="1"/>
    <col min="491" max="491" width="10.7109375" style="47" customWidth="1"/>
    <col min="492" max="492" width="14.140625" style="47" customWidth="1"/>
    <col min="493" max="493" width="16.5703125" style="47" bestFit="1" customWidth="1"/>
    <col min="494" max="494" width="15.85546875" style="47" customWidth="1"/>
    <col min="495" max="495" width="12.7109375" style="47" customWidth="1"/>
    <col min="496" max="496" width="9.7109375" style="47" customWidth="1"/>
    <col min="497" max="497" width="17.42578125" style="47" customWidth="1"/>
    <col min="498" max="498" width="12.5703125" style="47" customWidth="1"/>
    <col min="499" max="499" width="14.5703125" style="47" customWidth="1"/>
    <col min="500" max="503" width="9.140625" style="47"/>
    <col min="504" max="504" width="12.85546875" style="47" bestFit="1" customWidth="1"/>
    <col min="505" max="738" width="9.140625" style="47"/>
    <col min="739" max="739" width="7.42578125" style="47" customWidth="1"/>
    <col min="740" max="740" width="7.7109375" style="47" customWidth="1"/>
    <col min="741" max="741" width="30.42578125" style="47" bestFit="1" customWidth="1"/>
    <col min="742" max="742" width="13.85546875" style="47" customWidth="1"/>
    <col min="743" max="743" width="8.140625" style="47" customWidth="1"/>
    <col min="744" max="744" width="9" style="47" customWidth="1"/>
    <col min="745" max="746" width="0" style="47" hidden="1" customWidth="1"/>
    <col min="747" max="747" width="10.7109375" style="47" customWidth="1"/>
    <col min="748" max="748" width="14.140625" style="47" customWidth="1"/>
    <col min="749" max="749" width="16.5703125" style="47" bestFit="1" customWidth="1"/>
    <col min="750" max="750" width="15.85546875" style="47" customWidth="1"/>
    <col min="751" max="751" width="12.7109375" style="47" customWidth="1"/>
    <col min="752" max="752" width="9.7109375" style="47" customWidth="1"/>
    <col min="753" max="753" width="17.42578125" style="47" customWidth="1"/>
    <col min="754" max="754" width="12.5703125" style="47" customWidth="1"/>
    <col min="755" max="755" width="14.5703125" style="47" customWidth="1"/>
    <col min="756" max="759" width="9.140625" style="47"/>
    <col min="760" max="760" width="12.85546875" style="47" bestFit="1" customWidth="1"/>
    <col min="761" max="994" width="9.140625" style="47"/>
    <col min="995" max="995" width="7.42578125" style="47" customWidth="1"/>
    <col min="996" max="996" width="7.7109375" style="47" customWidth="1"/>
    <col min="997" max="997" width="30.42578125" style="47" bestFit="1" customWidth="1"/>
    <col min="998" max="998" width="13.85546875" style="47" customWidth="1"/>
    <col min="999" max="999" width="8.140625" style="47" customWidth="1"/>
    <col min="1000" max="1000" width="9" style="47" customWidth="1"/>
    <col min="1001" max="1002" width="0" style="47" hidden="1" customWidth="1"/>
    <col min="1003" max="1003" width="10.7109375" style="47" customWidth="1"/>
    <col min="1004" max="1004" width="14.140625" style="47" customWidth="1"/>
    <col min="1005" max="1005" width="16.5703125" style="47" bestFit="1" customWidth="1"/>
    <col min="1006" max="1006" width="15.85546875" style="47" customWidth="1"/>
    <col min="1007" max="1007" width="12.7109375" style="47" customWidth="1"/>
    <col min="1008" max="1008" width="9.7109375" style="47" customWidth="1"/>
    <col min="1009" max="1009" width="17.42578125" style="47" customWidth="1"/>
    <col min="1010" max="1010" width="12.5703125" style="47" customWidth="1"/>
    <col min="1011" max="1011" width="14.5703125" style="47" customWidth="1"/>
    <col min="1012" max="1015" width="9.140625" style="47"/>
    <col min="1016" max="1016" width="12.85546875" style="47" bestFit="1" customWidth="1"/>
    <col min="1017" max="1250" width="9.140625" style="47"/>
    <col min="1251" max="1251" width="7.42578125" style="47" customWidth="1"/>
    <col min="1252" max="1252" width="7.7109375" style="47" customWidth="1"/>
    <col min="1253" max="1253" width="30.42578125" style="47" bestFit="1" customWidth="1"/>
    <col min="1254" max="1254" width="13.85546875" style="47" customWidth="1"/>
    <col min="1255" max="1255" width="8.140625" style="47" customWidth="1"/>
    <col min="1256" max="1256" width="9" style="47" customWidth="1"/>
    <col min="1257" max="1258" width="0" style="47" hidden="1" customWidth="1"/>
    <col min="1259" max="1259" width="10.7109375" style="47" customWidth="1"/>
    <col min="1260" max="1260" width="14.140625" style="47" customWidth="1"/>
    <col min="1261" max="1261" width="16.5703125" style="47" bestFit="1" customWidth="1"/>
    <col min="1262" max="1262" width="15.85546875" style="47" customWidth="1"/>
    <col min="1263" max="1263" width="12.7109375" style="47" customWidth="1"/>
    <col min="1264" max="1264" width="9.7109375" style="47" customWidth="1"/>
    <col min="1265" max="1265" width="17.42578125" style="47" customWidth="1"/>
    <col min="1266" max="1266" width="12.5703125" style="47" customWidth="1"/>
    <col min="1267" max="1267" width="14.5703125" style="47" customWidth="1"/>
    <col min="1268" max="1271" width="9.140625" style="47"/>
    <col min="1272" max="1272" width="12.85546875" style="47" bestFit="1" customWidth="1"/>
    <col min="1273" max="1506" width="9.140625" style="47"/>
    <col min="1507" max="1507" width="7.42578125" style="47" customWidth="1"/>
    <col min="1508" max="1508" width="7.7109375" style="47" customWidth="1"/>
    <col min="1509" max="1509" width="30.42578125" style="47" bestFit="1" customWidth="1"/>
    <col min="1510" max="1510" width="13.85546875" style="47" customWidth="1"/>
    <col min="1511" max="1511" width="8.140625" style="47" customWidth="1"/>
    <col min="1512" max="1512" width="9" style="47" customWidth="1"/>
    <col min="1513" max="1514" width="0" style="47" hidden="1" customWidth="1"/>
    <col min="1515" max="1515" width="10.7109375" style="47" customWidth="1"/>
    <col min="1516" max="1516" width="14.140625" style="47" customWidth="1"/>
    <col min="1517" max="1517" width="16.5703125" style="47" bestFit="1" customWidth="1"/>
    <col min="1518" max="1518" width="15.85546875" style="47" customWidth="1"/>
    <col min="1519" max="1519" width="12.7109375" style="47" customWidth="1"/>
    <col min="1520" max="1520" width="9.7109375" style="47" customWidth="1"/>
    <col min="1521" max="1521" width="17.42578125" style="47" customWidth="1"/>
    <col min="1522" max="1522" width="12.5703125" style="47" customWidth="1"/>
    <col min="1523" max="1523" width="14.5703125" style="47" customWidth="1"/>
    <col min="1524" max="1527" width="9.140625" style="47"/>
    <col min="1528" max="1528" width="12.85546875" style="47" bestFit="1" customWidth="1"/>
    <col min="1529" max="1762" width="9.140625" style="47"/>
    <col min="1763" max="1763" width="7.42578125" style="47" customWidth="1"/>
    <col min="1764" max="1764" width="7.7109375" style="47" customWidth="1"/>
    <col min="1765" max="1765" width="30.42578125" style="47" bestFit="1" customWidth="1"/>
    <col min="1766" max="1766" width="13.85546875" style="47" customWidth="1"/>
    <col min="1767" max="1767" width="8.140625" style="47" customWidth="1"/>
    <col min="1768" max="1768" width="9" style="47" customWidth="1"/>
    <col min="1769" max="1770" width="0" style="47" hidden="1" customWidth="1"/>
    <col min="1771" max="1771" width="10.7109375" style="47" customWidth="1"/>
    <col min="1772" max="1772" width="14.140625" style="47" customWidth="1"/>
    <col min="1773" max="1773" width="16.5703125" style="47" bestFit="1" customWidth="1"/>
    <col min="1774" max="1774" width="15.85546875" style="47" customWidth="1"/>
    <col min="1775" max="1775" width="12.7109375" style="47" customWidth="1"/>
    <col min="1776" max="1776" width="9.7109375" style="47" customWidth="1"/>
    <col min="1777" max="1777" width="17.42578125" style="47" customWidth="1"/>
    <col min="1778" max="1778" width="12.5703125" style="47" customWidth="1"/>
    <col min="1779" max="1779" width="14.5703125" style="47" customWidth="1"/>
    <col min="1780" max="1783" width="9.140625" style="47"/>
    <col min="1784" max="1784" width="12.85546875" style="47" bestFit="1" customWidth="1"/>
    <col min="1785" max="2018" width="9.140625" style="47"/>
    <col min="2019" max="2019" width="7.42578125" style="47" customWidth="1"/>
    <col min="2020" max="2020" width="7.7109375" style="47" customWidth="1"/>
    <col min="2021" max="2021" width="30.42578125" style="47" bestFit="1" customWidth="1"/>
    <col min="2022" max="2022" width="13.85546875" style="47" customWidth="1"/>
    <col min="2023" max="2023" width="8.140625" style="47" customWidth="1"/>
    <col min="2024" max="2024" width="9" style="47" customWidth="1"/>
    <col min="2025" max="2026" width="0" style="47" hidden="1" customWidth="1"/>
    <col min="2027" max="2027" width="10.7109375" style="47" customWidth="1"/>
    <col min="2028" max="2028" width="14.140625" style="47" customWidth="1"/>
    <col min="2029" max="2029" width="16.5703125" style="47" bestFit="1" customWidth="1"/>
    <col min="2030" max="2030" width="15.85546875" style="47" customWidth="1"/>
    <col min="2031" max="2031" width="12.7109375" style="47" customWidth="1"/>
    <col min="2032" max="2032" width="9.7109375" style="47" customWidth="1"/>
    <col min="2033" max="2033" width="17.42578125" style="47" customWidth="1"/>
    <col min="2034" max="2034" width="12.5703125" style="47" customWidth="1"/>
    <col min="2035" max="2035" width="14.5703125" style="47" customWidth="1"/>
    <col min="2036" max="2039" width="9.140625" style="47"/>
    <col min="2040" max="2040" width="12.85546875" style="47" bestFit="1" customWidth="1"/>
    <col min="2041" max="2274" width="9.140625" style="47"/>
    <col min="2275" max="2275" width="7.42578125" style="47" customWidth="1"/>
    <col min="2276" max="2276" width="7.7109375" style="47" customWidth="1"/>
    <col min="2277" max="2277" width="30.42578125" style="47" bestFit="1" customWidth="1"/>
    <col min="2278" max="2278" width="13.85546875" style="47" customWidth="1"/>
    <col min="2279" max="2279" width="8.140625" style="47" customWidth="1"/>
    <col min="2280" max="2280" width="9" style="47" customWidth="1"/>
    <col min="2281" max="2282" width="0" style="47" hidden="1" customWidth="1"/>
    <col min="2283" max="2283" width="10.7109375" style="47" customWidth="1"/>
    <col min="2284" max="2284" width="14.140625" style="47" customWidth="1"/>
    <col min="2285" max="2285" width="16.5703125" style="47" bestFit="1" customWidth="1"/>
    <col min="2286" max="2286" width="15.85546875" style="47" customWidth="1"/>
    <col min="2287" max="2287" width="12.7109375" style="47" customWidth="1"/>
    <col min="2288" max="2288" width="9.7109375" style="47" customWidth="1"/>
    <col min="2289" max="2289" width="17.42578125" style="47" customWidth="1"/>
    <col min="2290" max="2290" width="12.5703125" style="47" customWidth="1"/>
    <col min="2291" max="2291" width="14.5703125" style="47" customWidth="1"/>
    <col min="2292" max="2295" width="9.140625" style="47"/>
    <col min="2296" max="2296" width="12.85546875" style="47" bestFit="1" customWidth="1"/>
    <col min="2297" max="2530" width="9.140625" style="47"/>
    <col min="2531" max="2531" width="7.42578125" style="47" customWidth="1"/>
    <col min="2532" max="2532" width="7.7109375" style="47" customWidth="1"/>
    <col min="2533" max="2533" width="30.42578125" style="47" bestFit="1" customWidth="1"/>
    <col min="2534" max="2534" width="13.85546875" style="47" customWidth="1"/>
    <col min="2535" max="2535" width="8.140625" style="47" customWidth="1"/>
    <col min="2536" max="2536" width="9" style="47" customWidth="1"/>
    <col min="2537" max="2538" width="0" style="47" hidden="1" customWidth="1"/>
    <col min="2539" max="2539" width="10.7109375" style="47" customWidth="1"/>
    <col min="2540" max="2540" width="14.140625" style="47" customWidth="1"/>
    <col min="2541" max="2541" width="16.5703125" style="47" bestFit="1" customWidth="1"/>
    <col min="2542" max="2542" width="15.85546875" style="47" customWidth="1"/>
    <col min="2543" max="2543" width="12.7109375" style="47" customWidth="1"/>
    <col min="2544" max="2544" width="9.7109375" style="47" customWidth="1"/>
    <col min="2545" max="2545" width="17.42578125" style="47" customWidth="1"/>
    <col min="2546" max="2546" width="12.5703125" style="47" customWidth="1"/>
    <col min="2547" max="2547" width="14.5703125" style="47" customWidth="1"/>
    <col min="2548" max="2551" width="9.140625" style="47"/>
    <col min="2552" max="2552" width="12.85546875" style="47" bestFit="1" customWidth="1"/>
    <col min="2553" max="2786" width="9.140625" style="47"/>
    <col min="2787" max="2787" width="7.42578125" style="47" customWidth="1"/>
    <col min="2788" max="2788" width="7.7109375" style="47" customWidth="1"/>
    <col min="2789" max="2789" width="30.42578125" style="47" bestFit="1" customWidth="1"/>
    <col min="2790" max="2790" width="13.85546875" style="47" customWidth="1"/>
    <col min="2791" max="2791" width="8.140625" style="47" customWidth="1"/>
    <col min="2792" max="2792" width="9" style="47" customWidth="1"/>
    <col min="2793" max="2794" width="0" style="47" hidden="1" customWidth="1"/>
    <col min="2795" max="2795" width="10.7109375" style="47" customWidth="1"/>
    <col min="2796" max="2796" width="14.140625" style="47" customWidth="1"/>
    <col min="2797" max="2797" width="16.5703125" style="47" bestFit="1" customWidth="1"/>
    <col min="2798" max="2798" width="15.85546875" style="47" customWidth="1"/>
    <col min="2799" max="2799" width="12.7109375" style="47" customWidth="1"/>
    <col min="2800" max="2800" width="9.7109375" style="47" customWidth="1"/>
    <col min="2801" max="2801" width="17.42578125" style="47" customWidth="1"/>
    <col min="2802" max="2802" width="12.5703125" style="47" customWidth="1"/>
    <col min="2803" max="2803" width="14.5703125" style="47" customWidth="1"/>
    <col min="2804" max="2807" width="9.140625" style="47"/>
    <col min="2808" max="2808" width="12.85546875" style="47" bestFit="1" customWidth="1"/>
    <col min="2809" max="3042" width="9.140625" style="47"/>
    <col min="3043" max="3043" width="7.42578125" style="47" customWidth="1"/>
    <col min="3044" max="3044" width="7.7109375" style="47" customWidth="1"/>
    <col min="3045" max="3045" width="30.42578125" style="47" bestFit="1" customWidth="1"/>
    <col min="3046" max="3046" width="13.85546875" style="47" customWidth="1"/>
    <col min="3047" max="3047" width="8.140625" style="47" customWidth="1"/>
    <col min="3048" max="3048" width="9" style="47" customWidth="1"/>
    <col min="3049" max="3050" width="0" style="47" hidden="1" customWidth="1"/>
    <col min="3051" max="3051" width="10.7109375" style="47" customWidth="1"/>
    <col min="3052" max="3052" width="14.140625" style="47" customWidth="1"/>
    <col min="3053" max="3053" width="16.5703125" style="47" bestFit="1" customWidth="1"/>
    <col min="3054" max="3054" width="15.85546875" style="47" customWidth="1"/>
    <col min="3055" max="3055" width="12.7109375" style="47" customWidth="1"/>
    <col min="3056" max="3056" width="9.7109375" style="47" customWidth="1"/>
    <col min="3057" max="3057" width="17.42578125" style="47" customWidth="1"/>
    <col min="3058" max="3058" width="12.5703125" style="47" customWidth="1"/>
    <col min="3059" max="3059" width="14.5703125" style="47" customWidth="1"/>
    <col min="3060" max="3063" width="9.140625" style="47"/>
    <col min="3064" max="3064" width="12.85546875" style="47" bestFit="1" customWidth="1"/>
    <col min="3065" max="3298" width="9.140625" style="47"/>
    <col min="3299" max="3299" width="7.42578125" style="47" customWidth="1"/>
    <col min="3300" max="3300" width="7.7109375" style="47" customWidth="1"/>
    <col min="3301" max="3301" width="30.42578125" style="47" bestFit="1" customWidth="1"/>
    <col min="3302" max="3302" width="13.85546875" style="47" customWidth="1"/>
    <col min="3303" max="3303" width="8.140625" style="47" customWidth="1"/>
    <col min="3304" max="3304" width="9" style="47" customWidth="1"/>
    <col min="3305" max="3306" width="0" style="47" hidden="1" customWidth="1"/>
    <col min="3307" max="3307" width="10.7109375" style="47" customWidth="1"/>
    <col min="3308" max="3308" width="14.140625" style="47" customWidth="1"/>
    <col min="3309" max="3309" width="16.5703125" style="47" bestFit="1" customWidth="1"/>
    <col min="3310" max="3310" width="15.85546875" style="47" customWidth="1"/>
    <col min="3311" max="3311" width="12.7109375" style="47" customWidth="1"/>
    <col min="3312" max="3312" width="9.7109375" style="47" customWidth="1"/>
    <col min="3313" max="3313" width="17.42578125" style="47" customWidth="1"/>
    <col min="3314" max="3314" width="12.5703125" style="47" customWidth="1"/>
    <col min="3315" max="3315" width="14.5703125" style="47" customWidth="1"/>
    <col min="3316" max="3319" width="9.140625" style="47"/>
    <col min="3320" max="3320" width="12.85546875" style="47" bestFit="1" customWidth="1"/>
    <col min="3321" max="3554" width="9.140625" style="47"/>
    <col min="3555" max="3555" width="7.42578125" style="47" customWidth="1"/>
    <col min="3556" max="3556" width="7.7109375" style="47" customWidth="1"/>
    <col min="3557" max="3557" width="30.42578125" style="47" bestFit="1" customWidth="1"/>
    <col min="3558" max="3558" width="13.85546875" style="47" customWidth="1"/>
    <col min="3559" max="3559" width="8.140625" style="47" customWidth="1"/>
    <col min="3560" max="3560" width="9" style="47" customWidth="1"/>
    <col min="3561" max="3562" width="0" style="47" hidden="1" customWidth="1"/>
    <col min="3563" max="3563" width="10.7109375" style="47" customWidth="1"/>
    <col min="3564" max="3564" width="14.140625" style="47" customWidth="1"/>
    <col min="3565" max="3565" width="16.5703125" style="47" bestFit="1" customWidth="1"/>
    <col min="3566" max="3566" width="15.85546875" style="47" customWidth="1"/>
    <col min="3567" max="3567" width="12.7109375" style="47" customWidth="1"/>
    <col min="3568" max="3568" width="9.7109375" style="47" customWidth="1"/>
    <col min="3569" max="3569" width="17.42578125" style="47" customWidth="1"/>
    <col min="3570" max="3570" width="12.5703125" style="47" customWidth="1"/>
    <col min="3571" max="3571" width="14.5703125" style="47" customWidth="1"/>
    <col min="3572" max="3575" width="9.140625" style="47"/>
    <col min="3576" max="3576" width="12.85546875" style="47" bestFit="1" customWidth="1"/>
    <col min="3577" max="3810" width="9.140625" style="47"/>
    <col min="3811" max="3811" width="7.42578125" style="47" customWidth="1"/>
    <col min="3812" max="3812" width="7.7109375" style="47" customWidth="1"/>
    <col min="3813" max="3813" width="30.42578125" style="47" bestFit="1" customWidth="1"/>
    <col min="3814" max="3814" width="13.85546875" style="47" customWidth="1"/>
    <col min="3815" max="3815" width="8.140625" style="47" customWidth="1"/>
    <col min="3816" max="3816" width="9" style="47" customWidth="1"/>
    <col min="3817" max="3818" width="0" style="47" hidden="1" customWidth="1"/>
    <col min="3819" max="3819" width="10.7109375" style="47" customWidth="1"/>
    <col min="3820" max="3820" width="14.140625" style="47" customWidth="1"/>
    <col min="3821" max="3821" width="16.5703125" style="47" bestFit="1" customWidth="1"/>
    <col min="3822" max="3822" width="15.85546875" style="47" customWidth="1"/>
    <col min="3823" max="3823" width="12.7109375" style="47" customWidth="1"/>
    <col min="3824" max="3824" width="9.7109375" style="47" customWidth="1"/>
    <col min="3825" max="3825" width="17.42578125" style="47" customWidth="1"/>
    <col min="3826" max="3826" width="12.5703125" style="47" customWidth="1"/>
    <col min="3827" max="3827" width="14.5703125" style="47" customWidth="1"/>
    <col min="3828" max="3831" width="9.140625" style="47"/>
    <col min="3832" max="3832" width="12.85546875" style="47" bestFit="1" customWidth="1"/>
    <col min="3833" max="4066" width="9.140625" style="47"/>
    <col min="4067" max="4067" width="7.42578125" style="47" customWidth="1"/>
    <col min="4068" max="4068" width="7.7109375" style="47" customWidth="1"/>
    <col min="4069" max="4069" width="30.42578125" style="47" bestFit="1" customWidth="1"/>
    <col min="4070" max="4070" width="13.85546875" style="47" customWidth="1"/>
    <col min="4071" max="4071" width="8.140625" style="47" customWidth="1"/>
    <col min="4072" max="4072" width="9" style="47" customWidth="1"/>
    <col min="4073" max="4074" width="0" style="47" hidden="1" customWidth="1"/>
    <col min="4075" max="4075" width="10.7109375" style="47" customWidth="1"/>
    <col min="4076" max="4076" width="14.140625" style="47" customWidth="1"/>
    <col min="4077" max="4077" width="16.5703125" style="47" bestFit="1" customWidth="1"/>
    <col min="4078" max="4078" width="15.85546875" style="47" customWidth="1"/>
    <col min="4079" max="4079" width="12.7109375" style="47" customWidth="1"/>
    <col min="4080" max="4080" width="9.7109375" style="47" customWidth="1"/>
    <col min="4081" max="4081" width="17.42578125" style="47" customWidth="1"/>
    <col min="4082" max="4082" width="12.5703125" style="47" customWidth="1"/>
    <col min="4083" max="4083" width="14.5703125" style="47" customWidth="1"/>
    <col min="4084" max="4087" width="9.140625" style="47"/>
    <col min="4088" max="4088" width="12.85546875" style="47" bestFit="1" customWidth="1"/>
    <col min="4089" max="4322" width="9.140625" style="47"/>
    <col min="4323" max="4323" width="7.42578125" style="47" customWidth="1"/>
    <col min="4324" max="4324" width="7.7109375" style="47" customWidth="1"/>
    <col min="4325" max="4325" width="30.42578125" style="47" bestFit="1" customWidth="1"/>
    <col min="4326" max="4326" width="13.85546875" style="47" customWidth="1"/>
    <col min="4327" max="4327" width="8.140625" style="47" customWidth="1"/>
    <col min="4328" max="4328" width="9" style="47" customWidth="1"/>
    <col min="4329" max="4330" width="0" style="47" hidden="1" customWidth="1"/>
    <col min="4331" max="4331" width="10.7109375" style="47" customWidth="1"/>
    <col min="4332" max="4332" width="14.140625" style="47" customWidth="1"/>
    <col min="4333" max="4333" width="16.5703125" style="47" bestFit="1" customWidth="1"/>
    <col min="4334" max="4334" width="15.85546875" style="47" customWidth="1"/>
    <col min="4335" max="4335" width="12.7109375" style="47" customWidth="1"/>
    <col min="4336" max="4336" width="9.7109375" style="47" customWidth="1"/>
    <col min="4337" max="4337" width="17.42578125" style="47" customWidth="1"/>
    <col min="4338" max="4338" width="12.5703125" style="47" customWidth="1"/>
    <col min="4339" max="4339" width="14.5703125" style="47" customWidth="1"/>
    <col min="4340" max="4343" width="9.140625" style="47"/>
    <col min="4344" max="4344" width="12.85546875" style="47" bestFit="1" customWidth="1"/>
    <col min="4345" max="4578" width="9.140625" style="47"/>
    <col min="4579" max="4579" width="7.42578125" style="47" customWidth="1"/>
    <col min="4580" max="4580" width="7.7109375" style="47" customWidth="1"/>
    <col min="4581" max="4581" width="30.42578125" style="47" bestFit="1" customWidth="1"/>
    <col min="4582" max="4582" width="13.85546875" style="47" customWidth="1"/>
    <col min="4583" max="4583" width="8.140625" style="47" customWidth="1"/>
    <col min="4584" max="4584" width="9" style="47" customWidth="1"/>
    <col min="4585" max="4586" width="0" style="47" hidden="1" customWidth="1"/>
    <col min="4587" max="4587" width="10.7109375" style="47" customWidth="1"/>
    <col min="4588" max="4588" width="14.140625" style="47" customWidth="1"/>
    <col min="4589" max="4589" width="16.5703125" style="47" bestFit="1" customWidth="1"/>
    <col min="4590" max="4590" width="15.85546875" style="47" customWidth="1"/>
    <col min="4591" max="4591" width="12.7109375" style="47" customWidth="1"/>
    <col min="4592" max="4592" width="9.7109375" style="47" customWidth="1"/>
    <col min="4593" max="4593" width="17.42578125" style="47" customWidth="1"/>
    <col min="4594" max="4594" width="12.5703125" style="47" customWidth="1"/>
    <col min="4595" max="4595" width="14.5703125" style="47" customWidth="1"/>
    <col min="4596" max="4599" width="9.140625" style="47"/>
    <col min="4600" max="4600" width="12.85546875" style="47" bestFit="1" customWidth="1"/>
    <col min="4601" max="4834" width="9.140625" style="47"/>
    <col min="4835" max="4835" width="7.42578125" style="47" customWidth="1"/>
    <col min="4836" max="4836" width="7.7109375" style="47" customWidth="1"/>
    <col min="4837" max="4837" width="30.42578125" style="47" bestFit="1" customWidth="1"/>
    <col min="4838" max="4838" width="13.85546875" style="47" customWidth="1"/>
    <col min="4839" max="4839" width="8.140625" style="47" customWidth="1"/>
    <col min="4840" max="4840" width="9" style="47" customWidth="1"/>
    <col min="4841" max="4842" width="0" style="47" hidden="1" customWidth="1"/>
    <col min="4843" max="4843" width="10.7109375" style="47" customWidth="1"/>
    <col min="4844" max="4844" width="14.140625" style="47" customWidth="1"/>
    <col min="4845" max="4845" width="16.5703125" style="47" bestFit="1" customWidth="1"/>
    <col min="4846" max="4846" width="15.85546875" style="47" customWidth="1"/>
    <col min="4847" max="4847" width="12.7109375" style="47" customWidth="1"/>
    <col min="4848" max="4848" width="9.7109375" style="47" customWidth="1"/>
    <col min="4849" max="4849" width="17.42578125" style="47" customWidth="1"/>
    <col min="4850" max="4850" width="12.5703125" style="47" customWidth="1"/>
    <col min="4851" max="4851" width="14.5703125" style="47" customWidth="1"/>
    <col min="4852" max="4855" width="9.140625" style="47"/>
    <col min="4856" max="4856" width="12.85546875" style="47" bestFit="1" customWidth="1"/>
    <col min="4857" max="5090" width="9.140625" style="47"/>
    <col min="5091" max="5091" width="7.42578125" style="47" customWidth="1"/>
    <col min="5092" max="5092" width="7.7109375" style="47" customWidth="1"/>
    <col min="5093" max="5093" width="30.42578125" style="47" bestFit="1" customWidth="1"/>
    <col min="5094" max="5094" width="13.85546875" style="47" customWidth="1"/>
    <col min="5095" max="5095" width="8.140625" style="47" customWidth="1"/>
    <col min="5096" max="5096" width="9" style="47" customWidth="1"/>
    <col min="5097" max="5098" width="0" style="47" hidden="1" customWidth="1"/>
    <col min="5099" max="5099" width="10.7109375" style="47" customWidth="1"/>
    <col min="5100" max="5100" width="14.140625" style="47" customWidth="1"/>
    <col min="5101" max="5101" width="16.5703125" style="47" bestFit="1" customWidth="1"/>
    <col min="5102" max="5102" width="15.85546875" style="47" customWidth="1"/>
    <col min="5103" max="5103" width="12.7109375" style="47" customWidth="1"/>
    <col min="5104" max="5104" width="9.7109375" style="47" customWidth="1"/>
    <col min="5105" max="5105" width="17.42578125" style="47" customWidth="1"/>
    <col min="5106" max="5106" width="12.5703125" style="47" customWidth="1"/>
    <col min="5107" max="5107" width="14.5703125" style="47" customWidth="1"/>
    <col min="5108" max="5111" width="9.140625" style="47"/>
    <col min="5112" max="5112" width="12.85546875" style="47" bestFit="1" customWidth="1"/>
    <col min="5113" max="5346" width="9.140625" style="47"/>
    <col min="5347" max="5347" width="7.42578125" style="47" customWidth="1"/>
    <col min="5348" max="5348" width="7.7109375" style="47" customWidth="1"/>
    <col min="5349" max="5349" width="30.42578125" style="47" bestFit="1" customWidth="1"/>
    <col min="5350" max="5350" width="13.85546875" style="47" customWidth="1"/>
    <col min="5351" max="5351" width="8.140625" style="47" customWidth="1"/>
    <col min="5352" max="5352" width="9" style="47" customWidth="1"/>
    <col min="5353" max="5354" width="0" style="47" hidden="1" customWidth="1"/>
    <col min="5355" max="5355" width="10.7109375" style="47" customWidth="1"/>
    <col min="5356" max="5356" width="14.140625" style="47" customWidth="1"/>
    <col min="5357" max="5357" width="16.5703125" style="47" bestFit="1" customWidth="1"/>
    <col min="5358" max="5358" width="15.85546875" style="47" customWidth="1"/>
    <col min="5359" max="5359" width="12.7109375" style="47" customWidth="1"/>
    <col min="5360" max="5360" width="9.7109375" style="47" customWidth="1"/>
    <col min="5361" max="5361" width="17.42578125" style="47" customWidth="1"/>
    <col min="5362" max="5362" width="12.5703125" style="47" customWidth="1"/>
    <col min="5363" max="5363" width="14.5703125" style="47" customWidth="1"/>
    <col min="5364" max="5367" width="9.140625" style="47"/>
    <col min="5368" max="5368" width="12.85546875" style="47" bestFit="1" customWidth="1"/>
    <col min="5369" max="5602" width="9.140625" style="47"/>
    <col min="5603" max="5603" width="7.42578125" style="47" customWidth="1"/>
    <col min="5604" max="5604" width="7.7109375" style="47" customWidth="1"/>
    <col min="5605" max="5605" width="30.42578125" style="47" bestFit="1" customWidth="1"/>
    <col min="5606" max="5606" width="13.85546875" style="47" customWidth="1"/>
    <col min="5607" max="5607" width="8.140625" style="47" customWidth="1"/>
    <col min="5608" max="5608" width="9" style="47" customWidth="1"/>
    <col min="5609" max="5610" width="0" style="47" hidden="1" customWidth="1"/>
    <col min="5611" max="5611" width="10.7109375" style="47" customWidth="1"/>
    <col min="5612" max="5612" width="14.140625" style="47" customWidth="1"/>
    <col min="5613" max="5613" width="16.5703125" style="47" bestFit="1" customWidth="1"/>
    <col min="5614" max="5614" width="15.85546875" style="47" customWidth="1"/>
    <col min="5615" max="5615" width="12.7109375" style="47" customWidth="1"/>
    <col min="5616" max="5616" width="9.7109375" style="47" customWidth="1"/>
    <col min="5617" max="5617" width="17.42578125" style="47" customWidth="1"/>
    <col min="5618" max="5618" width="12.5703125" style="47" customWidth="1"/>
    <col min="5619" max="5619" width="14.5703125" style="47" customWidth="1"/>
    <col min="5620" max="5623" width="9.140625" style="47"/>
    <col min="5624" max="5624" width="12.85546875" style="47" bestFit="1" customWidth="1"/>
    <col min="5625" max="5858" width="9.140625" style="47"/>
    <col min="5859" max="5859" width="7.42578125" style="47" customWidth="1"/>
    <col min="5860" max="5860" width="7.7109375" style="47" customWidth="1"/>
    <col min="5861" max="5861" width="30.42578125" style="47" bestFit="1" customWidth="1"/>
    <col min="5862" max="5862" width="13.85546875" style="47" customWidth="1"/>
    <col min="5863" max="5863" width="8.140625" style="47" customWidth="1"/>
    <col min="5864" max="5864" width="9" style="47" customWidth="1"/>
    <col min="5865" max="5866" width="0" style="47" hidden="1" customWidth="1"/>
    <col min="5867" max="5867" width="10.7109375" style="47" customWidth="1"/>
    <col min="5868" max="5868" width="14.140625" style="47" customWidth="1"/>
    <col min="5869" max="5869" width="16.5703125" style="47" bestFit="1" customWidth="1"/>
    <col min="5870" max="5870" width="15.85546875" style="47" customWidth="1"/>
    <col min="5871" max="5871" width="12.7109375" style="47" customWidth="1"/>
    <col min="5872" max="5872" width="9.7109375" style="47" customWidth="1"/>
    <col min="5873" max="5873" width="17.42578125" style="47" customWidth="1"/>
    <col min="5874" max="5874" width="12.5703125" style="47" customWidth="1"/>
    <col min="5875" max="5875" width="14.5703125" style="47" customWidth="1"/>
    <col min="5876" max="5879" width="9.140625" style="47"/>
    <col min="5880" max="5880" width="12.85546875" style="47" bestFit="1" customWidth="1"/>
    <col min="5881" max="6114" width="9.140625" style="47"/>
    <col min="6115" max="6115" width="7.42578125" style="47" customWidth="1"/>
    <col min="6116" max="6116" width="7.7109375" style="47" customWidth="1"/>
    <col min="6117" max="6117" width="30.42578125" style="47" bestFit="1" customWidth="1"/>
    <col min="6118" max="6118" width="13.85546875" style="47" customWidth="1"/>
    <col min="6119" max="6119" width="8.140625" style="47" customWidth="1"/>
    <col min="6120" max="6120" width="9" style="47" customWidth="1"/>
    <col min="6121" max="6122" width="0" style="47" hidden="1" customWidth="1"/>
    <col min="6123" max="6123" width="10.7109375" style="47" customWidth="1"/>
    <col min="6124" max="6124" width="14.140625" style="47" customWidth="1"/>
    <col min="6125" max="6125" width="16.5703125" style="47" bestFit="1" customWidth="1"/>
    <col min="6126" max="6126" width="15.85546875" style="47" customWidth="1"/>
    <col min="6127" max="6127" width="12.7109375" style="47" customWidth="1"/>
    <col min="6128" max="6128" width="9.7109375" style="47" customWidth="1"/>
    <col min="6129" max="6129" width="17.42578125" style="47" customWidth="1"/>
    <col min="6130" max="6130" width="12.5703125" style="47" customWidth="1"/>
    <col min="6131" max="6131" width="14.5703125" style="47" customWidth="1"/>
    <col min="6132" max="6135" width="9.140625" style="47"/>
    <col min="6136" max="6136" width="12.85546875" style="47" bestFit="1" customWidth="1"/>
    <col min="6137" max="6370" width="9.140625" style="47"/>
    <col min="6371" max="6371" width="7.42578125" style="47" customWidth="1"/>
    <col min="6372" max="6372" width="7.7109375" style="47" customWidth="1"/>
    <col min="6373" max="6373" width="30.42578125" style="47" bestFit="1" customWidth="1"/>
    <col min="6374" max="6374" width="13.85546875" style="47" customWidth="1"/>
    <col min="6375" max="6375" width="8.140625" style="47" customWidth="1"/>
    <col min="6376" max="6376" width="9" style="47" customWidth="1"/>
    <col min="6377" max="6378" width="0" style="47" hidden="1" customWidth="1"/>
    <col min="6379" max="6379" width="10.7109375" style="47" customWidth="1"/>
    <col min="6380" max="6380" width="14.140625" style="47" customWidth="1"/>
    <col min="6381" max="6381" width="16.5703125" style="47" bestFit="1" customWidth="1"/>
    <col min="6382" max="6382" width="15.85546875" style="47" customWidth="1"/>
    <col min="6383" max="6383" width="12.7109375" style="47" customWidth="1"/>
    <col min="6384" max="6384" width="9.7109375" style="47" customWidth="1"/>
    <col min="6385" max="6385" width="17.42578125" style="47" customWidth="1"/>
    <col min="6386" max="6386" width="12.5703125" style="47" customWidth="1"/>
    <col min="6387" max="6387" width="14.5703125" style="47" customWidth="1"/>
    <col min="6388" max="6391" width="9.140625" style="47"/>
    <col min="6392" max="6392" width="12.85546875" style="47" bestFit="1" customWidth="1"/>
    <col min="6393" max="6626" width="9.140625" style="47"/>
    <col min="6627" max="6627" width="7.42578125" style="47" customWidth="1"/>
    <col min="6628" max="6628" width="7.7109375" style="47" customWidth="1"/>
    <col min="6629" max="6629" width="30.42578125" style="47" bestFit="1" customWidth="1"/>
    <col min="6630" max="6630" width="13.85546875" style="47" customWidth="1"/>
    <col min="6631" max="6631" width="8.140625" style="47" customWidth="1"/>
    <col min="6632" max="6632" width="9" style="47" customWidth="1"/>
    <col min="6633" max="6634" width="0" style="47" hidden="1" customWidth="1"/>
    <col min="6635" max="6635" width="10.7109375" style="47" customWidth="1"/>
    <col min="6636" max="6636" width="14.140625" style="47" customWidth="1"/>
    <col min="6637" max="6637" width="16.5703125" style="47" bestFit="1" customWidth="1"/>
    <col min="6638" max="6638" width="15.85546875" style="47" customWidth="1"/>
    <col min="6639" max="6639" width="12.7109375" style="47" customWidth="1"/>
    <col min="6640" max="6640" width="9.7109375" style="47" customWidth="1"/>
    <col min="6641" max="6641" width="17.42578125" style="47" customWidth="1"/>
    <col min="6642" max="6642" width="12.5703125" style="47" customWidth="1"/>
    <col min="6643" max="6643" width="14.5703125" style="47" customWidth="1"/>
    <col min="6644" max="6647" width="9.140625" style="47"/>
    <col min="6648" max="6648" width="12.85546875" style="47" bestFit="1" customWidth="1"/>
    <col min="6649" max="6882" width="9.140625" style="47"/>
    <col min="6883" max="6883" width="7.42578125" style="47" customWidth="1"/>
    <col min="6884" max="6884" width="7.7109375" style="47" customWidth="1"/>
    <col min="6885" max="6885" width="30.42578125" style="47" bestFit="1" customWidth="1"/>
    <col min="6886" max="6886" width="13.85546875" style="47" customWidth="1"/>
    <col min="6887" max="6887" width="8.140625" style="47" customWidth="1"/>
    <col min="6888" max="6888" width="9" style="47" customWidth="1"/>
    <col min="6889" max="6890" width="0" style="47" hidden="1" customWidth="1"/>
    <col min="6891" max="6891" width="10.7109375" style="47" customWidth="1"/>
    <col min="6892" max="6892" width="14.140625" style="47" customWidth="1"/>
    <col min="6893" max="6893" width="16.5703125" style="47" bestFit="1" customWidth="1"/>
    <col min="6894" max="6894" width="15.85546875" style="47" customWidth="1"/>
    <col min="6895" max="6895" width="12.7109375" style="47" customWidth="1"/>
    <col min="6896" max="6896" width="9.7109375" style="47" customWidth="1"/>
    <col min="6897" max="6897" width="17.42578125" style="47" customWidth="1"/>
    <col min="6898" max="6898" width="12.5703125" style="47" customWidth="1"/>
    <col min="6899" max="6899" width="14.5703125" style="47" customWidth="1"/>
    <col min="6900" max="6903" width="9.140625" style="47"/>
    <col min="6904" max="6904" width="12.85546875" style="47" bestFit="1" customWidth="1"/>
    <col min="6905" max="7138" width="9.140625" style="47"/>
    <col min="7139" max="7139" width="7.42578125" style="47" customWidth="1"/>
    <col min="7140" max="7140" width="7.7109375" style="47" customWidth="1"/>
    <col min="7141" max="7141" width="30.42578125" style="47" bestFit="1" customWidth="1"/>
    <col min="7142" max="7142" width="13.85546875" style="47" customWidth="1"/>
    <col min="7143" max="7143" width="8.140625" style="47" customWidth="1"/>
    <col min="7144" max="7144" width="9" style="47" customWidth="1"/>
    <col min="7145" max="7146" width="0" style="47" hidden="1" customWidth="1"/>
    <col min="7147" max="7147" width="10.7109375" style="47" customWidth="1"/>
    <col min="7148" max="7148" width="14.140625" style="47" customWidth="1"/>
    <col min="7149" max="7149" width="16.5703125" style="47" bestFit="1" customWidth="1"/>
    <col min="7150" max="7150" width="15.85546875" style="47" customWidth="1"/>
    <col min="7151" max="7151" width="12.7109375" style="47" customWidth="1"/>
    <col min="7152" max="7152" width="9.7109375" style="47" customWidth="1"/>
    <col min="7153" max="7153" width="17.42578125" style="47" customWidth="1"/>
    <col min="7154" max="7154" width="12.5703125" style="47" customWidth="1"/>
    <col min="7155" max="7155" width="14.5703125" style="47" customWidth="1"/>
    <col min="7156" max="7159" width="9.140625" style="47"/>
    <col min="7160" max="7160" width="12.85546875" style="47" bestFit="1" customWidth="1"/>
    <col min="7161" max="7394" width="9.140625" style="47"/>
    <col min="7395" max="7395" width="7.42578125" style="47" customWidth="1"/>
    <col min="7396" max="7396" width="7.7109375" style="47" customWidth="1"/>
    <col min="7397" max="7397" width="30.42578125" style="47" bestFit="1" customWidth="1"/>
    <col min="7398" max="7398" width="13.85546875" style="47" customWidth="1"/>
    <col min="7399" max="7399" width="8.140625" style="47" customWidth="1"/>
    <col min="7400" max="7400" width="9" style="47" customWidth="1"/>
    <col min="7401" max="7402" width="0" style="47" hidden="1" customWidth="1"/>
    <col min="7403" max="7403" width="10.7109375" style="47" customWidth="1"/>
    <col min="7404" max="7404" width="14.140625" style="47" customWidth="1"/>
    <col min="7405" max="7405" width="16.5703125" style="47" bestFit="1" customWidth="1"/>
    <col min="7406" max="7406" width="15.85546875" style="47" customWidth="1"/>
    <col min="7407" max="7407" width="12.7109375" style="47" customWidth="1"/>
    <col min="7408" max="7408" width="9.7109375" style="47" customWidth="1"/>
    <col min="7409" max="7409" width="17.42578125" style="47" customWidth="1"/>
    <col min="7410" max="7410" width="12.5703125" style="47" customWidth="1"/>
    <col min="7411" max="7411" width="14.5703125" style="47" customWidth="1"/>
    <col min="7412" max="7415" width="9.140625" style="47"/>
    <col min="7416" max="7416" width="12.85546875" style="47" bestFit="1" customWidth="1"/>
    <col min="7417" max="7650" width="9.140625" style="47"/>
    <col min="7651" max="7651" width="7.42578125" style="47" customWidth="1"/>
    <col min="7652" max="7652" width="7.7109375" style="47" customWidth="1"/>
    <col min="7653" max="7653" width="30.42578125" style="47" bestFit="1" customWidth="1"/>
    <col min="7654" max="7654" width="13.85546875" style="47" customWidth="1"/>
    <col min="7655" max="7655" width="8.140625" style="47" customWidth="1"/>
    <col min="7656" max="7656" width="9" style="47" customWidth="1"/>
    <col min="7657" max="7658" width="0" style="47" hidden="1" customWidth="1"/>
    <col min="7659" max="7659" width="10.7109375" style="47" customWidth="1"/>
    <col min="7660" max="7660" width="14.140625" style="47" customWidth="1"/>
    <col min="7661" max="7661" width="16.5703125" style="47" bestFit="1" customWidth="1"/>
    <col min="7662" max="7662" width="15.85546875" style="47" customWidth="1"/>
    <col min="7663" max="7663" width="12.7109375" style="47" customWidth="1"/>
    <col min="7664" max="7664" width="9.7109375" style="47" customWidth="1"/>
    <col min="7665" max="7665" width="17.42578125" style="47" customWidth="1"/>
    <col min="7666" max="7666" width="12.5703125" style="47" customWidth="1"/>
    <col min="7667" max="7667" width="14.5703125" style="47" customWidth="1"/>
    <col min="7668" max="7671" width="9.140625" style="47"/>
    <col min="7672" max="7672" width="12.85546875" style="47" bestFit="1" customWidth="1"/>
    <col min="7673" max="7906" width="9.140625" style="47"/>
    <col min="7907" max="7907" width="7.42578125" style="47" customWidth="1"/>
    <col min="7908" max="7908" width="7.7109375" style="47" customWidth="1"/>
    <col min="7909" max="7909" width="30.42578125" style="47" bestFit="1" customWidth="1"/>
    <col min="7910" max="7910" width="13.85546875" style="47" customWidth="1"/>
    <col min="7911" max="7911" width="8.140625" style="47" customWidth="1"/>
    <col min="7912" max="7912" width="9" style="47" customWidth="1"/>
    <col min="7913" max="7914" width="0" style="47" hidden="1" customWidth="1"/>
    <col min="7915" max="7915" width="10.7109375" style="47" customWidth="1"/>
    <col min="7916" max="7916" width="14.140625" style="47" customWidth="1"/>
    <col min="7917" max="7917" width="16.5703125" style="47" bestFit="1" customWidth="1"/>
    <col min="7918" max="7918" width="15.85546875" style="47" customWidth="1"/>
    <col min="7919" max="7919" width="12.7109375" style="47" customWidth="1"/>
    <col min="7920" max="7920" width="9.7109375" style="47" customWidth="1"/>
    <col min="7921" max="7921" width="17.42578125" style="47" customWidth="1"/>
    <col min="7922" max="7922" width="12.5703125" style="47" customWidth="1"/>
    <col min="7923" max="7923" width="14.5703125" style="47" customWidth="1"/>
    <col min="7924" max="7927" width="9.140625" style="47"/>
    <col min="7928" max="7928" width="12.85546875" style="47" bestFit="1" customWidth="1"/>
    <col min="7929" max="8162" width="9.140625" style="47"/>
    <col min="8163" max="8163" width="7.42578125" style="47" customWidth="1"/>
    <col min="8164" max="8164" width="7.7109375" style="47" customWidth="1"/>
    <col min="8165" max="8165" width="30.42578125" style="47" bestFit="1" customWidth="1"/>
    <col min="8166" max="8166" width="13.85546875" style="47" customWidth="1"/>
    <col min="8167" max="8167" width="8.140625" style="47" customWidth="1"/>
    <col min="8168" max="8168" width="9" style="47" customWidth="1"/>
    <col min="8169" max="8170" width="0" style="47" hidden="1" customWidth="1"/>
    <col min="8171" max="8171" width="10.7109375" style="47" customWidth="1"/>
    <col min="8172" max="8172" width="14.140625" style="47" customWidth="1"/>
    <col min="8173" max="8173" width="16.5703125" style="47" bestFit="1" customWidth="1"/>
    <col min="8174" max="8174" width="15.85546875" style="47" customWidth="1"/>
    <col min="8175" max="8175" width="12.7109375" style="47" customWidth="1"/>
    <col min="8176" max="8176" width="9.7109375" style="47" customWidth="1"/>
    <col min="8177" max="8177" width="17.42578125" style="47" customWidth="1"/>
    <col min="8178" max="8178" width="12.5703125" style="47" customWidth="1"/>
    <col min="8179" max="8179" width="14.5703125" style="47" customWidth="1"/>
    <col min="8180" max="8183" width="9.140625" style="47"/>
    <col min="8184" max="8184" width="12.85546875" style="47" bestFit="1" customWidth="1"/>
    <col min="8185" max="8418" width="9.140625" style="47"/>
    <col min="8419" max="8419" width="7.42578125" style="47" customWidth="1"/>
    <col min="8420" max="8420" width="7.7109375" style="47" customWidth="1"/>
    <col min="8421" max="8421" width="30.42578125" style="47" bestFit="1" customWidth="1"/>
    <col min="8422" max="8422" width="13.85546875" style="47" customWidth="1"/>
    <col min="8423" max="8423" width="8.140625" style="47" customWidth="1"/>
    <col min="8424" max="8424" width="9" style="47" customWidth="1"/>
    <col min="8425" max="8426" width="0" style="47" hidden="1" customWidth="1"/>
    <col min="8427" max="8427" width="10.7109375" style="47" customWidth="1"/>
    <col min="8428" max="8428" width="14.140625" style="47" customWidth="1"/>
    <col min="8429" max="8429" width="16.5703125" style="47" bestFit="1" customWidth="1"/>
    <col min="8430" max="8430" width="15.85546875" style="47" customWidth="1"/>
    <col min="8431" max="8431" width="12.7109375" style="47" customWidth="1"/>
    <col min="8432" max="8432" width="9.7109375" style="47" customWidth="1"/>
    <col min="8433" max="8433" width="17.42578125" style="47" customWidth="1"/>
    <col min="8434" max="8434" width="12.5703125" style="47" customWidth="1"/>
    <col min="8435" max="8435" width="14.5703125" style="47" customWidth="1"/>
    <col min="8436" max="8439" width="9.140625" style="47"/>
    <col min="8440" max="8440" width="12.85546875" style="47" bestFit="1" customWidth="1"/>
    <col min="8441" max="8674" width="9.140625" style="47"/>
    <col min="8675" max="8675" width="7.42578125" style="47" customWidth="1"/>
    <col min="8676" max="8676" width="7.7109375" style="47" customWidth="1"/>
    <col min="8677" max="8677" width="30.42578125" style="47" bestFit="1" customWidth="1"/>
    <col min="8678" max="8678" width="13.85546875" style="47" customWidth="1"/>
    <col min="8679" max="8679" width="8.140625" style="47" customWidth="1"/>
    <col min="8680" max="8680" width="9" style="47" customWidth="1"/>
    <col min="8681" max="8682" width="0" style="47" hidden="1" customWidth="1"/>
    <col min="8683" max="8683" width="10.7109375" style="47" customWidth="1"/>
    <col min="8684" max="8684" width="14.140625" style="47" customWidth="1"/>
    <col min="8685" max="8685" width="16.5703125" style="47" bestFit="1" customWidth="1"/>
    <col min="8686" max="8686" width="15.85546875" style="47" customWidth="1"/>
    <col min="8687" max="8687" width="12.7109375" style="47" customWidth="1"/>
    <col min="8688" max="8688" width="9.7109375" style="47" customWidth="1"/>
    <col min="8689" max="8689" width="17.42578125" style="47" customWidth="1"/>
    <col min="8690" max="8690" width="12.5703125" style="47" customWidth="1"/>
    <col min="8691" max="8691" width="14.5703125" style="47" customWidth="1"/>
    <col min="8692" max="8695" width="9.140625" style="47"/>
    <col min="8696" max="8696" width="12.85546875" style="47" bestFit="1" customWidth="1"/>
    <col min="8697" max="8930" width="9.140625" style="47"/>
    <col min="8931" max="8931" width="7.42578125" style="47" customWidth="1"/>
    <col min="8932" max="8932" width="7.7109375" style="47" customWidth="1"/>
    <col min="8933" max="8933" width="30.42578125" style="47" bestFit="1" customWidth="1"/>
    <col min="8934" max="8934" width="13.85546875" style="47" customWidth="1"/>
    <col min="8935" max="8935" width="8.140625" style="47" customWidth="1"/>
    <col min="8936" max="8936" width="9" style="47" customWidth="1"/>
    <col min="8937" max="8938" width="0" style="47" hidden="1" customWidth="1"/>
    <col min="8939" max="8939" width="10.7109375" style="47" customWidth="1"/>
    <col min="8940" max="8940" width="14.140625" style="47" customWidth="1"/>
    <col min="8941" max="8941" width="16.5703125" style="47" bestFit="1" customWidth="1"/>
    <col min="8942" max="8942" width="15.85546875" style="47" customWidth="1"/>
    <col min="8943" max="8943" width="12.7109375" style="47" customWidth="1"/>
    <col min="8944" max="8944" width="9.7109375" style="47" customWidth="1"/>
    <col min="8945" max="8945" width="17.42578125" style="47" customWidth="1"/>
    <col min="8946" max="8946" width="12.5703125" style="47" customWidth="1"/>
    <col min="8947" max="8947" width="14.5703125" style="47" customWidth="1"/>
    <col min="8948" max="8951" width="9.140625" style="47"/>
    <col min="8952" max="8952" width="12.85546875" style="47" bestFit="1" customWidth="1"/>
    <col min="8953" max="9186" width="9.140625" style="47"/>
    <col min="9187" max="9187" width="7.42578125" style="47" customWidth="1"/>
    <col min="9188" max="9188" width="7.7109375" style="47" customWidth="1"/>
    <col min="9189" max="9189" width="30.42578125" style="47" bestFit="1" customWidth="1"/>
    <col min="9190" max="9190" width="13.85546875" style="47" customWidth="1"/>
    <col min="9191" max="9191" width="8.140625" style="47" customWidth="1"/>
    <col min="9192" max="9192" width="9" style="47" customWidth="1"/>
    <col min="9193" max="9194" width="0" style="47" hidden="1" customWidth="1"/>
    <col min="9195" max="9195" width="10.7109375" style="47" customWidth="1"/>
    <col min="9196" max="9196" width="14.140625" style="47" customWidth="1"/>
    <col min="9197" max="9197" width="16.5703125" style="47" bestFit="1" customWidth="1"/>
    <col min="9198" max="9198" width="15.85546875" style="47" customWidth="1"/>
    <col min="9199" max="9199" width="12.7109375" style="47" customWidth="1"/>
    <col min="9200" max="9200" width="9.7109375" style="47" customWidth="1"/>
    <col min="9201" max="9201" width="17.42578125" style="47" customWidth="1"/>
    <col min="9202" max="9202" width="12.5703125" style="47" customWidth="1"/>
    <col min="9203" max="9203" width="14.5703125" style="47" customWidth="1"/>
    <col min="9204" max="9207" width="9.140625" style="47"/>
    <col min="9208" max="9208" width="12.85546875" style="47" bestFit="1" customWidth="1"/>
    <col min="9209" max="9442" width="9.140625" style="47"/>
    <col min="9443" max="9443" width="7.42578125" style="47" customWidth="1"/>
    <col min="9444" max="9444" width="7.7109375" style="47" customWidth="1"/>
    <col min="9445" max="9445" width="30.42578125" style="47" bestFit="1" customWidth="1"/>
    <col min="9446" max="9446" width="13.85546875" style="47" customWidth="1"/>
    <col min="9447" max="9447" width="8.140625" style="47" customWidth="1"/>
    <col min="9448" max="9448" width="9" style="47" customWidth="1"/>
    <col min="9449" max="9450" width="0" style="47" hidden="1" customWidth="1"/>
    <col min="9451" max="9451" width="10.7109375" style="47" customWidth="1"/>
    <col min="9452" max="9452" width="14.140625" style="47" customWidth="1"/>
    <col min="9453" max="9453" width="16.5703125" style="47" bestFit="1" customWidth="1"/>
    <col min="9454" max="9454" width="15.85546875" style="47" customWidth="1"/>
    <col min="9455" max="9455" width="12.7109375" style="47" customWidth="1"/>
    <col min="9456" max="9456" width="9.7109375" style="47" customWidth="1"/>
    <col min="9457" max="9457" width="17.42578125" style="47" customWidth="1"/>
    <col min="9458" max="9458" width="12.5703125" style="47" customWidth="1"/>
    <col min="9459" max="9459" width="14.5703125" style="47" customWidth="1"/>
    <col min="9460" max="9463" width="9.140625" style="47"/>
    <col min="9464" max="9464" width="12.85546875" style="47" bestFit="1" customWidth="1"/>
    <col min="9465" max="9698" width="9.140625" style="47"/>
    <col min="9699" max="9699" width="7.42578125" style="47" customWidth="1"/>
    <col min="9700" max="9700" width="7.7109375" style="47" customWidth="1"/>
    <col min="9701" max="9701" width="30.42578125" style="47" bestFit="1" customWidth="1"/>
    <col min="9702" max="9702" width="13.85546875" style="47" customWidth="1"/>
    <col min="9703" max="9703" width="8.140625" style="47" customWidth="1"/>
    <col min="9704" max="9704" width="9" style="47" customWidth="1"/>
    <col min="9705" max="9706" width="0" style="47" hidden="1" customWidth="1"/>
    <col min="9707" max="9707" width="10.7109375" style="47" customWidth="1"/>
    <col min="9708" max="9708" width="14.140625" style="47" customWidth="1"/>
    <col min="9709" max="9709" width="16.5703125" style="47" bestFit="1" customWidth="1"/>
    <col min="9710" max="9710" width="15.85546875" style="47" customWidth="1"/>
    <col min="9711" max="9711" width="12.7109375" style="47" customWidth="1"/>
    <col min="9712" max="9712" width="9.7109375" style="47" customWidth="1"/>
    <col min="9713" max="9713" width="17.42578125" style="47" customWidth="1"/>
    <col min="9714" max="9714" width="12.5703125" style="47" customWidth="1"/>
    <col min="9715" max="9715" width="14.5703125" style="47" customWidth="1"/>
    <col min="9716" max="9719" width="9.140625" style="47"/>
    <col min="9720" max="9720" width="12.85546875" style="47" bestFit="1" customWidth="1"/>
    <col min="9721" max="9954" width="9.140625" style="47"/>
    <col min="9955" max="9955" width="7.42578125" style="47" customWidth="1"/>
    <col min="9956" max="9956" width="7.7109375" style="47" customWidth="1"/>
    <col min="9957" max="9957" width="30.42578125" style="47" bestFit="1" customWidth="1"/>
    <col min="9958" max="9958" width="13.85546875" style="47" customWidth="1"/>
    <col min="9959" max="9959" width="8.140625" style="47" customWidth="1"/>
    <col min="9960" max="9960" width="9" style="47" customWidth="1"/>
    <col min="9961" max="9962" width="0" style="47" hidden="1" customWidth="1"/>
    <col min="9963" max="9963" width="10.7109375" style="47" customWidth="1"/>
    <col min="9964" max="9964" width="14.140625" style="47" customWidth="1"/>
    <col min="9965" max="9965" width="16.5703125" style="47" bestFit="1" customWidth="1"/>
    <col min="9966" max="9966" width="15.85546875" style="47" customWidth="1"/>
    <col min="9967" max="9967" width="12.7109375" style="47" customWidth="1"/>
    <col min="9968" max="9968" width="9.7109375" style="47" customWidth="1"/>
    <col min="9969" max="9969" width="17.42578125" style="47" customWidth="1"/>
    <col min="9970" max="9970" width="12.5703125" style="47" customWidth="1"/>
    <col min="9971" max="9971" width="14.5703125" style="47" customWidth="1"/>
    <col min="9972" max="9975" width="9.140625" style="47"/>
    <col min="9976" max="9976" width="12.85546875" style="47" bestFit="1" customWidth="1"/>
    <col min="9977" max="10210" width="9.140625" style="47"/>
    <col min="10211" max="10211" width="7.42578125" style="47" customWidth="1"/>
    <col min="10212" max="10212" width="7.7109375" style="47" customWidth="1"/>
    <col min="10213" max="10213" width="30.42578125" style="47" bestFit="1" customWidth="1"/>
    <col min="10214" max="10214" width="13.85546875" style="47" customWidth="1"/>
    <col min="10215" max="10215" width="8.140625" style="47" customWidth="1"/>
    <col min="10216" max="10216" width="9" style="47" customWidth="1"/>
    <col min="10217" max="10218" width="0" style="47" hidden="1" customWidth="1"/>
    <col min="10219" max="10219" width="10.7109375" style="47" customWidth="1"/>
    <col min="10220" max="10220" width="14.140625" style="47" customWidth="1"/>
    <col min="10221" max="10221" width="16.5703125" style="47" bestFit="1" customWidth="1"/>
    <col min="10222" max="10222" width="15.85546875" style="47" customWidth="1"/>
    <col min="10223" max="10223" width="12.7109375" style="47" customWidth="1"/>
    <col min="10224" max="10224" width="9.7109375" style="47" customWidth="1"/>
    <col min="10225" max="10225" width="17.42578125" style="47" customWidth="1"/>
    <col min="10226" max="10226" width="12.5703125" style="47" customWidth="1"/>
    <col min="10227" max="10227" width="14.5703125" style="47" customWidth="1"/>
    <col min="10228" max="10231" width="9.140625" style="47"/>
    <col min="10232" max="10232" width="12.85546875" style="47" bestFit="1" customWidth="1"/>
    <col min="10233" max="10466" width="9.140625" style="47"/>
    <col min="10467" max="10467" width="7.42578125" style="47" customWidth="1"/>
    <col min="10468" max="10468" width="7.7109375" style="47" customWidth="1"/>
    <col min="10469" max="10469" width="30.42578125" style="47" bestFit="1" customWidth="1"/>
    <col min="10470" max="10470" width="13.85546875" style="47" customWidth="1"/>
    <col min="10471" max="10471" width="8.140625" style="47" customWidth="1"/>
    <col min="10472" max="10472" width="9" style="47" customWidth="1"/>
    <col min="10473" max="10474" width="0" style="47" hidden="1" customWidth="1"/>
    <col min="10475" max="10475" width="10.7109375" style="47" customWidth="1"/>
    <col min="10476" max="10476" width="14.140625" style="47" customWidth="1"/>
    <col min="10477" max="10477" width="16.5703125" style="47" bestFit="1" customWidth="1"/>
    <col min="10478" max="10478" width="15.85546875" style="47" customWidth="1"/>
    <col min="10479" max="10479" width="12.7109375" style="47" customWidth="1"/>
    <col min="10480" max="10480" width="9.7109375" style="47" customWidth="1"/>
    <col min="10481" max="10481" width="17.42578125" style="47" customWidth="1"/>
    <col min="10482" max="10482" width="12.5703125" style="47" customWidth="1"/>
    <col min="10483" max="10483" width="14.5703125" style="47" customWidth="1"/>
    <col min="10484" max="10487" width="9.140625" style="47"/>
    <col min="10488" max="10488" width="12.85546875" style="47" bestFit="1" customWidth="1"/>
    <col min="10489" max="10722" width="9.140625" style="47"/>
    <col min="10723" max="10723" width="7.42578125" style="47" customWidth="1"/>
    <col min="10724" max="10724" width="7.7109375" style="47" customWidth="1"/>
    <col min="10725" max="10725" width="30.42578125" style="47" bestFit="1" customWidth="1"/>
    <col min="10726" max="10726" width="13.85546875" style="47" customWidth="1"/>
    <col min="10727" max="10727" width="8.140625" style="47" customWidth="1"/>
    <col min="10728" max="10728" width="9" style="47" customWidth="1"/>
    <col min="10729" max="10730" width="0" style="47" hidden="1" customWidth="1"/>
    <col min="10731" max="10731" width="10.7109375" style="47" customWidth="1"/>
    <col min="10732" max="10732" width="14.140625" style="47" customWidth="1"/>
    <col min="10733" max="10733" width="16.5703125" style="47" bestFit="1" customWidth="1"/>
    <col min="10734" max="10734" width="15.85546875" style="47" customWidth="1"/>
    <col min="10735" max="10735" width="12.7109375" style="47" customWidth="1"/>
    <col min="10736" max="10736" width="9.7109375" style="47" customWidth="1"/>
    <col min="10737" max="10737" width="17.42578125" style="47" customWidth="1"/>
    <col min="10738" max="10738" width="12.5703125" style="47" customWidth="1"/>
    <col min="10739" max="10739" width="14.5703125" style="47" customWidth="1"/>
    <col min="10740" max="10743" width="9.140625" style="47"/>
    <col min="10744" max="10744" width="12.85546875" style="47" bestFit="1" customWidth="1"/>
    <col min="10745" max="10978" width="9.140625" style="47"/>
    <col min="10979" max="10979" width="7.42578125" style="47" customWidth="1"/>
    <col min="10980" max="10980" width="7.7109375" style="47" customWidth="1"/>
    <col min="10981" max="10981" width="30.42578125" style="47" bestFit="1" customWidth="1"/>
    <col min="10982" max="10982" width="13.85546875" style="47" customWidth="1"/>
    <col min="10983" max="10983" width="8.140625" style="47" customWidth="1"/>
    <col min="10984" max="10984" width="9" style="47" customWidth="1"/>
    <col min="10985" max="10986" width="0" style="47" hidden="1" customWidth="1"/>
    <col min="10987" max="10987" width="10.7109375" style="47" customWidth="1"/>
    <col min="10988" max="10988" width="14.140625" style="47" customWidth="1"/>
    <col min="10989" max="10989" width="16.5703125" style="47" bestFit="1" customWidth="1"/>
    <col min="10990" max="10990" width="15.85546875" style="47" customWidth="1"/>
    <col min="10991" max="10991" width="12.7109375" style="47" customWidth="1"/>
    <col min="10992" max="10992" width="9.7109375" style="47" customWidth="1"/>
    <col min="10993" max="10993" width="17.42578125" style="47" customWidth="1"/>
    <col min="10994" max="10994" width="12.5703125" style="47" customWidth="1"/>
    <col min="10995" max="10995" width="14.5703125" style="47" customWidth="1"/>
    <col min="10996" max="10999" width="9.140625" style="47"/>
    <col min="11000" max="11000" width="12.85546875" style="47" bestFit="1" customWidth="1"/>
    <col min="11001" max="11234" width="9.140625" style="47"/>
    <col min="11235" max="11235" width="7.42578125" style="47" customWidth="1"/>
    <col min="11236" max="11236" width="7.7109375" style="47" customWidth="1"/>
    <col min="11237" max="11237" width="30.42578125" style="47" bestFit="1" customWidth="1"/>
    <col min="11238" max="11238" width="13.85546875" style="47" customWidth="1"/>
    <col min="11239" max="11239" width="8.140625" style="47" customWidth="1"/>
    <col min="11240" max="11240" width="9" style="47" customWidth="1"/>
    <col min="11241" max="11242" width="0" style="47" hidden="1" customWidth="1"/>
    <col min="11243" max="11243" width="10.7109375" style="47" customWidth="1"/>
    <col min="11244" max="11244" width="14.140625" style="47" customWidth="1"/>
    <col min="11245" max="11245" width="16.5703125" style="47" bestFit="1" customWidth="1"/>
    <col min="11246" max="11246" width="15.85546875" style="47" customWidth="1"/>
    <col min="11247" max="11247" width="12.7109375" style="47" customWidth="1"/>
    <col min="11248" max="11248" width="9.7109375" style="47" customWidth="1"/>
    <col min="11249" max="11249" width="17.42578125" style="47" customWidth="1"/>
    <col min="11250" max="11250" width="12.5703125" style="47" customWidth="1"/>
    <col min="11251" max="11251" width="14.5703125" style="47" customWidth="1"/>
    <col min="11252" max="11255" width="9.140625" style="47"/>
    <col min="11256" max="11256" width="12.85546875" style="47" bestFit="1" customWidth="1"/>
    <col min="11257" max="11490" width="9.140625" style="47"/>
    <col min="11491" max="11491" width="7.42578125" style="47" customWidth="1"/>
    <col min="11492" max="11492" width="7.7109375" style="47" customWidth="1"/>
    <col min="11493" max="11493" width="30.42578125" style="47" bestFit="1" customWidth="1"/>
    <col min="11494" max="11494" width="13.85546875" style="47" customWidth="1"/>
    <col min="11495" max="11495" width="8.140625" style="47" customWidth="1"/>
    <col min="11496" max="11496" width="9" style="47" customWidth="1"/>
    <col min="11497" max="11498" width="0" style="47" hidden="1" customWidth="1"/>
    <col min="11499" max="11499" width="10.7109375" style="47" customWidth="1"/>
    <col min="11500" max="11500" width="14.140625" style="47" customWidth="1"/>
    <col min="11501" max="11501" width="16.5703125" style="47" bestFit="1" customWidth="1"/>
    <col min="11502" max="11502" width="15.85546875" style="47" customWidth="1"/>
    <col min="11503" max="11503" width="12.7109375" style="47" customWidth="1"/>
    <col min="11504" max="11504" width="9.7109375" style="47" customWidth="1"/>
    <col min="11505" max="11505" width="17.42578125" style="47" customWidth="1"/>
    <col min="11506" max="11506" width="12.5703125" style="47" customWidth="1"/>
    <col min="11507" max="11507" width="14.5703125" style="47" customWidth="1"/>
    <col min="11508" max="11511" width="9.140625" style="47"/>
    <col min="11512" max="11512" width="12.85546875" style="47" bestFit="1" customWidth="1"/>
    <col min="11513" max="11746" width="9.140625" style="47"/>
    <col min="11747" max="11747" width="7.42578125" style="47" customWidth="1"/>
    <col min="11748" max="11748" width="7.7109375" style="47" customWidth="1"/>
    <col min="11749" max="11749" width="30.42578125" style="47" bestFit="1" customWidth="1"/>
    <col min="11750" max="11750" width="13.85546875" style="47" customWidth="1"/>
    <col min="11751" max="11751" width="8.140625" style="47" customWidth="1"/>
    <col min="11752" max="11752" width="9" style="47" customWidth="1"/>
    <col min="11753" max="11754" width="0" style="47" hidden="1" customWidth="1"/>
    <col min="11755" max="11755" width="10.7109375" style="47" customWidth="1"/>
    <col min="11756" max="11756" width="14.140625" style="47" customWidth="1"/>
    <col min="11757" max="11757" width="16.5703125" style="47" bestFit="1" customWidth="1"/>
    <col min="11758" max="11758" width="15.85546875" style="47" customWidth="1"/>
    <col min="11759" max="11759" width="12.7109375" style="47" customWidth="1"/>
    <col min="11760" max="11760" width="9.7109375" style="47" customWidth="1"/>
    <col min="11761" max="11761" width="17.42578125" style="47" customWidth="1"/>
    <col min="11762" max="11762" width="12.5703125" style="47" customWidth="1"/>
    <col min="11763" max="11763" width="14.5703125" style="47" customWidth="1"/>
    <col min="11764" max="11767" width="9.140625" style="47"/>
    <col min="11768" max="11768" width="12.85546875" style="47" bestFit="1" customWidth="1"/>
    <col min="11769" max="12002" width="9.140625" style="47"/>
    <col min="12003" max="12003" width="7.42578125" style="47" customWidth="1"/>
    <col min="12004" max="12004" width="7.7109375" style="47" customWidth="1"/>
    <col min="12005" max="12005" width="30.42578125" style="47" bestFit="1" customWidth="1"/>
    <col min="12006" max="12006" width="13.85546875" style="47" customWidth="1"/>
    <col min="12007" max="12007" width="8.140625" style="47" customWidth="1"/>
    <col min="12008" max="12008" width="9" style="47" customWidth="1"/>
    <col min="12009" max="12010" width="0" style="47" hidden="1" customWidth="1"/>
    <col min="12011" max="12011" width="10.7109375" style="47" customWidth="1"/>
    <col min="12012" max="12012" width="14.140625" style="47" customWidth="1"/>
    <col min="12013" max="12013" width="16.5703125" style="47" bestFit="1" customWidth="1"/>
    <col min="12014" max="12014" width="15.85546875" style="47" customWidth="1"/>
    <col min="12015" max="12015" width="12.7109375" style="47" customWidth="1"/>
    <col min="12016" max="12016" width="9.7109375" style="47" customWidth="1"/>
    <col min="12017" max="12017" width="17.42578125" style="47" customWidth="1"/>
    <col min="12018" max="12018" width="12.5703125" style="47" customWidth="1"/>
    <col min="12019" max="12019" width="14.5703125" style="47" customWidth="1"/>
    <col min="12020" max="12023" width="9.140625" style="47"/>
    <col min="12024" max="12024" width="12.85546875" style="47" bestFit="1" customWidth="1"/>
    <col min="12025" max="12258" width="9.140625" style="47"/>
    <col min="12259" max="12259" width="7.42578125" style="47" customWidth="1"/>
    <col min="12260" max="12260" width="7.7109375" style="47" customWidth="1"/>
    <col min="12261" max="12261" width="30.42578125" style="47" bestFit="1" customWidth="1"/>
    <col min="12262" max="12262" width="13.85546875" style="47" customWidth="1"/>
    <col min="12263" max="12263" width="8.140625" style="47" customWidth="1"/>
    <col min="12264" max="12264" width="9" style="47" customWidth="1"/>
    <col min="12265" max="12266" width="0" style="47" hidden="1" customWidth="1"/>
    <col min="12267" max="12267" width="10.7109375" style="47" customWidth="1"/>
    <col min="12268" max="12268" width="14.140625" style="47" customWidth="1"/>
    <col min="12269" max="12269" width="16.5703125" style="47" bestFit="1" customWidth="1"/>
    <col min="12270" max="12270" width="15.85546875" style="47" customWidth="1"/>
    <col min="12271" max="12271" width="12.7109375" style="47" customWidth="1"/>
    <col min="12272" max="12272" width="9.7109375" style="47" customWidth="1"/>
    <col min="12273" max="12273" width="17.42578125" style="47" customWidth="1"/>
    <col min="12274" max="12274" width="12.5703125" style="47" customWidth="1"/>
    <col min="12275" max="12275" width="14.5703125" style="47" customWidth="1"/>
    <col min="12276" max="12279" width="9.140625" style="47"/>
    <col min="12280" max="12280" width="12.85546875" style="47" bestFit="1" customWidth="1"/>
    <col min="12281" max="12514" width="9.140625" style="47"/>
    <col min="12515" max="12515" width="7.42578125" style="47" customWidth="1"/>
    <col min="12516" max="12516" width="7.7109375" style="47" customWidth="1"/>
    <col min="12517" max="12517" width="30.42578125" style="47" bestFit="1" customWidth="1"/>
    <col min="12518" max="12518" width="13.85546875" style="47" customWidth="1"/>
    <col min="12519" max="12519" width="8.140625" style="47" customWidth="1"/>
    <col min="12520" max="12520" width="9" style="47" customWidth="1"/>
    <col min="12521" max="12522" width="0" style="47" hidden="1" customWidth="1"/>
    <col min="12523" max="12523" width="10.7109375" style="47" customWidth="1"/>
    <col min="12524" max="12524" width="14.140625" style="47" customWidth="1"/>
    <col min="12525" max="12525" width="16.5703125" style="47" bestFit="1" customWidth="1"/>
    <col min="12526" max="12526" width="15.85546875" style="47" customWidth="1"/>
    <col min="12527" max="12527" width="12.7109375" style="47" customWidth="1"/>
    <col min="12528" max="12528" width="9.7109375" style="47" customWidth="1"/>
    <col min="12529" max="12529" width="17.42578125" style="47" customWidth="1"/>
    <col min="12530" max="12530" width="12.5703125" style="47" customWidth="1"/>
    <col min="12531" max="12531" width="14.5703125" style="47" customWidth="1"/>
    <col min="12532" max="12535" width="9.140625" style="47"/>
    <col min="12536" max="12536" width="12.85546875" style="47" bestFit="1" customWidth="1"/>
    <col min="12537" max="12770" width="9.140625" style="47"/>
    <col min="12771" max="12771" width="7.42578125" style="47" customWidth="1"/>
    <col min="12772" max="12772" width="7.7109375" style="47" customWidth="1"/>
    <col min="12773" max="12773" width="30.42578125" style="47" bestFit="1" customWidth="1"/>
    <col min="12774" max="12774" width="13.85546875" style="47" customWidth="1"/>
    <col min="12775" max="12775" width="8.140625" style="47" customWidth="1"/>
    <col min="12776" max="12776" width="9" style="47" customWidth="1"/>
    <col min="12777" max="12778" width="0" style="47" hidden="1" customWidth="1"/>
    <col min="12779" max="12779" width="10.7109375" style="47" customWidth="1"/>
    <col min="12780" max="12780" width="14.140625" style="47" customWidth="1"/>
    <col min="12781" max="12781" width="16.5703125" style="47" bestFit="1" customWidth="1"/>
    <col min="12782" max="12782" width="15.85546875" style="47" customWidth="1"/>
    <col min="12783" max="12783" width="12.7109375" style="47" customWidth="1"/>
    <col min="12784" max="12784" width="9.7109375" style="47" customWidth="1"/>
    <col min="12785" max="12785" width="17.42578125" style="47" customWidth="1"/>
    <col min="12786" max="12786" width="12.5703125" style="47" customWidth="1"/>
    <col min="12787" max="12787" width="14.5703125" style="47" customWidth="1"/>
    <col min="12788" max="12791" width="9.140625" style="47"/>
    <col min="12792" max="12792" width="12.85546875" style="47" bestFit="1" customWidth="1"/>
    <col min="12793" max="13026" width="9.140625" style="47"/>
    <col min="13027" max="13027" width="7.42578125" style="47" customWidth="1"/>
    <col min="13028" max="13028" width="7.7109375" style="47" customWidth="1"/>
    <col min="13029" max="13029" width="30.42578125" style="47" bestFit="1" customWidth="1"/>
    <col min="13030" max="13030" width="13.85546875" style="47" customWidth="1"/>
    <col min="13031" max="13031" width="8.140625" style="47" customWidth="1"/>
    <col min="13032" max="13032" width="9" style="47" customWidth="1"/>
    <col min="13033" max="13034" width="0" style="47" hidden="1" customWidth="1"/>
    <col min="13035" max="13035" width="10.7109375" style="47" customWidth="1"/>
    <col min="13036" max="13036" width="14.140625" style="47" customWidth="1"/>
    <col min="13037" max="13037" width="16.5703125" style="47" bestFit="1" customWidth="1"/>
    <col min="13038" max="13038" width="15.85546875" style="47" customWidth="1"/>
    <col min="13039" max="13039" width="12.7109375" style="47" customWidth="1"/>
    <col min="13040" max="13040" width="9.7109375" style="47" customWidth="1"/>
    <col min="13041" max="13041" width="17.42578125" style="47" customWidth="1"/>
    <col min="13042" max="13042" width="12.5703125" style="47" customWidth="1"/>
    <col min="13043" max="13043" width="14.5703125" style="47" customWidth="1"/>
    <col min="13044" max="13047" width="9.140625" style="47"/>
    <col min="13048" max="13048" width="12.85546875" style="47" bestFit="1" customWidth="1"/>
    <col min="13049" max="13282" width="9.140625" style="47"/>
    <col min="13283" max="13283" width="7.42578125" style="47" customWidth="1"/>
    <col min="13284" max="13284" width="7.7109375" style="47" customWidth="1"/>
    <col min="13285" max="13285" width="30.42578125" style="47" bestFit="1" customWidth="1"/>
    <col min="13286" max="13286" width="13.85546875" style="47" customWidth="1"/>
    <col min="13287" max="13287" width="8.140625" style="47" customWidth="1"/>
    <col min="13288" max="13288" width="9" style="47" customWidth="1"/>
    <col min="13289" max="13290" width="0" style="47" hidden="1" customWidth="1"/>
    <col min="13291" max="13291" width="10.7109375" style="47" customWidth="1"/>
    <col min="13292" max="13292" width="14.140625" style="47" customWidth="1"/>
    <col min="13293" max="13293" width="16.5703125" style="47" bestFit="1" customWidth="1"/>
    <col min="13294" max="13294" width="15.85546875" style="47" customWidth="1"/>
    <col min="13295" max="13295" width="12.7109375" style="47" customWidth="1"/>
    <col min="13296" max="13296" width="9.7109375" style="47" customWidth="1"/>
    <col min="13297" max="13297" width="17.42578125" style="47" customWidth="1"/>
    <col min="13298" max="13298" width="12.5703125" style="47" customWidth="1"/>
    <col min="13299" max="13299" width="14.5703125" style="47" customWidth="1"/>
    <col min="13300" max="13303" width="9.140625" style="47"/>
    <col min="13304" max="13304" width="12.85546875" style="47" bestFit="1" customWidth="1"/>
    <col min="13305" max="13538" width="9.140625" style="47"/>
    <col min="13539" max="13539" width="7.42578125" style="47" customWidth="1"/>
    <col min="13540" max="13540" width="7.7109375" style="47" customWidth="1"/>
    <col min="13541" max="13541" width="30.42578125" style="47" bestFit="1" customWidth="1"/>
    <col min="13542" max="13542" width="13.85546875" style="47" customWidth="1"/>
    <col min="13543" max="13543" width="8.140625" style="47" customWidth="1"/>
    <col min="13544" max="13544" width="9" style="47" customWidth="1"/>
    <col min="13545" max="13546" width="0" style="47" hidden="1" customWidth="1"/>
    <col min="13547" max="13547" width="10.7109375" style="47" customWidth="1"/>
    <col min="13548" max="13548" width="14.140625" style="47" customWidth="1"/>
    <col min="13549" max="13549" width="16.5703125" style="47" bestFit="1" customWidth="1"/>
    <col min="13550" max="13550" width="15.85546875" style="47" customWidth="1"/>
    <col min="13551" max="13551" width="12.7109375" style="47" customWidth="1"/>
    <col min="13552" max="13552" width="9.7109375" style="47" customWidth="1"/>
    <col min="13553" max="13553" width="17.42578125" style="47" customWidth="1"/>
    <col min="13554" max="13554" width="12.5703125" style="47" customWidth="1"/>
    <col min="13555" max="13555" width="14.5703125" style="47" customWidth="1"/>
    <col min="13556" max="13559" width="9.140625" style="47"/>
    <col min="13560" max="13560" width="12.85546875" style="47" bestFit="1" customWidth="1"/>
    <col min="13561" max="13794" width="9.140625" style="47"/>
    <col min="13795" max="13795" width="7.42578125" style="47" customWidth="1"/>
    <col min="13796" max="13796" width="7.7109375" style="47" customWidth="1"/>
    <col min="13797" max="13797" width="30.42578125" style="47" bestFit="1" customWidth="1"/>
    <col min="13798" max="13798" width="13.85546875" style="47" customWidth="1"/>
    <col min="13799" max="13799" width="8.140625" style="47" customWidth="1"/>
    <col min="13800" max="13800" width="9" style="47" customWidth="1"/>
    <col min="13801" max="13802" width="0" style="47" hidden="1" customWidth="1"/>
    <col min="13803" max="13803" width="10.7109375" style="47" customWidth="1"/>
    <col min="13804" max="13804" width="14.140625" style="47" customWidth="1"/>
    <col min="13805" max="13805" width="16.5703125" style="47" bestFit="1" customWidth="1"/>
    <col min="13806" max="13806" width="15.85546875" style="47" customWidth="1"/>
    <col min="13807" max="13807" width="12.7109375" style="47" customWidth="1"/>
    <col min="13808" max="13808" width="9.7109375" style="47" customWidth="1"/>
    <col min="13809" max="13809" width="17.42578125" style="47" customWidth="1"/>
    <col min="13810" max="13810" width="12.5703125" style="47" customWidth="1"/>
    <col min="13811" max="13811" width="14.5703125" style="47" customWidth="1"/>
    <col min="13812" max="13815" width="9.140625" style="47"/>
    <col min="13816" max="13816" width="12.85546875" style="47" bestFit="1" customWidth="1"/>
    <col min="13817" max="14050" width="9.140625" style="47"/>
    <col min="14051" max="14051" width="7.42578125" style="47" customWidth="1"/>
    <col min="14052" max="14052" width="7.7109375" style="47" customWidth="1"/>
    <col min="14053" max="14053" width="30.42578125" style="47" bestFit="1" customWidth="1"/>
    <col min="14054" max="14054" width="13.85546875" style="47" customWidth="1"/>
    <col min="14055" max="14055" width="8.140625" style="47" customWidth="1"/>
    <col min="14056" max="14056" width="9" style="47" customWidth="1"/>
    <col min="14057" max="14058" width="0" style="47" hidden="1" customWidth="1"/>
    <col min="14059" max="14059" width="10.7109375" style="47" customWidth="1"/>
    <col min="14060" max="14060" width="14.140625" style="47" customWidth="1"/>
    <col min="14061" max="14061" width="16.5703125" style="47" bestFit="1" customWidth="1"/>
    <col min="14062" max="14062" width="15.85546875" style="47" customWidth="1"/>
    <col min="14063" max="14063" width="12.7109375" style="47" customWidth="1"/>
    <col min="14064" max="14064" width="9.7109375" style="47" customWidth="1"/>
    <col min="14065" max="14065" width="17.42578125" style="47" customWidth="1"/>
    <col min="14066" max="14066" width="12.5703125" style="47" customWidth="1"/>
    <col min="14067" max="14067" width="14.5703125" style="47" customWidth="1"/>
    <col min="14068" max="14071" width="9.140625" style="47"/>
    <col min="14072" max="14072" width="12.85546875" style="47" bestFit="1" customWidth="1"/>
    <col min="14073" max="14306" width="9.140625" style="47"/>
    <col min="14307" max="14307" width="7.42578125" style="47" customWidth="1"/>
    <col min="14308" max="14308" width="7.7109375" style="47" customWidth="1"/>
    <col min="14309" max="14309" width="30.42578125" style="47" bestFit="1" customWidth="1"/>
    <col min="14310" max="14310" width="13.85546875" style="47" customWidth="1"/>
    <col min="14311" max="14311" width="8.140625" style="47" customWidth="1"/>
    <col min="14312" max="14312" width="9" style="47" customWidth="1"/>
    <col min="14313" max="14314" width="0" style="47" hidden="1" customWidth="1"/>
    <col min="14315" max="14315" width="10.7109375" style="47" customWidth="1"/>
    <col min="14316" max="14316" width="14.140625" style="47" customWidth="1"/>
    <col min="14317" max="14317" width="16.5703125" style="47" bestFit="1" customWidth="1"/>
    <col min="14318" max="14318" width="15.85546875" style="47" customWidth="1"/>
    <col min="14319" max="14319" width="12.7109375" style="47" customWidth="1"/>
    <col min="14320" max="14320" width="9.7109375" style="47" customWidth="1"/>
    <col min="14321" max="14321" width="17.42578125" style="47" customWidth="1"/>
    <col min="14322" max="14322" width="12.5703125" style="47" customWidth="1"/>
    <col min="14323" max="14323" width="14.5703125" style="47" customWidth="1"/>
    <col min="14324" max="14327" width="9.140625" style="47"/>
    <col min="14328" max="14328" width="12.85546875" style="47" bestFit="1" customWidth="1"/>
    <col min="14329" max="14562" width="9.140625" style="47"/>
    <col min="14563" max="14563" width="7.42578125" style="47" customWidth="1"/>
    <col min="14564" max="14564" width="7.7109375" style="47" customWidth="1"/>
    <col min="14565" max="14565" width="30.42578125" style="47" bestFit="1" customWidth="1"/>
    <col min="14566" max="14566" width="13.85546875" style="47" customWidth="1"/>
    <col min="14567" max="14567" width="8.140625" style="47" customWidth="1"/>
    <col min="14568" max="14568" width="9" style="47" customWidth="1"/>
    <col min="14569" max="14570" width="0" style="47" hidden="1" customWidth="1"/>
    <col min="14571" max="14571" width="10.7109375" style="47" customWidth="1"/>
    <col min="14572" max="14572" width="14.140625" style="47" customWidth="1"/>
    <col min="14573" max="14573" width="16.5703125" style="47" bestFit="1" customWidth="1"/>
    <col min="14574" max="14574" width="15.85546875" style="47" customWidth="1"/>
    <col min="14575" max="14575" width="12.7109375" style="47" customWidth="1"/>
    <col min="14576" max="14576" width="9.7109375" style="47" customWidth="1"/>
    <col min="14577" max="14577" width="17.42578125" style="47" customWidth="1"/>
    <col min="14578" max="14578" width="12.5703125" style="47" customWidth="1"/>
    <col min="14579" max="14579" width="14.5703125" style="47" customWidth="1"/>
    <col min="14580" max="14583" width="9.140625" style="47"/>
    <col min="14584" max="14584" width="12.85546875" style="47" bestFit="1" customWidth="1"/>
    <col min="14585" max="14818" width="9.140625" style="47"/>
    <col min="14819" max="14819" width="7.42578125" style="47" customWidth="1"/>
    <col min="14820" max="14820" width="7.7109375" style="47" customWidth="1"/>
    <col min="14821" max="14821" width="30.42578125" style="47" bestFit="1" customWidth="1"/>
    <col min="14822" max="14822" width="13.85546875" style="47" customWidth="1"/>
    <col min="14823" max="14823" width="8.140625" style="47" customWidth="1"/>
    <col min="14824" max="14824" width="9" style="47" customWidth="1"/>
    <col min="14825" max="14826" width="0" style="47" hidden="1" customWidth="1"/>
    <col min="14827" max="14827" width="10.7109375" style="47" customWidth="1"/>
    <col min="14828" max="14828" width="14.140625" style="47" customWidth="1"/>
    <col min="14829" max="14829" width="16.5703125" style="47" bestFit="1" customWidth="1"/>
    <col min="14830" max="14830" width="15.85546875" style="47" customWidth="1"/>
    <col min="14831" max="14831" width="12.7109375" style="47" customWidth="1"/>
    <col min="14832" max="14832" width="9.7109375" style="47" customWidth="1"/>
    <col min="14833" max="14833" width="17.42578125" style="47" customWidth="1"/>
    <col min="14834" max="14834" width="12.5703125" style="47" customWidth="1"/>
    <col min="14835" max="14835" width="14.5703125" style="47" customWidth="1"/>
    <col min="14836" max="14839" width="9.140625" style="47"/>
    <col min="14840" max="14840" width="12.85546875" style="47" bestFit="1" customWidth="1"/>
    <col min="14841" max="15074" width="9.140625" style="47"/>
    <col min="15075" max="15075" width="7.42578125" style="47" customWidth="1"/>
    <col min="15076" max="15076" width="7.7109375" style="47" customWidth="1"/>
    <col min="15077" max="15077" width="30.42578125" style="47" bestFit="1" customWidth="1"/>
    <col min="15078" max="15078" width="13.85546875" style="47" customWidth="1"/>
    <col min="15079" max="15079" width="8.140625" style="47" customWidth="1"/>
    <col min="15080" max="15080" width="9" style="47" customWidth="1"/>
    <col min="15081" max="15082" width="0" style="47" hidden="1" customWidth="1"/>
    <col min="15083" max="15083" width="10.7109375" style="47" customWidth="1"/>
    <col min="15084" max="15084" width="14.140625" style="47" customWidth="1"/>
    <col min="15085" max="15085" width="16.5703125" style="47" bestFit="1" customWidth="1"/>
    <col min="15086" max="15086" width="15.85546875" style="47" customWidth="1"/>
    <col min="15087" max="15087" width="12.7109375" style="47" customWidth="1"/>
    <col min="15088" max="15088" width="9.7109375" style="47" customWidth="1"/>
    <col min="15089" max="15089" width="17.42578125" style="47" customWidth="1"/>
    <col min="15090" max="15090" width="12.5703125" style="47" customWidth="1"/>
    <col min="15091" max="15091" width="14.5703125" style="47" customWidth="1"/>
    <col min="15092" max="15095" width="9.140625" style="47"/>
    <col min="15096" max="15096" width="12.85546875" style="47" bestFit="1" customWidth="1"/>
    <col min="15097" max="15330" width="9.140625" style="47"/>
    <col min="15331" max="15331" width="7.42578125" style="47" customWidth="1"/>
    <col min="15332" max="15332" width="7.7109375" style="47" customWidth="1"/>
    <col min="15333" max="15333" width="30.42578125" style="47" bestFit="1" customWidth="1"/>
    <col min="15334" max="15334" width="13.85546875" style="47" customWidth="1"/>
    <col min="15335" max="15335" width="8.140625" style="47" customWidth="1"/>
    <col min="15336" max="15336" width="9" style="47" customWidth="1"/>
    <col min="15337" max="15338" width="0" style="47" hidden="1" customWidth="1"/>
    <col min="15339" max="15339" width="10.7109375" style="47" customWidth="1"/>
    <col min="15340" max="15340" width="14.140625" style="47" customWidth="1"/>
    <col min="15341" max="15341" width="16.5703125" style="47" bestFit="1" customWidth="1"/>
    <col min="15342" max="15342" width="15.85546875" style="47" customWidth="1"/>
    <col min="15343" max="15343" width="12.7109375" style="47" customWidth="1"/>
    <col min="15344" max="15344" width="9.7109375" style="47" customWidth="1"/>
    <col min="15345" max="15345" width="17.42578125" style="47" customWidth="1"/>
    <col min="15346" max="15346" width="12.5703125" style="47" customWidth="1"/>
    <col min="15347" max="15347" width="14.5703125" style="47" customWidth="1"/>
    <col min="15348" max="15351" width="9.140625" style="47"/>
    <col min="15352" max="15352" width="12.85546875" style="47" bestFit="1" customWidth="1"/>
    <col min="15353" max="15586" width="9.140625" style="47"/>
    <col min="15587" max="15587" width="7.42578125" style="47" customWidth="1"/>
    <col min="15588" max="15588" width="7.7109375" style="47" customWidth="1"/>
    <col min="15589" max="15589" width="30.42578125" style="47" bestFit="1" customWidth="1"/>
    <col min="15590" max="15590" width="13.85546875" style="47" customWidth="1"/>
    <col min="15591" max="15591" width="8.140625" style="47" customWidth="1"/>
    <col min="15592" max="15592" width="9" style="47" customWidth="1"/>
    <col min="15593" max="15594" width="0" style="47" hidden="1" customWidth="1"/>
    <col min="15595" max="15595" width="10.7109375" style="47" customWidth="1"/>
    <col min="15596" max="15596" width="14.140625" style="47" customWidth="1"/>
    <col min="15597" max="15597" width="16.5703125" style="47" bestFit="1" customWidth="1"/>
    <col min="15598" max="15598" width="15.85546875" style="47" customWidth="1"/>
    <col min="15599" max="15599" width="12.7109375" style="47" customWidth="1"/>
    <col min="15600" max="15600" width="9.7109375" style="47" customWidth="1"/>
    <col min="15601" max="15601" width="17.42578125" style="47" customWidth="1"/>
    <col min="15602" max="15602" width="12.5703125" style="47" customWidth="1"/>
    <col min="15603" max="15603" width="14.5703125" style="47" customWidth="1"/>
    <col min="15604" max="15607" width="9.140625" style="47"/>
    <col min="15608" max="15608" width="12.85546875" style="47" bestFit="1" customWidth="1"/>
    <col min="15609" max="15842" width="9.140625" style="47"/>
    <col min="15843" max="15843" width="7.42578125" style="47" customWidth="1"/>
    <col min="15844" max="15844" width="7.7109375" style="47" customWidth="1"/>
    <col min="15845" max="15845" width="30.42578125" style="47" bestFit="1" customWidth="1"/>
    <col min="15846" max="15846" width="13.85546875" style="47" customWidth="1"/>
    <col min="15847" max="15847" width="8.140625" style="47" customWidth="1"/>
    <col min="15848" max="15848" width="9" style="47" customWidth="1"/>
    <col min="15849" max="15850" width="0" style="47" hidden="1" customWidth="1"/>
    <col min="15851" max="15851" width="10.7109375" style="47" customWidth="1"/>
    <col min="15852" max="15852" width="14.140625" style="47" customWidth="1"/>
    <col min="15853" max="15853" width="16.5703125" style="47" bestFit="1" customWidth="1"/>
    <col min="15854" max="15854" width="15.85546875" style="47" customWidth="1"/>
    <col min="15855" max="15855" width="12.7109375" style="47" customWidth="1"/>
    <col min="15856" max="15856" width="9.7109375" style="47" customWidth="1"/>
    <col min="15857" max="15857" width="17.42578125" style="47" customWidth="1"/>
    <col min="15858" max="15858" width="12.5703125" style="47" customWidth="1"/>
    <col min="15859" max="15859" width="14.5703125" style="47" customWidth="1"/>
    <col min="15860" max="15863" width="9.140625" style="47"/>
    <col min="15864" max="15864" width="12.85546875" style="47" bestFit="1" customWidth="1"/>
    <col min="15865" max="16098" width="9.140625" style="47"/>
    <col min="16099" max="16099" width="7.42578125" style="47" customWidth="1"/>
    <col min="16100" max="16100" width="7.7109375" style="47" customWidth="1"/>
    <col min="16101" max="16101" width="30.42578125" style="47" bestFit="1" customWidth="1"/>
    <col min="16102" max="16102" width="13.85546875" style="47" customWidth="1"/>
    <col min="16103" max="16103" width="8.140625" style="47" customWidth="1"/>
    <col min="16104" max="16104" width="9" style="47" customWidth="1"/>
    <col min="16105" max="16106" width="0" style="47" hidden="1" customWidth="1"/>
    <col min="16107" max="16107" width="10.7109375" style="47" customWidth="1"/>
    <col min="16108" max="16108" width="14.140625" style="47" customWidth="1"/>
    <col min="16109" max="16109" width="16.5703125" style="47" bestFit="1" customWidth="1"/>
    <col min="16110" max="16110" width="15.85546875" style="47" customWidth="1"/>
    <col min="16111" max="16111" width="12.7109375" style="47" customWidth="1"/>
    <col min="16112" max="16112" width="9.7109375" style="47" customWidth="1"/>
    <col min="16113" max="16113" width="17.42578125" style="47" customWidth="1"/>
    <col min="16114" max="16114" width="12.5703125" style="47" customWidth="1"/>
    <col min="16115" max="16115" width="14.5703125" style="47" customWidth="1"/>
    <col min="16116" max="16119" width="9.140625" style="47"/>
    <col min="16120" max="16120" width="12.85546875" style="47" bestFit="1" customWidth="1"/>
    <col min="16121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421</v>
      </c>
      <c r="F2" s="137"/>
      <c r="G2" s="163"/>
      <c r="H2" s="323" t="s">
        <v>185</v>
      </c>
      <c r="I2" s="324"/>
      <c r="J2" s="165" t="s">
        <v>424</v>
      </c>
      <c r="K2" s="167"/>
      <c r="L2" s="104" t="s">
        <v>208</v>
      </c>
      <c r="M2" s="104" t="s">
        <v>382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183</v>
      </c>
      <c r="G3" s="162" t="s">
        <v>419</v>
      </c>
      <c r="H3" s="323" t="s">
        <v>186</v>
      </c>
      <c r="I3" s="324"/>
      <c r="J3" s="166">
        <v>43680</v>
      </c>
      <c r="K3" s="167"/>
      <c r="L3" s="104" t="s">
        <v>258</v>
      </c>
      <c r="M3" s="104" t="s">
        <v>383</v>
      </c>
    </row>
    <row r="4" spans="1:13" s="104" customFormat="1" ht="18">
      <c r="A4" s="322" t="s">
        <v>169</v>
      </c>
      <c r="B4" s="322"/>
      <c r="C4" s="322"/>
      <c r="D4" s="322"/>
      <c r="E4" s="162" t="s">
        <v>420</v>
      </c>
      <c r="F4" s="135"/>
      <c r="G4" s="164"/>
      <c r="H4" s="323" t="s">
        <v>187</v>
      </c>
      <c r="I4" s="324"/>
      <c r="J4" s="165" t="s">
        <v>404</v>
      </c>
      <c r="K4" s="167"/>
      <c r="L4" s="104" t="s">
        <v>259</v>
      </c>
      <c r="M4" s="104" t="s">
        <v>384</v>
      </c>
    </row>
    <row r="5" spans="1:13" s="104" customFormat="1">
      <c r="A5" s="322" t="s">
        <v>177</v>
      </c>
      <c r="B5" s="322"/>
      <c r="C5" s="322"/>
      <c r="D5" s="322"/>
      <c r="E5" s="162" t="s">
        <v>423</v>
      </c>
      <c r="F5" s="136" t="s">
        <v>184</v>
      </c>
      <c r="G5" s="162" t="s">
        <v>208</v>
      </c>
      <c r="H5" s="323" t="s">
        <v>376</v>
      </c>
      <c r="I5" s="324"/>
      <c r="J5" s="165"/>
      <c r="K5" s="167"/>
      <c r="L5" s="104" t="s">
        <v>260</v>
      </c>
      <c r="M5" s="104" t="s">
        <v>385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386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404</v>
      </c>
    </row>
    <row r="9" spans="1:13" ht="20.100000000000001" customHeight="1">
      <c r="A9" s="113">
        <v>1</v>
      </c>
      <c r="B9" s="113" t="s">
        <v>446</v>
      </c>
      <c r="C9" s="113" t="s">
        <v>425</v>
      </c>
      <c r="D9" s="113" t="s">
        <v>426</v>
      </c>
      <c r="E9" s="113" t="s">
        <v>264</v>
      </c>
      <c r="F9" s="113" t="s">
        <v>427</v>
      </c>
      <c r="G9" s="113" t="s">
        <v>428</v>
      </c>
      <c r="H9" s="113">
        <v>2440</v>
      </c>
      <c r="I9" s="113">
        <v>2440</v>
      </c>
      <c r="J9" s="113">
        <v>1</v>
      </c>
      <c r="K9" s="123">
        <v>721.31</v>
      </c>
    </row>
    <row r="10" spans="1:13" ht="20.100000000000001" customHeight="1">
      <c r="A10" s="113">
        <v>2</v>
      </c>
      <c r="B10" s="113" t="s">
        <v>447</v>
      </c>
      <c r="C10" s="113" t="s">
        <v>429</v>
      </c>
      <c r="D10" s="113" t="s">
        <v>430</v>
      </c>
      <c r="E10" s="113" t="s">
        <v>264</v>
      </c>
      <c r="F10" s="113" t="s">
        <v>431</v>
      </c>
      <c r="G10" s="113" t="s">
        <v>428</v>
      </c>
      <c r="H10" s="113">
        <v>2440</v>
      </c>
      <c r="I10" s="113">
        <v>2440</v>
      </c>
      <c r="J10" s="113">
        <v>1</v>
      </c>
      <c r="K10" s="123">
        <v>481.94</v>
      </c>
      <c r="L10" s="47" t="s">
        <v>283</v>
      </c>
    </row>
    <row r="11" spans="1:13" ht="20.100000000000001" customHeight="1">
      <c r="A11" s="113">
        <v>3</v>
      </c>
      <c r="B11" s="113" t="s">
        <v>448</v>
      </c>
      <c r="C11" s="113" t="s">
        <v>429</v>
      </c>
      <c r="D11" s="113" t="s">
        <v>430</v>
      </c>
      <c r="E11" s="113" t="s">
        <v>264</v>
      </c>
      <c r="F11" s="113" t="s">
        <v>431</v>
      </c>
      <c r="G11" s="113" t="s">
        <v>428</v>
      </c>
      <c r="H11" s="113">
        <v>1830</v>
      </c>
      <c r="I11" s="113">
        <v>2440</v>
      </c>
      <c r="J11" s="113">
        <v>1</v>
      </c>
      <c r="K11" s="123">
        <v>443.23</v>
      </c>
      <c r="L11" s="47" t="s">
        <v>282</v>
      </c>
    </row>
    <row r="12" spans="1:13" ht="20.100000000000001" customHeight="1">
      <c r="A12" s="113">
        <v>4</v>
      </c>
      <c r="B12" s="113" t="s">
        <v>449</v>
      </c>
      <c r="C12" s="113" t="s">
        <v>425</v>
      </c>
      <c r="D12" s="113" t="s">
        <v>432</v>
      </c>
      <c r="E12" s="113" t="s">
        <v>264</v>
      </c>
      <c r="F12" s="113" t="s">
        <v>427</v>
      </c>
      <c r="G12" s="113" t="s">
        <v>428</v>
      </c>
      <c r="H12" s="113">
        <v>1372</v>
      </c>
      <c r="I12" s="113">
        <v>2440</v>
      </c>
      <c r="J12" s="113">
        <v>1</v>
      </c>
      <c r="K12" s="123">
        <v>496.99</v>
      </c>
      <c r="L12" s="47" t="s">
        <v>366</v>
      </c>
    </row>
    <row r="13" spans="1:13" ht="20.100000000000001" customHeight="1">
      <c r="A13" s="113">
        <v>5</v>
      </c>
      <c r="B13" s="113" t="s">
        <v>433</v>
      </c>
      <c r="C13" s="113" t="s">
        <v>425</v>
      </c>
      <c r="D13" s="113" t="s">
        <v>434</v>
      </c>
      <c r="E13" s="113" t="s">
        <v>264</v>
      </c>
      <c r="F13" s="113" t="s">
        <v>435</v>
      </c>
      <c r="G13" s="113" t="s">
        <v>428</v>
      </c>
      <c r="H13" s="113">
        <v>1068</v>
      </c>
      <c r="I13" s="113">
        <v>2440</v>
      </c>
      <c r="J13" s="113">
        <v>1</v>
      </c>
      <c r="K13" s="123">
        <v>316.92</v>
      </c>
      <c r="L13" s="47" t="s">
        <v>367</v>
      </c>
    </row>
    <row r="14" spans="1:13">
      <c r="A14" s="113">
        <v>6</v>
      </c>
      <c r="B14" s="113" t="s">
        <v>436</v>
      </c>
      <c r="C14" s="113" t="s">
        <v>425</v>
      </c>
      <c r="D14" s="113" t="s">
        <v>434</v>
      </c>
      <c r="E14" s="113" t="s">
        <v>264</v>
      </c>
      <c r="F14" s="113" t="s">
        <v>435</v>
      </c>
      <c r="G14" s="113" t="s">
        <v>428</v>
      </c>
      <c r="H14" s="113">
        <v>992</v>
      </c>
      <c r="I14" s="113">
        <v>2440</v>
      </c>
      <c r="J14" s="113">
        <v>2</v>
      </c>
      <c r="K14" s="123">
        <v>282.75</v>
      </c>
      <c r="L14" s="47" t="s">
        <v>368</v>
      </c>
    </row>
    <row r="15" spans="1:13" ht="20.100000000000001" customHeight="1">
      <c r="A15" s="113">
        <v>7</v>
      </c>
      <c r="B15" s="113" t="s">
        <v>437</v>
      </c>
      <c r="C15" s="113" t="s">
        <v>425</v>
      </c>
      <c r="D15" s="113" t="s">
        <v>434</v>
      </c>
      <c r="E15" s="113" t="s">
        <v>264</v>
      </c>
      <c r="F15" s="113" t="s">
        <v>435</v>
      </c>
      <c r="G15" s="113" t="s">
        <v>428</v>
      </c>
      <c r="H15" s="113">
        <v>992</v>
      </c>
      <c r="I15" s="113">
        <v>2440</v>
      </c>
      <c r="J15" s="113">
        <v>1</v>
      </c>
      <c r="K15" s="123">
        <v>313.12</v>
      </c>
      <c r="L15" s="47" t="s">
        <v>369</v>
      </c>
    </row>
    <row r="16" spans="1:13" ht="20.100000000000001" customHeight="1">
      <c r="A16" s="113">
        <v>8</v>
      </c>
      <c r="B16" s="113" t="s">
        <v>450</v>
      </c>
      <c r="C16" s="113" t="s">
        <v>425</v>
      </c>
      <c r="D16" s="113" t="s">
        <v>434</v>
      </c>
      <c r="E16" s="113" t="s">
        <v>264</v>
      </c>
      <c r="F16" s="113" t="s">
        <v>435</v>
      </c>
      <c r="G16" s="113" t="s">
        <v>428</v>
      </c>
      <c r="H16" s="113">
        <v>840</v>
      </c>
      <c r="I16" s="113">
        <v>2440</v>
      </c>
      <c r="J16" s="113">
        <v>5</v>
      </c>
      <c r="K16" s="123">
        <v>275.82</v>
      </c>
      <c r="L16" s="47" t="s">
        <v>370</v>
      </c>
    </row>
    <row r="17" spans="1:12" ht="20.100000000000001" customHeight="1">
      <c r="A17" s="113">
        <v>9</v>
      </c>
      <c r="B17" s="113" t="s">
        <v>451</v>
      </c>
      <c r="C17" s="113" t="s">
        <v>425</v>
      </c>
      <c r="D17" s="113" t="s">
        <v>434</v>
      </c>
      <c r="E17" s="113" t="s">
        <v>264</v>
      </c>
      <c r="F17" s="113" t="s">
        <v>435</v>
      </c>
      <c r="G17" s="113" t="s">
        <v>428</v>
      </c>
      <c r="H17" s="113">
        <v>840</v>
      </c>
      <c r="I17" s="113">
        <v>2440</v>
      </c>
      <c r="J17" s="113">
        <v>1</v>
      </c>
      <c r="K17" s="123">
        <v>275.82</v>
      </c>
      <c r="L17" s="47" t="s">
        <v>371</v>
      </c>
    </row>
    <row r="18" spans="1:12" ht="20.100000000000001" customHeight="1">
      <c r="A18" s="113">
        <v>10</v>
      </c>
      <c r="B18" s="113" t="s">
        <v>452</v>
      </c>
      <c r="C18" s="113" t="s">
        <v>429</v>
      </c>
      <c r="D18" s="113" t="s">
        <v>438</v>
      </c>
      <c r="E18" s="113" t="s">
        <v>264</v>
      </c>
      <c r="F18" s="113" t="s">
        <v>431</v>
      </c>
      <c r="G18" s="113" t="s">
        <v>428</v>
      </c>
      <c r="H18" s="113">
        <v>3658</v>
      </c>
      <c r="I18" s="113">
        <v>2440</v>
      </c>
      <c r="J18" s="113">
        <v>1</v>
      </c>
      <c r="K18" s="123">
        <v>963.69</v>
      </c>
      <c r="L18" s="47" t="s">
        <v>372</v>
      </c>
    </row>
    <row r="19" spans="1:12" ht="20.100000000000001" customHeight="1">
      <c r="A19" s="113">
        <v>11</v>
      </c>
      <c r="B19" s="113" t="s">
        <v>453</v>
      </c>
      <c r="C19" s="113" t="s">
        <v>439</v>
      </c>
      <c r="D19" s="113" t="s">
        <v>440</v>
      </c>
      <c r="E19" s="113" t="s">
        <v>441</v>
      </c>
      <c r="F19" s="113" t="s">
        <v>431</v>
      </c>
      <c r="G19" s="113" t="s">
        <v>428</v>
      </c>
      <c r="H19" s="113">
        <v>2240</v>
      </c>
      <c r="I19" s="113">
        <v>1830</v>
      </c>
      <c r="J19" s="113">
        <v>1</v>
      </c>
      <c r="K19" s="123">
        <v>164.94</v>
      </c>
      <c r="L19" s="47" t="s">
        <v>373</v>
      </c>
    </row>
    <row r="20" spans="1:12">
      <c r="A20" s="113">
        <v>12</v>
      </c>
      <c r="B20" s="113" t="s">
        <v>454</v>
      </c>
      <c r="C20" s="113" t="s">
        <v>439</v>
      </c>
      <c r="D20" s="113" t="s">
        <v>440</v>
      </c>
      <c r="E20" s="113" t="s">
        <v>441</v>
      </c>
      <c r="F20" s="113" t="s">
        <v>431</v>
      </c>
      <c r="G20" s="113" t="s">
        <v>428</v>
      </c>
      <c r="H20" s="113">
        <v>1830</v>
      </c>
      <c r="I20" s="113">
        <v>1982</v>
      </c>
      <c r="J20" s="113">
        <v>3</v>
      </c>
      <c r="K20" s="123">
        <v>161.07</v>
      </c>
      <c r="L20" s="47" t="s">
        <v>387</v>
      </c>
    </row>
    <row r="21" spans="1:12" ht="20.100000000000001" customHeight="1">
      <c r="A21" s="113">
        <v>13</v>
      </c>
      <c r="B21" s="113" t="s">
        <v>455</v>
      </c>
      <c r="C21" s="113" t="s">
        <v>429</v>
      </c>
      <c r="D21" s="113" t="s">
        <v>430</v>
      </c>
      <c r="E21" s="113" t="s">
        <v>264</v>
      </c>
      <c r="F21" s="113" t="s">
        <v>431</v>
      </c>
      <c r="G21" s="113" t="s">
        <v>428</v>
      </c>
      <c r="H21" s="113">
        <v>2134</v>
      </c>
      <c r="I21" s="113">
        <v>2440</v>
      </c>
      <c r="J21" s="113">
        <v>2</v>
      </c>
      <c r="K21" s="123">
        <v>462.52</v>
      </c>
      <c r="L21" s="47" t="s">
        <v>388</v>
      </c>
    </row>
    <row r="22" spans="1:12" ht="20.100000000000001" customHeight="1">
      <c r="A22" s="113">
        <v>14</v>
      </c>
      <c r="B22" s="113" t="s">
        <v>456</v>
      </c>
      <c r="C22" s="113" t="s">
        <v>439</v>
      </c>
      <c r="D22" s="113" t="s">
        <v>440</v>
      </c>
      <c r="E22" s="113" t="s">
        <v>441</v>
      </c>
      <c r="F22" s="113" t="s">
        <v>431</v>
      </c>
      <c r="G22" s="113" t="s">
        <v>428</v>
      </c>
      <c r="H22" s="113">
        <v>1220</v>
      </c>
      <c r="I22" s="113">
        <v>1220</v>
      </c>
      <c r="J22" s="113">
        <v>2</v>
      </c>
      <c r="K22" s="123">
        <v>110.12</v>
      </c>
      <c r="L22" s="47" t="s">
        <v>389</v>
      </c>
    </row>
    <row r="23" spans="1:12" ht="20.100000000000001" customHeight="1">
      <c r="A23" s="113">
        <v>15</v>
      </c>
      <c r="B23" s="113" t="s">
        <v>457</v>
      </c>
      <c r="C23" s="113" t="s">
        <v>442</v>
      </c>
      <c r="D23" s="113" t="s">
        <v>443</v>
      </c>
      <c r="E23" s="113" t="s">
        <v>444</v>
      </c>
      <c r="F23" s="113" t="s">
        <v>435</v>
      </c>
      <c r="G23" s="113" t="s">
        <v>428</v>
      </c>
      <c r="H23" s="113">
        <v>762</v>
      </c>
      <c r="I23" s="113">
        <v>610</v>
      </c>
      <c r="J23" s="113">
        <v>4</v>
      </c>
      <c r="K23" s="123">
        <v>60.69</v>
      </c>
      <c r="L23" s="47" t="s">
        <v>405</v>
      </c>
    </row>
    <row r="24" spans="1:12" ht="20.100000000000001" customHeight="1">
      <c r="A24" s="113">
        <v>16</v>
      </c>
      <c r="B24" s="113" t="s">
        <v>458</v>
      </c>
      <c r="C24" s="113" t="s">
        <v>425</v>
      </c>
      <c r="D24" s="113" t="s">
        <v>445</v>
      </c>
      <c r="E24" s="113" t="s">
        <v>264</v>
      </c>
      <c r="F24" s="113" t="s">
        <v>435</v>
      </c>
      <c r="G24" s="113" t="s">
        <v>428</v>
      </c>
      <c r="H24" s="113">
        <v>762</v>
      </c>
      <c r="I24" s="113">
        <v>1524</v>
      </c>
      <c r="J24" s="113">
        <v>1</v>
      </c>
      <c r="K24" s="123">
        <v>48.27</v>
      </c>
      <c r="L24" s="47" t="s">
        <v>420</v>
      </c>
    </row>
    <row r="25" spans="1:12" ht="20.100000000000001" customHeight="1">
      <c r="A25" s="113">
        <v>17</v>
      </c>
      <c r="B25" s="113" t="s">
        <v>459</v>
      </c>
      <c r="C25" s="113" t="s">
        <v>429</v>
      </c>
      <c r="D25" s="113" t="s">
        <v>430</v>
      </c>
      <c r="E25" s="113" t="s">
        <v>264</v>
      </c>
      <c r="F25" s="113" t="s">
        <v>431</v>
      </c>
      <c r="G25" s="113" t="s">
        <v>428</v>
      </c>
      <c r="H25" s="113">
        <v>2440</v>
      </c>
      <c r="I25" s="113">
        <v>2440</v>
      </c>
      <c r="J25" s="113">
        <v>1</v>
      </c>
      <c r="K25" s="123">
        <v>481.94</v>
      </c>
    </row>
    <row r="26" spans="1:12">
      <c r="A26" s="113">
        <v>18</v>
      </c>
      <c r="B26" s="113" t="s">
        <v>460</v>
      </c>
      <c r="C26" s="113" t="s">
        <v>425</v>
      </c>
      <c r="D26" s="113" t="s">
        <v>434</v>
      </c>
      <c r="E26" s="113" t="s">
        <v>264</v>
      </c>
      <c r="F26" s="113" t="s">
        <v>435</v>
      </c>
      <c r="G26" s="113" t="s">
        <v>428</v>
      </c>
      <c r="H26" s="113">
        <v>1068</v>
      </c>
      <c r="I26" s="113">
        <v>2440</v>
      </c>
      <c r="J26" s="113">
        <v>1</v>
      </c>
      <c r="K26" s="123">
        <v>316.92</v>
      </c>
    </row>
    <row r="27" spans="1:12" ht="20.100000000000001" customHeight="1">
      <c r="A27" s="113">
        <v>19</v>
      </c>
      <c r="B27" s="113" t="s">
        <v>461</v>
      </c>
      <c r="C27" s="113" t="s">
        <v>425</v>
      </c>
      <c r="D27" s="113" t="s">
        <v>434</v>
      </c>
      <c r="E27" s="113" t="s">
        <v>264</v>
      </c>
      <c r="F27" s="113" t="s">
        <v>435</v>
      </c>
      <c r="G27" s="113" t="s">
        <v>428</v>
      </c>
      <c r="H27" s="113">
        <v>992</v>
      </c>
      <c r="I27" s="113">
        <v>2440</v>
      </c>
      <c r="J27" s="113">
        <v>4</v>
      </c>
      <c r="K27" s="123">
        <v>282.75</v>
      </c>
    </row>
    <row r="28" spans="1:12" ht="20.100000000000001" customHeight="1">
      <c r="A28" s="113">
        <v>20</v>
      </c>
      <c r="B28" s="113" t="s">
        <v>462</v>
      </c>
      <c r="C28" s="113" t="s">
        <v>425</v>
      </c>
      <c r="D28" s="113" t="s">
        <v>434</v>
      </c>
      <c r="E28" s="113" t="s">
        <v>264</v>
      </c>
      <c r="F28" s="113" t="s">
        <v>435</v>
      </c>
      <c r="G28" s="113" t="s">
        <v>428</v>
      </c>
      <c r="H28" s="113">
        <v>840</v>
      </c>
      <c r="I28" s="113">
        <v>2440</v>
      </c>
      <c r="J28" s="113">
        <v>3</v>
      </c>
      <c r="K28" s="123">
        <v>275.82</v>
      </c>
    </row>
    <row r="29" spans="1:12" ht="20.100000000000001" customHeight="1">
      <c r="A29" s="113">
        <v>21</v>
      </c>
      <c r="B29" s="113" t="s">
        <v>463</v>
      </c>
      <c r="C29" s="113" t="s">
        <v>429</v>
      </c>
      <c r="D29" s="113" t="s">
        <v>430</v>
      </c>
      <c r="E29" s="113" t="s">
        <v>264</v>
      </c>
      <c r="F29" s="113" t="s">
        <v>431</v>
      </c>
      <c r="G29" s="113" t="s">
        <v>428</v>
      </c>
      <c r="H29" s="113">
        <v>3658</v>
      </c>
      <c r="I29" s="113">
        <v>2440</v>
      </c>
      <c r="J29" s="113">
        <v>1</v>
      </c>
      <c r="K29" s="123">
        <v>963.69</v>
      </c>
    </row>
    <row r="30" spans="1:12" ht="20.100000000000001" customHeight="1">
      <c r="A30" s="113">
        <v>22</v>
      </c>
      <c r="B30" s="113" t="s">
        <v>464</v>
      </c>
      <c r="C30" s="113" t="s">
        <v>439</v>
      </c>
      <c r="D30" s="113" t="s">
        <v>440</v>
      </c>
      <c r="E30" s="113" t="s">
        <v>441</v>
      </c>
      <c r="F30" s="113" t="s">
        <v>431</v>
      </c>
      <c r="G30" s="113" t="s">
        <v>428</v>
      </c>
      <c r="H30" s="113">
        <v>1830</v>
      </c>
      <c r="I30" s="113">
        <v>1982</v>
      </c>
      <c r="J30" s="113">
        <v>4</v>
      </c>
      <c r="K30" s="123">
        <v>161.07</v>
      </c>
    </row>
    <row r="31" spans="1:12" ht="20.100000000000001" customHeight="1">
      <c r="A31" s="113">
        <v>23</v>
      </c>
      <c r="B31" s="113" t="s">
        <v>465</v>
      </c>
      <c r="C31" s="113" t="s">
        <v>429</v>
      </c>
      <c r="D31" s="113" t="s">
        <v>430</v>
      </c>
      <c r="E31" s="113" t="s">
        <v>264</v>
      </c>
      <c r="F31" s="113" t="s">
        <v>431</v>
      </c>
      <c r="G31" s="113" t="s">
        <v>428</v>
      </c>
      <c r="H31" s="113">
        <v>2134</v>
      </c>
      <c r="I31" s="113">
        <v>2440</v>
      </c>
      <c r="J31" s="113">
        <v>2</v>
      </c>
      <c r="K31" s="123">
        <v>462.52</v>
      </c>
    </row>
    <row r="32" spans="1:12">
      <c r="A32" s="113">
        <v>24</v>
      </c>
      <c r="B32" s="113" t="s">
        <v>466</v>
      </c>
      <c r="C32" s="113" t="s">
        <v>439</v>
      </c>
      <c r="D32" s="113" t="s">
        <v>440</v>
      </c>
      <c r="E32" s="113" t="s">
        <v>441</v>
      </c>
      <c r="F32" s="113" t="s">
        <v>431</v>
      </c>
      <c r="G32" s="113" t="s">
        <v>428</v>
      </c>
      <c r="H32" s="113">
        <v>1220</v>
      </c>
      <c r="I32" s="113">
        <v>1524</v>
      </c>
      <c r="J32" s="113">
        <v>1</v>
      </c>
      <c r="K32" s="123">
        <v>123.35</v>
      </c>
    </row>
    <row r="33" spans="1:11" ht="20.100000000000001" customHeight="1">
      <c r="A33" s="113">
        <v>25</v>
      </c>
      <c r="B33" s="113" t="s">
        <v>467</v>
      </c>
      <c r="C33" s="113" t="s">
        <v>442</v>
      </c>
      <c r="D33" s="113" t="s">
        <v>443</v>
      </c>
      <c r="E33" s="113" t="s">
        <v>444</v>
      </c>
      <c r="F33" s="113" t="s">
        <v>435</v>
      </c>
      <c r="G33" s="113" t="s">
        <v>428</v>
      </c>
      <c r="H33" s="113">
        <v>762</v>
      </c>
      <c r="I33" s="113">
        <v>610</v>
      </c>
      <c r="J33" s="113">
        <v>3</v>
      </c>
      <c r="K33" s="123">
        <v>60.69</v>
      </c>
    </row>
    <row r="34" spans="1:11" ht="20.100000000000001" customHeight="1">
      <c r="A34" s="113">
        <v>26</v>
      </c>
      <c r="B34" s="113" t="s">
        <v>468</v>
      </c>
      <c r="C34" s="113" t="s">
        <v>425</v>
      </c>
      <c r="D34" s="113" t="s">
        <v>434</v>
      </c>
      <c r="E34" s="113" t="s">
        <v>264</v>
      </c>
      <c r="F34" s="113" t="s">
        <v>435</v>
      </c>
      <c r="G34" s="113" t="s">
        <v>428</v>
      </c>
      <c r="H34" s="113">
        <v>916</v>
      </c>
      <c r="I34" s="113">
        <v>2744</v>
      </c>
      <c r="J34" s="113">
        <v>1</v>
      </c>
      <c r="K34" s="123">
        <v>291.97000000000003</v>
      </c>
    </row>
    <row r="35" spans="1:11" ht="20.100000000000001" customHeight="1">
      <c r="A35" s="113">
        <v>27</v>
      </c>
      <c r="B35" s="113" t="s">
        <v>469</v>
      </c>
      <c r="C35" s="113" t="s">
        <v>429</v>
      </c>
      <c r="D35" s="113" t="s">
        <v>430</v>
      </c>
      <c r="E35" s="113" t="s">
        <v>264</v>
      </c>
      <c r="F35" s="113" t="s">
        <v>431</v>
      </c>
      <c r="G35" s="113" t="s">
        <v>428</v>
      </c>
      <c r="H35" s="113">
        <v>2440</v>
      </c>
      <c r="I35" s="113">
        <v>2744</v>
      </c>
      <c r="J35" s="113">
        <v>1</v>
      </c>
      <c r="K35" s="123">
        <v>513.52</v>
      </c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33" sqref="O3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MD-4TH-P</v>
      </c>
      <c r="C4" s="118" t="str">
        <f>'BD Team'!C9</f>
        <v>M15000</v>
      </c>
      <c r="D4" s="118" t="str">
        <f>'BD Team'!D9</f>
        <v>FRENCH DOOR WITH FIXED GLASS</v>
      </c>
      <c r="E4" s="118" t="str">
        <f>'BD Team'!F9</f>
        <v>RETRACTABLE</v>
      </c>
      <c r="F4" s="121" t="str">
        <f>'BD Team'!G9</f>
        <v>NA</v>
      </c>
      <c r="G4" s="118">
        <f>'BD Team'!H9</f>
        <v>2440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64.084550399999998</v>
      </c>
      <c r="K4" s="172">
        <f>'BD Team'!K9</f>
        <v>721.31</v>
      </c>
      <c r="L4" s="171">
        <f>K4*I4</f>
        <v>721.31</v>
      </c>
      <c r="M4" s="170">
        <f>L4*'Changable Values'!$D$4</f>
        <v>59868.729999999996</v>
      </c>
      <c r="N4" s="170" t="str">
        <f>'BD Team'!E9</f>
        <v>24MM</v>
      </c>
      <c r="O4" s="172">
        <v>2805</v>
      </c>
      <c r="P4" s="241"/>
      <c r="Q4" s="173"/>
      <c r="R4" s="185">
        <f>900*10.764</f>
        <v>9687.5999999999985</v>
      </c>
      <c r="S4" s="312"/>
      <c r="T4" s="313">
        <f>(G4+H4)*I4*2/300</f>
        <v>32.533333333333331</v>
      </c>
      <c r="U4" s="313">
        <f>SUM(G4:H4)*I4*2*4/1000</f>
        <v>39.04</v>
      </c>
      <c r="V4" s="313">
        <f>SUM(G4:H4)*I4*5*5*4/(1000*240)</f>
        <v>2.0333333333333332</v>
      </c>
      <c r="W4" s="313">
        <f>T4</f>
        <v>32.533333333333331</v>
      </c>
      <c r="X4" s="313">
        <f>W4*2</f>
        <v>65.066666666666663</v>
      </c>
      <c r="Y4" s="313">
        <f>SUM(G4:H4)*I4*4/1000</f>
        <v>19.52</v>
      </c>
    </row>
    <row r="5" spans="1:25">
      <c r="A5" s="118">
        <f>'BD Team'!A10</f>
        <v>2</v>
      </c>
      <c r="B5" s="118" t="str">
        <f>'BD Team'!B10</f>
        <v>FDA-FDB-4TH-P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NA</v>
      </c>
      <c r="G5" s="118">
        <f>'BD Team'!H10</f>
        <v>2440</v>
      </c>
      <c r="H5" s="118">
        <f>'BD Team'!I10</f>
        <v>2440</v>
      </c>
      <c r="I5" s="118">
        <f>'BD Team'!J10</f>
        <v>1</v>
      </c>
      <c r="J5" s="103">
        <f t="shared" si="0"/>
        <v>64.084550399999998</v>
      </c>
      <c r="K5" s="172">
        <f>'BD Team'!K10</f>
        <v>481.94</v>
      </c>
      <c r="L5" s="171">
        <f t="shared" ref="L5:L53" si="1">K5*I5</f>
        <v>481.94</v>
      </c>
      <c r="M5" s="170">
        <f>L5*'Changable Values'!$D$4</f>
        <v>40001.019999999997</v>
      </c>
      <c r="N5" s="170" t="str">
        <f>'BD Team'!E10</f>
        <v>24MM</v>
      </c>
      <c r="O5" s="172">
        <v>2805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32.533333333333331</v>
      </c>
      <c r="U5" s="313">
        <f t="shared" ref="U5:U68" si="3">SUM(G5:H5)*I5*2*4/1000</f>
        <v>39.04</v>
      </c>
      <c r="V5" s="313">
        <f t="shared" ref="V5:V68" si="4">SUM(G5:H5)*I5*5*5*4/(1000*240)</f>
        <v>2.0333333333333332</v>
      </c>
      <c r="W5" s="313">
        <f t="shared" ref="W5:W68" si="5">T5</f>
        <v>32.533333333333331</v>
      </c>
      <c r="X5" s="313">
        <f t="shared" ref="X5:X68" si="6">W5*2</f>
        <v>65.066666666666663</v>
      </c>
      <c r="Y5" s="313">
        <f t="shared" ref="Y5:Y68" si="7">SUM(G5:H5)*I5*4/1000</f>
        <v>19.52</v>
      </c>
    </row>
    <row r="6" spans="1:25">
      <c r="A6" s="118">
        <f>'BD Team'!A11</f>
        <v>3</v>
      </c>
      <c r="B6" s="118" t="str">
        <f>'BD Team'!B11</f>
        <v>FDB-4TH-P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NA</v>
      </c>
      <c r="G6" s="118">
        <f>'BD Team'!H11</f>
        <v>1830</v>
      </c>
      <c r="H6" s="118">
        <f>'BD Team'!I11</f>
        <v>2440</v>
      </c>
      <c r="I6" s="118">
        <f>'BD Team'!J11</f>
        <v>1</v>
      </c>
      <c r="J6" s="103">
        <f t="shared" si="0"/>
        <v>48.063412799999995</v>
      </c>
      <c r="K6" s="172">
        <f>'BD Team'!K11</f>
        <v>443.23</v>
      </c>
      <c r="L6" s="171">
        <f t="shared" si="1"/>
        <v>443.23</v>
      </c>
      <c r="M6" s="170">
        <f>L6*'Changable Values'!$D$4</f>
        <v>36788.090000000004</v>
      </c>
      <c r="N6" s="170" t="str">
        <f>'BD Team'!E11</f>
        <v>24MM</v>
      </c>
      <c r="O6" s="172">
        <v>2805</v>
      </c>
      <c r="P6" s="241"/>
      <c r="Q6" s="173">
        <f>50*10.764</f>
        <v>538.19999999999993</v>
      </c>
      <c r="R6" s="185"/>
      <c r="S6" s="312"/>
      <c r="T6" s="313">
        <f t="shared" si="2"/>
        <v>28.466666666666665</v>
      </c>
      <c r="U6" s="313">
        <f t="shared" si="3"/>
        <v>34.159999999999997</v>
      </c>
      <c r="V6" s="313">
        <f t="shared" si="4"/>
        <v>1.7791666666666666</v>
      </c>
      <c r="W6" s="313">
        <f t="shared" si="5"/>
        <v>28.466666666666665</v>
      </c>
      <c r="X6" s="313">
        <f t="shared" si="6"/>
        <v>56.93333333333333</v>
      </c>
      <c r="Y6" s="313">
        <f t="shared" si="7"/>
        <v>17.079999999999998</v>
      </c>
    </row>
    <row r="7" spans="1:25">
      <c r="A7" s="118">
        <f>'BD Team'!A12</f>
        <v>4</v>
      </c>
      <c r="B7" s="118" t="str">
        <f>'BD Team'!B12</f>
        <v>DDA-4TH-P</v>
      </c>
      <c r="C7" s="118" t="str">
        <f>'BD Team'!C12</f>
        <v>M15000</v>
      </c>
      <c r="D7" s="118" t="str">
        <f>'BD Team'!D12</f>
        <v>FRENCH DOOR</v>
      </c>
      <c r="E7" s="118" t="str">
        <f>'BD Team'!F12</f>
        <v>RETRACTABLE</v>
      </c>
      <c r="F7" s="121" t="str">
        <f>'BD Team'!G12</f>
        <v>NA</v>
      </c>
      <c r="G7" s="118">
        <f>'BD Team'!H12</f>
        <v>1372</v>
      </c>
      <c r="H7" s="118">
        <f>'BD Team'!I12</f>
        <v>2440</v>
      </c>
      <c r="I7" s="118">
        <f>'BD Team'!J12</f>
        <v>1</v>
      </c>
      <c r="J7" s="103">
        <f t="shared" si="0"/>
        <v>36.034427519999994</v>
      </c>
      <c r="K7" s="172">
        <f>'BD Team'!K12</f>
        <v>496.99</v>
      </c>
      <c r="L7" s="171">
        <f t="shared" si="1"/>
        <v>496.99</v>
      </c>
      <c r="M7" s="170">
        <f>L7*'Changable Values'!$D$4</f>
        <v>41250.17</v>
      </c>
      <c r="N7" s="170" t="str">
        <f>'BD Team'!E12</f>
        <v>24MM</v>
      </c>
      <c r="O7" s="172">
        <v>2805</v>
      </c>
      <c r="P7" s="241"/>
      <c r="Q7" s="173"/>
      <c r="R7" s="185">
        <f>900*10.764</f>
        <v>9687.5999999999985</v>
      </c>
      <c r="S7" s="312"/>
      <c r="T7" s="313">
        <f t="shared" si="2"/>
        <v>25.413333333333334</v>
      </c>
      <c r="U7" s="313">
        <f t="shared" si="3"/>
        <v>30.495999999999999</v>
      </c>
      <c r="V7" s="313">
        <f t="shared" si="4"/>
        <v>1.5883333333333334</v>
      </c>
      <c r="W7" s="313">
        <f t="shared" si="5"/>
        <v>25.413333333333334</v>
      </c>
      <c r="X7" s="313">
        <f t="shared" si="6"/>
        <v>50.826666666666668</v>
      </c>
      <c r="Y7" s="313">
        <f t="shared" si="7"/>
        <v>15.247999999999999</v>
      </c>
    </row>
    <row r="8" spans="1:25">
      <c r="A8" s="118">
        <f>'BD Team'!A13</f>
        <v>5</v>
      </c>
      <c r="B8" s="118" t="str">
        <f>'BD Team'!B13</f>
        <v>DA-LH-4TH-P</v>
      </c>
      <c r="C8" s="118" t="str">
        <f>'BD Team'!C13</f>
        <v>M15000</v>
      </c>
      <c r="D8" s="118" t="str">
        <f>'BD Team'!D13</f>
        <v>SIDE HUNG DOOR</v>
      </c>
      <c r="E8" s="118" t="str">
        <f>'BD Team'!F13</f>
        <v>NO</v>
      </c>
      <c r="F8" s="121" t="str">
        <f>'BD Team'!G13</f>
        <v>NA</v>
      </c>
      <c r="G8" s="118">
        <f>'BD Team'!H13</f>
        <v>1068</v>
      </c>
      <c r="H8" s="118">
        <f>'BD Team'!I13</f>
        <v>2440</v>
      </c>
      <c r="I8" s="118">
        <f>'BD Team'!J13</f>
        <v>1</v>
      </c>
      <c r="J8" s="103">
        <f t="shared" si="0"/>
        <v>28.05012288</v>
      </c>
      <c r="K8" s="172">
        <f>'BD Team'!K13</f>
        <v>316.92</v>
      </c>
      <c r="L8" s="171">
        <f t="shared" si="1"/>
        <v>316.92</v>
      </c>
      <c r="M8" s="170">
        <f>L8*'Changable Values'!$D$4</f>
        <v>26304.36</v>
      </c>
      <c r="N8" s="170" t="str">
        <f>'BD Team'!E13</f>
        <v>24MM</v>
      </c>
      <c r="O8" s="172">
        <v>2805</v>
      </c>
      <c r="P8" s="241"/>
      <c r="Q8" s="173"/>
      <c r="R8" s="185"/>
      <c r="S8" s="312"/>
      <c r="T8" s="313">
        <f t="shared" si="2"/>
        <v>23.386666666666667</v>
      </c>
      <c r="U8" s="313">
        <f t="shared" si="3"/>
        <v>28.064</v>
      </c>
      <c r="V8" s="313">
        <f t="shared" si="4"/>
        <v>1.4616666666666667</v>
      </c>
      <c r="W8" s="313">
        <f t="shared" si="5"/>
        <v>23.386666666666667</v>
      </c>
      <c r="X8" s="313">
        <f t="shared" si="6"/>
        <v>46.773333333333333</v>
      </c>
      <c r="Y8" s="313">
        <f t="shared" si="7"/>
        <v>14.032</v>
      </c>
    </row>
    <row r="9" spans="1:25">
      <c r="A9" s="118">
        <f>'BD Team'!A14</f>
        <v>6</v>
      </c>
      <c r="B9" s="118" t="str">
        <f>'BD Team'!B14</f>
        <v>D1A-4TH-P</v>
      </c>
      <c r="C9" s="118" t="str">
        <f>'BD Team'!C14</f>
        <v>M15000</v>
      </c>
      <c r="D9" s="118" t="str">
        <f>'BD Team'!D14</f>
        <v>SIDE HUNG DOOR</v>
      </c>
      <c r="E9" s="118" t="str">
        <f>'BD Team'!F14</f>
        <v>NO</v>
      </c>
      <c r="F9" s="121" t="str">
        <f>'BD Team'!G14</f>
        <v>NA</v>
      </c>
      <c r="G9" s="118">
        <f>'BD Team'!H14</f>
        <v>992</v>
      </c>
      <c r="H9" s="118">
        <f>'BD Team'!I14</f>
        <v>2440</v>
      </c>
      <c r="I9" s="118">
        <f>'BD Team'!J14</f>
        <v>2</v>
      </c>
      <c r="J9" s="103">
        <f t="shared" si="0"/>
        <v>52.108093439999998</v>
      </c>
      <c r="K9" s="172">
        <f>'BD Team'!K14</f>
        <v>282.75</v>
      </c>
      <c r="L9" s="171">
        <f t="shared" si="1"/>
        <v>565.5</v>
      </c>
      <c r="M9" s="170">
        <f>L9*'Changable Values'!$D$4</f>
        <v>46936.5</v>
      </c>
      <c r="N9" s="170" t="str">
        <f>'BD Team'!E14</f>
        <v>24MM</v>
      </c>
      <c r="O9" s="172">
        <v>2805</v>
      </c>
      <c r="P9" s="241"/>
      <c r="Q9" s="173"/>
      <c r="R9" s="185"/>
      <c r="S9" s="312"/>
      <c r="T9" s="313">
        <f t="shared" si="2"/>
        <v>45.76</v>
      </c>
      <c r="U9" s="313">
        <f t="shared" si="3"/>
        <v>54.911999999999999</v>
      </c>
      <c r="V9" s="313">
        <f t="shared" si="4"/>
        <v>2.86</v>
      </c>
      <c r="W9" s="313">
        <f t="shared" si="5"/>
        <v>45.76</v>
      </c>
      <c r="X9" s="313">
        <f t="shared" si="6"/>
        <v>91.52</v>
      </c>
      <c r="Y9" s="313">
        <f t="shared" si="7"/>
        <v>27.456</v>
      </c>
    </row>
    <row r="10" spans="1:25">
      <c r="A10" s="118">
        <f>'BD Team'!A15</f>
        <v>7</v>
      </c>
      <c r="B10" s="118" t="str">
        <f>'BD Team'!B15</f>
        <v>D1A-LH-4TH-P</v>
      </c>
      <c r="C10" s="118" t="str">
        <f>'BD Team'!C15</f>
        <v>M15000</v>
      </c>
      <c r="D10" s="118" t="str">
        <f>'BD Team'!D15</f>
        <v>SIDE HUNG DOOR</v>
      </c>
      <c r="E10" s="118" t="str">
        <f>'BD Team'!F15</f>
        <v>NO</v>
      </c>
      <c r="F10" s="121" t="str">
        <f>'BD Team'!G15</f>
        <v>NA</v>
      </c>
      <c r="G10" s="118">
        <f>'BD Team'!H15</f>
        <v>992</v>
      </c>
      <c r="H10" s="118">
        <f>'BD Team'!I15</f>
        <v>2440</v>
      </c>
      <c r="I10" s="118">
        <f>'BD Team'!J15</f>
        <v>1</v>
      </c>
      <c r="J10" s="103">
        <f t="shared" si="0"/>
        <v>26.054046719999999</v>
      </c>
      <c r="K10" s="172">
        <f>'BD Team'!K15</f>
        <v>313.12</v>
      </c>
      <c r="L10" s="171">
        <f t="shared" si="1"/>
        <v>313.12</v>
      </c>
      <c r="M10" s="170">
        <f>L10*'Changable Values'!$D$4</f>
        <v>25988.959999999999</v>
      </c>
      <c r="N10" s="170" t="str">
        <f>'BD Team'!E15</f>
        <v>24MM</v>
      </c>
      <c r="O10" s="172">
        <v>2805</v>
      </c>
      <c r="P10" s="241"/>
      <c r="Q10" s="173"/>
      <c r="R10" s="185"/>
      <c r="S10" s="312"/>
      <c r="T10" s="313">
        <f t="shared" si="2"/>
        <v>22.88</v>
      </c>
      <c r="U10" s="313">
        <f t="shared" si="3"/>
        <v>27.456</v>
      </c>
      <c r="V10" s="313">
        <f t="shared" si="4"/>
        <v>1.43</v>
      </c>
      <c r="W10" s="313">
        <f t="shared" si="5"/>
        <v>22.88</v>
      </c>
      <c r="X10" s="313">
        <f t="shared" si="6"/>
        <v>45.76</v>
      </c>
      <c r="Y10" s="313">
        <f t="shared" si="7"/>
        <v>13.728</v>
      </c>
    </row>
    <row r="11" spans="1:25">
      <c r="A11" s="118">
        <f>'BD Team'!A16</f>
        <v>8</v>
      </c>
      <c r="B11" s="118" t="str">
        <f>'BD Team'!B16</f>
        <v>D2A-LH-4TH-P</v>
      </c>
      <c r="C11" s="118" t="str">
        <f>'BD Team'!C16</f>
        <v>M15000</v>
      </c>
      <c r="D11" s="118" t="str">
        <f>'BD Team'!D16</f>
        <v>SIDE HUNG DOOR</v>
      </c>
      <c r="E11" s="118" t="str">
        <f>'BD Team'!F16</f>
        <v>NO</v>
      </c>
      <c r="F11" s="121" t="str">
        <f>'BD Team'!G16</f>
        <v>NA</v>
      </c>
      <c r="G11" s="118">
        <f>'BD Team'!H16</f>
        <v>840</v>
      </c>
      <c r="H11" s="118">
        <f>'BD Team'!I16</f>
        <v>2440</v>
      </c>
      <c r="I11" s="118">
        <f>'BD Team'!J16</f>
        <v>5</v>
      </c>
      <c r="J11" s="103">
        <f t="shared" si="0"/>
        <v>110.309472</v>
      </c>
      <c r="K11" s="172">
        <f>'BD Team'!K16</f>
        <v>275.82</v>
      </c>
      <c r="L11" s="171">
        <f t="shared" si="1"/>
        <v>1379.1</v>
      </c>
      <c r="M11" s="170">
        <f>L11*'Changable Values'!$D$4</f>
        <v>114465.29999999999</v>
      </c>
      <c r="N11" s="170" t="str">
        <f>'BD Team'!E16</f>
        <v>24MM</v>
      </c>
      <c r="O11" s="172">
        <v>2805</v>
      </c>
      <c r="P11" s="241"/>
      <c r="Q11" s="173"/>
      <c r="R11" s="185"/>
      <c r="S11" s="312"/>
      <c r="T11" s="313">
        <f t="shared" si="2"/>
        <v>109.33333333333333</v>
      </c>
      <c r="U11" s="313">
        <f t="shared" si="3"/>
        <v>131.19999999999999</v>
      </c>
      <c r="V11" s="313">
        <f t="shared" si="4"/>
        <v>6.833333333333333</v>
      </c>
      <c r="W11" s="313">
        <f t="shared" si="5"/>
        <v>109.33333333333333</v>
      </c>
      <c r="X11" s="313">
        <f t="shared" si="6"/>
        <v>218.66666666666666</v>
      </c>
      <c r="Y11" s="313">
        <f t="shared" si="7"/>
        <v>65.599999999999994</v>
      </c>
    </row>
    <row r="12" spans="1:25">
      <c r="A12" s="118">
        <f>'BD Team'!A17</f>
        <v>9</v>
      </c>
      <c r="B12" s="118" t="str">
        <f>'BD Team'!B17</f>
        <v>O-LH-4TH-P</v>
      </c>
      <c r="C12" s="118" t="str">
        <f>'BD Team'!C17</f>
        <v>M15000</v>
      </c>
      <c r="D12" s="118" t="str">
        <f>'BD Team'!D17</f>
        <v>SIDE HUNG DOOR</v>
      </c>
      <c r="E12" s="118" t="str">
        <f>'BD Team'!F17</f>
        <v>NO</v>
      </c>
      <c r="F12" s="121" t="str">
        <f>'BD Team'!G17</f>
        <v>NA</v>
      </c>
      <c r="G12" s="118">
        <f>'BD Team'!H17</f>
        <v>840</v>
      </c>
      <c r="H12" s="118">
        <f>'BD Team'!I17</f>
        <v>2440</v>
      </c>
      <c r="I12" s="118">
        <f>'BD Team'!J17</f>
        <v>1</v>
      </c>
      <c r="J12" s="103">
        <f t="shared" si="0"/>
        <v>22.0618944</v>
      </c>
      <c r="K12" s="172">
        <f>'BD Team'!K17</f>
        <v>275.82</v>
      </c>
      <c r="L12" s="171">
        <f t="shared" si="1"/>
        <v>275.82</v>
      </c>
      <c r="M12" s="170">
        <f>L12*'Changable Values'!$D$4</f>
        <v>22893.059999999998</v>
      </c>
      <c r="N12" s="170" t="str">
        <f>'BD Team'!E17</f>
        <v>24MM</v>
      </c>
      <c r="O12" s="172">
        <v>2805</v>
      </c>
      <c r="P12" s="241"/>
      <c r="Q12" s="173"/>
      <c r="R12" s="185"/>
      <c r="S12" s="312"/>
      <c r="T12" s="313">
        <f t="shared" si="2"/>
        <v>21.866666666666667</v>
      </c>
      <c r="U12" s="313">
        <f t="shared" si="3"/>
        <v>26.24</v>
      </c>
      <c r="V12" s="313">
        <f t="shared" si="4"/>
        <v>1.3666666666666667</v>
      </c>
      <c r="W12" s="313">
        <f t="shared" si="5"/>
        <v>21.866666666666667</v>
      </c>
      <c r="X12" s="313">
        <f t="shared" si="6"/>
        <v>43.733333333333334</v>
      </c>
      <c r="Y12" s="313">
        <f t="shared" si="7"/>
        <v>13.12</v>
      </c>
    </row>
    <row r="13" spans="1:25">
      <c r="A13" s="118">
        <f>'BD Team'!A18</f>
        <v>10</v>
      </c>
      <c r="B13" s="118" t="str">
        <f>'BD Team'!B18</f>
        <v>WA1-4TH-P</v>
      </c>
      <c r="C13" s="118" t="str">
        <f>'BD Team'!C18</f>
        <v>M14600</v>
      </c>
      <c r="D13" s="118" t="str">
        <f>'BD Team'!D18</f>
        <v>3 TRACK 4 SHUTTER SLIDING DOOR</v>
      </c>
      <c r="E13" s="118" t="str">
        <f>'BD Team'!F18</f>
        <v>SS</v>
      </c>
      <c r="F13" s="121" t="str">
        <f>'BD Team'!G18</f>
        <v>NA</v>
      </c>
      <c r="G13" s="118">
        <f>'BD Team'!H18</f>
        <v>3658</v>
      </c>
      <c r="H13" s="118">
        <f>'BD Team'!I18</f>
        <v>2440</v>
      </c>
      <c r="I13" s="118">
        <f>'BD Team'!J18</f>
        <v>1</v>
      </c>
      <c r="J13" s="103">
        <f t="shared" si="0"/>
        <v>96.074297279999996</v>
      </c>
      <c r="K13" s="172">
        <f>'BD Team'!K18</f>
        <v>963.69</v>
      </c>
      <c r="L13" s="171">
        <f t="shared" si="1"/>
        <v>963.69</v>
      </c>
      <c r="M13" s="170">
        <f>L13*'Changable Values'!$D$4</f>
        <v>79986.27</v>
      </c>
      <c r="N13" s="170" t="str">
        <f>'BD Team'!E18</f>
        <v>24MM</v>
      </c>
      <c r="O13" s="172">
        <v>2805</v>
      </c>
      <c r="P13" s="241"/>
      <c r="Q13" s="173">
        <f t="shared" ref="Q13:Q17" si="8">50*10.764</f>
        <v>538.19999999999993</v>
      </c>
      <c r="R13" s="185"/>
      <c r="S13" s="312"/>
      <c r="T13" s="313">
        <f t="shared" si="2"/>
        <v>40.653333333333336</v>
      </c>
      <c r="U13" s="313">
        <f t="shared" si="3"/>
        <v>48.783999999999999</v>
      </c>
      <c r="V13" s="313">
        <f t="shared" si="4"/>
        <v>2.5408333333333335</v>
      </c>
      <c r="W13" s="313">
        <f t="shared" si="5"/>
        <v>40.653333333333336</v>
      </c>
      <c r="X13" s="313">
        <f t="shared" si="6"/>
        <v>81.306666666666672</v>
      </c>
      <c r="Y13" s="313">
        <f t="shared" si="7"/>
        <v>24.391999999999999</v>
      </c>
    </row>
    <row r="14" spans="1:25">
      <c r="A14" s="118">
        <f>'BD Team'!A19</f>
        <v>11</v>
      </c>
      <c r="B14" s="118" t="str">
        <f>'BD Team'!B19</f>
        <v>WA2-4TH-P</v>
      </c>
      <c r="C14" s="118" t="str">
        <f>'BD Team'!C19</f>
        <v>M900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NA</v>
      </c>
      <c r="G14" s="118">
        <f>'BD Team'!H19</f>
        <v>2240</v>
      </c>
      <c r="H14" s="118">
        <f>'BD Team'!I19</f>
        <v>1830</v>
      </c>
      <c r="I14" s="118">
        <f>'BD Team'!J19</f>
        <v>1</v>
      </c>
      <c r="J14" s="103">
        <f t="shared" si="0"/>
        <v>44.1237888</v>
      </c>
      <c r="K14" s="172">
        <f>'BD Team'!K19</f>
        <v>164.94</v>
      </c>
      <c r="L14" s="171">
        <f t="shared" si="1"/>
        <v>164.94</v>
      </c>
      <c r="M14" s="170">
        <f>L14*'Changable Values'!$D$4</f>
        <v>13690.02</v>
      </c>
      <c r="N14" s="170" t="str">
        <f>'BD Team'!E19</f>
        <v>20MM</v>
      </c>
      <c r="O14" s="172">
        <v>2538</v>
      </c>
      <c r="P14" s="241"/>
      <c r="Q14" s="173">
        <f t="shared" si="8"/>
        <v>538.19999999999993</v>
      </c>
      <c r="R14" s="185"/>
      <c r="S14" s="312"/>
      <c r="T14" s="313">
        <f t="shared" si="2"/>
        <v>27.133333333333333</v>
      </c>
      <c r="U14" s="313">
        <f t="shared" si="3"/>
        <v>32.56</v>
      </c>
      <c r="V14" s="313">
        <f t="shared" si="4"/>
        <v>1.6958333333333333</v>
      </c>
      <c r="W14" s="313">
        <f t="shared" si="5"/>
        <v>27.133333333333333</v>
      </c>
      <c r="X14" s="313">
        <f t="shared" si="6"/>
        <v>54.266666666666666</v>
      </c>
      <c r="Y14" s="313">
        <f t="shared" si="7"/>
        <v>16.28</v>
      </c>
    </row>
    <row r="15" spans="1:25">
      <c r="A15" s="118">
        <f>'BD Team'!A20</f>
        <v>12</v>
      </c>
      <c r="B15" s="118" t="str">
        <f>'BD Team'!B20</f>
        <v>W1B-4TH-P</v>
      </c>
      <c r="C15" s="118" t="str">
        <f>'BD Team'!C20</f>
        <v>M900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NA</v>
      </c>
      <c r="G15" s="118">
        <f>'BD Team'!H20</f>
        <v>1830</v>
      </c>
      <c r="H15" s="118">
        <f>'BD Team'!I20</f>
        <v>1982</v>
      </c>
      <c r="I15" s="118">
        <f>'BD Team'!J20</f>
        <v>3</v>
      </c>
      <c r="J15" s="103">
        <f t="shared" si="0"/>
        <v>117.12502151999999</v>
      </c>
      <c r="K15" s="172">
        <f>'BD Team'!K20</f>
        <v>161.07</v>
      </c>
      <c r="L15" s="171">
        <f t="shared" si="1"/>
        <v>483.21</v>
      </c>
      <c r="M15" s="170">
        <f>L15*'Changable Values'!$D$4</f>
        <v>40106.43</v>
      </c>
      <c r="N15" s="170" t="str">
        <f>'BD Team'!E20</f>
        <v>20MM</v>
      </c>
      <c r="O15" s="172">
        <v>2538</v>
      </c>
      <c r="P15" s="241"/>
      <c r="Q15" s="173">
        <f t="shared" si="8"/>
        <v>538.19999999999993</v>
      </c>
      <c r="R15" s="185"/>
      <c r="S15" s="312"/>
      <c r="T15" s="313">
        <f t="shared" si="2"/>
        <v>76.239999999999995</v>
      </c>
      <c r="U15" s="313">
        <f t="shared" si="3"/>
        <v>91.488</v>
      </c>
      <c r="V15" s="313">
        <f t="shared" si="4"/>
        <v>4.7649999999999997</v>
      </c>
      <c r="W15" s="313">
        <f t="shared" si="5"/>
        <v>76.239999999999995</v>
      </c>
      <c r="X15" s="313">
        <f t="shared" si="6"/>
        <v>152.47999999999999</v>
      </c>
      <c r="Y15" s="313">
        <f t="shared" si="7"/>
        <v>45.744</v>
      </c>
    </row>
    <row r="16" spans="1:25">
      <c r="A16" s="118">
        <f>'BD Team'!A21</f>
        <v>13</v>
      </c>
      <c r="B16" s="118" t="str">
        <f>'BD Team'!B21</f>
        <v>W2A-4TH-P</v>
      </c>
      <c r="C16" s="118" t="str">
        <f>'BD Team'!C21</f>
        <v>M14600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NA</v>
      </c>
      <c r="G16" s="118">
        <f>'BD Team'!H21</f>
        <v>2134</v>
      </c>
      <c r="H16" s="118">
        <f>'BD Team'!I21</f>
        <v>2440</v>
      </c>
      <c r="I16" s="118">
        <f>'BD Team'!J21</f>
        <v>2</v>
      </c>
      <c r="J16" s="103">
        <f t="shared" si="0"/>
        <v>112.09543488</v>
      </c>
      <c r="K16" s="172">
        <f>'BD Team'!K21</f>
        <v>462.52</v>
      </c>
      <c r="L16" s="171">
        <f t="shared" si="1"/>
        <v>925.04</v>
      </c>
      <c r="M16" s="170">
        <f>L16*'Changable Values'!$D$4</f>
        <v>76778.319999999992</v>
      </c>
      <c r="N16" s="170" t="str">
        <f>'BD Team'!E21</f>
        <v>24MM</v>
      </c>
      <c r="O16" s="172">
        <v>2805</v>
      </c>
      <c r="P16" s="241"/>
      <c r="Q16" s="173">
        <f t="shared" si="8"/>
        <v>538.19999999999993</v>
      </c>
      <c r="R16" s="185"/>
      <c r="S16" s="312"/>
      <c r="T16" s="313">
        <f t="shared" si="2"/>
        <v>60.986666666666665</v>
      </c>
      <c r="U16" s="313">
        <f t="shared" si="3"/>
        <v>73.183999999999997</v>
      </c>
      <c r="V16" s="313">
        <f t="shared" si="4"/>
        <v>3.8116666666666665</v>
      </c>
      <c r="W16" s="313">
        <f t="shared" si="5"/>
        <v>60.986666666666665</v>
      </c>
      <c r="X16" s="313">
        <f t="shared" si="6"/>
        <v>121.97333333333333</v>
      </c>
      <c r="Y16" s="313">
        <f t="shared" si="7"/>
        <v>36.591999999999999</v>
      </c>
    </row>
    <row r="17" spans="1:25">
      <c r="A17" s="118">
        <f>'BD Team'!A22</f>
        <v>14</v>
      </c>
      <c r="B17" s="118" t="str">
        <f>'BD Team'!B22</f>
        <v>W3A-4TH-P</v>
      </c>
      <c r="C17" s="118" t="str">
        <f>'BD Team'!C22</f>
        <v>M900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NA</v>
      </c>
      <c r="G17" s="118">
        <f>'BD Team'!H22</f>
        <v>1220</v>
      </c>
      <c r="H17" s="118">
        <f>'BD Team'!I22</f>
        <v>1220</v>
      </c>
      <c r="I17" s="118">
        <f>'BD Team'!J22</f>
        <v>2</v>
      </c>
      <c r="J17" s="103">
        <f t="shared" si="0"/>
        <v>32.042275199999999</v>
      </c>
      <c r="K17" s="172">
        <f>'BD Team'!K22</f>
        <v>110.12</v>
      </c>
      <c r="L17" s="171">
        <f t="shared" si="1"/>
        <v>220.24</v>
      </c>
      <c r="M17" s="170">
        <f>L17*'Changable Values'!$D$4</f>
        <v>18279.920000000002</v>
      </c>
      <c r="N17" s="170" t="str">
        <f>'BD Team'!E22</f>
        <v>20MM</v>
      </c>
      <c r="O17" s="172">
        <v>2538</v>
      </c>
      <c r="P17" s="241"/>
      <c r="Q17" s="173">
        <f t="shared" si="8"/>
        <v>538.19999999999993</v>
      </c>
      <c r="R17" s="185"/>
      <c r="S17" s="312"/>
      <c r="T17" s="313">
        <f t="shared" si="2"/>
        <v>32.533333333333331</v>
      </c>
      <c r="U17" s="313">
        <f t="shared" si="3"/>
        <v>39.04</v>
      </c>
      <c r="V17" s="313">
        <f t="shared" si="4"/>
        <v>2.0333333333333332</v>
      </c>
      <c r="W17" s="313">
        <f t="shared" si="5"/>
        <v>32.533333333333331</v>
      </c>
      <c r="X17" s="313">
        <f t="shared" si="6"/>
        <v>65.066666666666663</v>
      </c>
      <c r="Y17" s="313">
        <f t="shared" si="7"/>
        <v>19.52</v>
      </c>
    </row>
    <row r="18" spans="1:25">
      <c r="A18" s="118">
        <f>'BD Team'!A23</f>
        <v>15</v>
      </c>
      <c r="B18" s="118" t="str">
        <f>'BD Team'!B23</f>
        <v>VENT-VA-4TH-P</v>
      </c>
      <c r="C18" s="118" t="str">
        <f>'BD Team'!C23</f>
        <v>M940</v>
      </c>
      <c r="D18" s="118" t="str">
        <f>'BD Team'!D23</f>
        <v>FIXED GLASS WITH GLASS LOUVERS &amp; EXHAUST FAN PROVISION</v>
      </c>
      <c r="E18" s="118" t="str">
        <f>'BD Team'!F23</f>
        <v>NO</v>
      </c>
      <c r="F18" s="121" t="str">
        <f>'BD Team'!G23</f>
        <v>NA</v>
      </c>
      <c r="G18" s="118">
        <f>'BD Team'!H23</f>
        <v>762</v>
      </c>
      <c r="H18" s="118">
        <f>'BD Team'!I23</f>
        <v>610</v>
      </c>
      <c r="I18" s="118">
        <f>'BD Team'!J23</f>
        <v>4</v>
      </c>
      <c r="J18" s="103">
        <f t="shared" si="0"/>
        <v>20.013289919999998</v>
      </c>
      <c r="K18" s="172">
        <f>'BD Team'!K23</f>
        <v>60.69</v>
      </c>
      <c r="L18" s="171">
        <f t="shared" si="1"/>
        <v>242.76</v>
      </c>
      <c r="M18" s="170">
        <f>L18*'Changable Values'!$D$4</f>
        <v>20149.079999999998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36.586666666666666</v>
      </c>
      <c r="U18" s="313">
        <f t="shared" si="3"/>
        <v>43.904000000000003</v>
      </c>
      <c r="V18" s="313">
        <f t="shared" si="4"/>
        <v>2.2866666666666666</v>
      </c>
      <c r="W18" s="313">
        <f t="shared" si="5"/>
        <v>36.586666666666666</v>
      </c>
      <c r="X18" s="313">
        <f t="shared" si="6"/>
        <v>73.173333333333332</v>
      </c>
      <c r="Y18" s="313">
        <f t="shared" si="7"/>
        <v>21.952000000000002</v>
      </c>
    </row>
    <row r="19" spans="1:25">
      <c r="A19" s="118">
        <f>'BD Team'!A24</f>
        <v>16</v>
      </c>
      <c r="B19" s="118" t="str">
        <f>'BD Team'!B24</f>
        <v>W4-PUJA-4TH-P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NA</v>
      </c>
      <c r="G19" s="118">
        <f>'BD Team'!H24</f>
        <v>762</v>
      </c>
      <c r="H19" s="118">
        <f>'BD Team'!I24</f>
        <v>1524</v>
      </c>
      <c r="I19" s="118">
        <f>'BD Team'!J24</f>
        <v>1</v>
      </c>
      <c r="J19" s="103">
        <f t="shared" si="0"/>
        <v>12.500104031999999</v>
      </c>
      <c r="K19" s="172">
        <f>'BD Team'!K24</f>
        <v>48.27</v>
      </c>
      <c r="L19" s="171">
        <f t="shared" si="1"/>
        <v>48.27</v>
      </c>
      <c r="M19" s="170">
        <f>L19*'Changable Values'!$D$4</f>
        <v>4006.4100000000003</v>
      </c>
      <c r="N19" s="170" t="str">
        <f>'BD Team'!E24</f>
        <v>24MM</v>
      </c>
      <c r="O19" s="172">
        <v>2805</v>
      </c>
      <c r="P19" s="241"/>
      <c r="Q19" s="173"/>
      <c r="R19" s="185"/>
      <c r="S19" s="312"/>
      <c r="T19" s="313">
        <f t="shared" si="2"/>
        <v>15.24</v>
      </c>
      <c r="U19" s="313">
        <f t="shared" si="3"/>
        <v>18.288</v>
      </c>
      <c r="V19" s="313">
        <f t="shared" si="4"/>
        <v>0.95250000000000001</v>
      </c>
      <c r="W19" s="313">
        <f t="shared" si="5"/>
        <v>15.24</v>
      </c>
      <c r="X19" s="313">
        <f t="shared" si="6"/>
        <v>30.48</v>
      </c>
      <c r="Y19" s="313">
        <f t="shared" si="7"/>
        <v>9.1440000000000001</v>
      </c>
    </row>
    <row r="20" spans="1:25">
      <c r="A20" s="118">
        <f>'BD Team'!A25</f>
        <v>17</v>
      </c>
      <c r="B20" s="118" t="str">
        <f>'BD Team'!B25</f>
        <v>FDA-5TH-Q</v>
      </c>
      <c r="C20" s="118" t="str">
        <f>'BD Team'!C25</f>
        <v>M14600</v>
      </c>
      <c r="D20" s="118" t="str">
        <f>'BD Team'!D25</f>
        <v>3 TRACK 2 SHUTTER SLIDING DOOR</v>
      </c>
      <c r="E20" s="118" t="str">
        <f>'BD Team'!F25</f>
        <v>SS</v>
      </c>
      <c r="F20" s="121" t="str">
        <f>'BD Team'!G25</f>
        <v>NA</v>
      </c>
      <c r="G20" s="118">
        <f>'BD Team'!H25</f>
        <v>2440</v>
      </c>
      <c r="H20" s="118">
        <f>'BD Team'!I25</f>
        <v>2440</v>
      </c>
      <c r="I20" s="118">
        <f>'BD Team'!J25</f>
        <v>1</v>
      </c>
      <c r="J20" s="103">
        <f t="shared" si="0"/>
        <v>64.084550399999998</v>
      </c>
      <c r="K20" s="172">
        <f>'BD Team'!K25</f>
        <v>481.94</v>
      </c>
      <c r="L20" s="171">
        <f t="shared" si="1"/>
        <v>481.94</v>
      </c>
      <c r="M20" s="170">
        <f>L20*'Changable Values'!$D$4</f>
        <v>40001.019999999997</v>
      </c>
      <c r="N20" s="170" t="str">
        <f>'BD Team'!E25</f>
        <v>24MM</v>
      </c>
      <c r="O20" s="172">
        <v>2805</v>
      </c>
      <c r="P20" s="241"/>
      <c r="Q20" s="173">
        <f>50*10.764</f>
        <v>538.19999999999993</v>
      </c>
      <c r="R20" s="185"/>
      <c r="S20" s="312"/>
      <c r="T20" s="313">
        <f t="shared" si="2"/>
        <v>32.533333333333331</v>
      </c>
      <c r="U20" s="313">
        <f t="shared" si="3"/>
        <v>39.04</v>
      </c>
      <c r="V20" s="313">
        <f t="shared" si="4"/>
        <v>2.0333333333333332</v>
      </c>
      <c r="W20" s="313">
        <f t="shared" si="5"/>
        <v>32.533333333333331</v>
      </c>
      <c r="X20" s="313">
        <f t="shared" si="6"/>
        <v>65.066666666666663</v>
      </c>
      <c r="Y20" s="313">
        <f t="shared" si="7"/>
        <v>19.52</v>
      </c>
    </row>
    <row r="21" spans="1:25">
      <c r="A21" s="118">
        <f>'BD Team'!A26</f>
        <v>18</v>
      </c>
      <c r="B21" s="118" t="str">
        <f>'BD Team'!B26</f>
        <v>DA-5TH-Q</v>
      </c>
      <c r="C21" s="118" t="str">
        <f>'BD Team'!C26</f>
        <v>M15000</v>
      </c>
      <c r="D21" s="118" t="str">
        <f>'BD Team'!D26</f>
        <v>SIDE HUNG DOOR</v>
      </c>
      <c r="E21" s="118" t="str">
        <f>'BD Team'!F26</f>
        <v>NO</v>
      </c>
      <c r="F21" s="121" t="str">
        <f>'BD Team'!G26</f>
        <v>NA</v>
      </c>
      <c r="G21" s="118">
        <f>'BD Team'!H26</f>
        <v>1068</v>
      </c>
      <c r="H21" s="118">
        <f>'BD Team'!I26</f>
        <v>2440</v>
      </c>
      <c r="I21" s="118">
        <f>'BD Team'!J26</f>
        <v>1</v>
      </c>
      <c r="J21" s="103">
        <f t="shared" si="0"/>
        <v>28.05012288</v>
      </c>
      <c r="K21" s="172">
        <f>'BD Team'!K26</f>
        <v>316.92</v>
      </c>
      <c r="L21" s="171">
        <f t="shared" si="1"/>
        <v>316.92</v>
      </c>
      <c r="M21" s="170">
        <f>L21*'Changable Values'!$D$4</f>
        <v>26304.36</v>
      </c>
      <c r="N21" s="170" t="str">
        <f>'BD Team'!E26</f>
        <v>24MM</v>
      </c>
      <c r="O21" s="172">
        <v>2805</v>
      </c>
      <c r="P21" s="241"/>
      <c r="Q21" s="173"/>
      <c r="R21" s="185"/>
      <c r="S21" s="312"/>
      <c r="T21" s="313">
        <f t="shared" si="2"/>
        <v>23.386666666666667</v>
      </c>
      <c r="U21" s="313">
        <f t="shared" si="3"/>
        <v>28.064</v>
      </c>
      <c r="V21" s="313">
        <f t="shared" si="4"/>
        <v>1.4616666666666667</v>
      </c>
      <c r="W21" s="313">
        <f t="shared" si="5"/>
        <v>23.386666666666667</v>
      </c>
      <c r="X21" s="313">
        <f t="shared" si="6"/>
        <v>46.773333333333333</v>
      </c>
      <c r="Y21" s="313">
        <f t="shared" si="7"/>
        <v>14.032</v>
      </c>
    </row>
    <row r="22" spans="1:25">
      <c r="A22" s="118">
        <f>'BD Team'!A27</f>
        <v>19</v>
      </c>
      <c r="B22" s="118" t="str">
        <f>'BD Team'!B27</f>
        <v>D1A-5TH-Q</v>
      </c>
      <c r="C22" s="118" t="str">
        <f>'BD Team'!C27</f>
        <v>M15000</v>
      </c>
      <c r="D22" s="118" t="str">
        <f>'BD Team'!D27</f>
        <v>SIDE HUNG DOOR</v>
      </c>
      <c r="E22" s="118" t="str">
        <f>'BD Team'!F27</f>
        <v>NO</v>
      </c>
      <c r="F22" s="121" t="str">
        <f>'BD Team'!G27</f>
        <v>NA</v>
      </c>
      <c r="G22" s="118">
        <f>'BD Team'!H27</f>
        <v>992</v>
      </c>
      <c r="H22" s="118">
        <f>'BD Team'!I27</f>
        <v>2440</v>
      </c>
      <c r="I22" s="118">
        <f>'BD Team'!J27</f>
        <v>4</v>
      </c>
      <c r="J22" s="103">
        <f t="shared" si="0"/>
        <v>104.21618688</v>
      </c>
      <c r="K22" s="172">
        <f>'BD Team'!K27</f>
        <v>282.75</v>
      </c>
      <c r="L22" s="171">
        <f t="shared" si="1"/>
        <v>1131</v>
      </c>
      <c r="M22" s="170">
        <f>L22*'Changable Values'!$D$4</f>
        <v>93873</v>
      </c>
      <c r="N22" s="170" t="str">
        <f>'BD Team'!E27</f>
        <v>24MM</v>
      </c>
      <c r="O22" s="172">
        <v>2805</v>
      </c>
      <c r="P22" s="241"/>
      <c r="Q22" s="173"/>
      <c r="R22" s="185"/>
      <c r="S22" s="312"/>
      <c r="T22" s="313">
        <f t="shared" si="2"/>
        <v>91.52</v>
      </c>
      <c r="U22" s="313">
        <f t="shared" si="3"/>
        <v>109.824</v>
      </c>
      <c r="V22" s="313">
        <f t="shared" si="4"/>
        <v>5.72</v>
      </c>
      <c r="W22" s="313">
        <f t="shared" si="5"/>
        <v>91.52</v>
      </c>
      <c r="X22" s="313">
        <f t="shared" si="6"/>
        <v>183.04</v>
      </c>
      <c r="Y22" s="313">
        <f t="shared" si="7"/>
        <v>54.911999999999999</v>
      </c>
    </row>
    <row r="23" spans="1:25">
      <c r="A23" s="118">
        <f>'BD Team'!A28</f>
        <v>20</v>
      </c>
      <c r="B23" s="118" t="str">
        <f>'BD Team'!B28</f>
        <v>D2A-5TH-Q</v>
      </c>
      <c r="C23" s="118" t="str">
        <f>'BD Team'!C28</f>
        <v>M15000</v>
      </c>
      <c r="D23" s="118" t="str">
        <f>'BD Team'!D28</f>
        <v>SIDE HUNG DOOR</v>
      </c>
      <c r="E23" s="118" t="str">
        <f>'BD Team'!F28</f>
        <v>NO</v>
      </c>
      <c r="F23" s="121" t="str">
        <f>'BD Team'!G28</f>
        <v>NA</v>
      </c>
      <c r="G23" s="118">
        <f>'BD Team'!H28</f>
        <v>840</v>
      </c>
      <c r="H23" s="118">
        <f>'BD Team'!I28</f>
        <v>2440</v>
      </c>
      <c r="I23" s="118">
        <f>'BD Team'!J28</f>
        <v>3</v>
      </c>
      <c r="J23" s="103">
        <f t="shared" si="0"/>
        <v>66.1856832</v>
      </c>
      <c r="K23" s="172">
        <f>'BD Team'!K28</f>
        <v>275.82</v>
      </c>
      <c r="L23" s="171">
        <f t="shared" si="1"/>
        <v>827.46</v>
      </c>
      <c r="M23" s="170">
        <f>L23*'Changable Values'!$D$4</f>
        <v>68679.180000000008</v>
      </c>
      <c r="N23" s="170" t="str">
        <f>'BD Team'!E28</f>
        <v>24MM</v>
      </c>
      <c r="O23" s="172">
        <v>2805</v>
      </c>
      <c r="P23" s="241"/>
      <c r="Q23" s="173"/>
      <c r="R23" s="185"/>
      <c r="S23" s="312"/>
      <c r="T23" s="313">
        <f t="shared" si="2"/>
        <v>65.599999999999994</v>
      </c>
      <c r="U23" s="313">
        <f t="shared" si="3"/>
        <v>78.72</v>
      </c>
      <c r="V23" s="313">
        <f t="shared" si="4"/>
        <v>4.0999999999999996</v>
      </c>
      <c r="W23" s="313">
        <f t="shared" si="5"/>
        <v>65.599999999999994</v>
      </c>
      <c r="X23" s="313">
        <f t="shared" si="6"/>
        <v>131.19999999999999</v>
      </c>
      <c r="Y23" s="313">
        <f t="shared" si="7"/>
        <v>39.36</v>
      </c>
    </row>
    <row r="24" spans="1:25">
      <c r="A24" s="118">
        <f>'BD Team'!A29</f>
        <v>21</v>
      </c>
      <c r="B24" s="118" t="str">
        <f>'BD Team'!B29</f>
        <v>WA1-5TH-Q</v>
      </c>
      <c r="C24" s="118" t="str">
        <f>'BD Team'!C29</f>
        <v>M14600</v>
      </c>
      <c r="D24" s="118" t="str">
        <f>'BD Team'!D29</f>
        <v>3 TRACK 2 SHUTTER SLIDING DOOR</v>
      </c>
      <c r="E24" s="118" t="str">
        <f>'BD Team'!F29</f>
        <v>SS</v>
      </c>
      <c r="F24" s="121" t="str">
        <f>'BD Team'!G29</f>
        <v>NA</v>
      </c>
      <c r="G24" s="118">
        <f>'BD Team'!H29</f>
        <v>3658</v>
      </c>
      <c r="H24" s="118">
        <f>'BD Team'!I29</f>
        <v>2440</v>
      </c>
      <c r="I24" s="118">
        <f>'BD Team'!J29</f>
        <v>1</v>
      </c>
      <c r="J24" s="103">
        <f t="shared" si="0"/>
        <v>96.074297279999996</v>
      </c>
      <c r="K24" s="172">
        <f>'BD Team'!K29</f>
        <v>963.69</v>
      </c>
      <c r="L24" s="171">
        <f t="shared" si="1"/>
        <v>963.69</v>
      </c>
      <c r="M24" s="170">
        <f>L24*'Changable Values'!$D$4</f>
        <v>79986.27</v>
      </c>
      <c r="N24" s="170" t="str">
        <f>'BD Team'!E29</f>
        <v>24MM</v>
      </c>
      <c r="O24" s="172">
        <v>2805</v>
      </c>
      <c r="P24" s="241"/>
      <c r="Q24" s="173">
        <f t="shared" ref="Q24:Q27" si="9">50*10.764</f>
        <v>538.19999999999993</v>
      </c>
      <c r="R24" s="185"/>
      <c r="S24" s="312"/>
      <c r="T24" s="313">
        <f t="shared" si="2"/>
        <v>40.653333333333336</v>
      </c>
      <c r="U24" s="313">
        <f t="shared" si="3"/>
        <v>48.783999999999999</v>
      </c>
      <c r="V24" s="313">
        <f t="shared" si="4"/>
        <v>2.5408333333333335</v>
      </c>
      <c r="W24" s="313">
        <f t="shared" si="5"/>
        <v>40.653333333333336</v>
      </c>
      <c r="X24" s="313">
        <f t="shared" si="6"/>
        <v>81.306666666666672</v>
      </c>
      <c r="Y24" s="313">
        <f t="shared" si="7"/>
        <v>24.391999999999999</v>
      </c>
    </row>
    <row r="25" spans="1:25">
      <c r="A25" s="118">
        <f>'BD Team'!A30</f>
        <v>22</v>
      </c>
      <c r="B25" s="118" t="str">
        <f>'BD Team'!B30</f>
        <v>W1B-5TH-Q</v>
      </c>
      <c r="C25" s="118" t="str">
        <f>'BD Team'!C30</f>
        <v>M900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NA</v>
      </c>
      <c r="G25" s="118">
        <f>'BD Team'!H30</f>
        <v>1830</v>
      </c>
      <c r="H25" s="118">
        <f>'BD Team'!I30</f>
        <v>1982</v>
      </c>
      <c r="I25" s="118">
        <f>'BD Team'!J30</f>
        <v>4</v>
      </c>
      <c r="J25" s="103">
        <f t="shared" si="0"/>
        <v>156.16669535999998</v>
      </c>
      <c r="K25" s="172">
        <f>'BD Team'!K30</f>
        <v>161.07</v>
      </c>
      <c r="L25" s="171">
        <f t="shared" si="1"/>
        <v>644.28</v>
      </c>
      <c r="M25" s="170">
        <f>L25*'Changable Values'!$D$4</f>
        <v>53475.24</v>
      </c>
      <c r="N25" s="170" t="str">
        <f>'BD Team'!E30</f>
        <v>20MM</v>
      </c>
      <c r="O25" s="172">
        <v>2538</v>
      </c>
      <c r="P25" s="241"/>
      <c r="Q25" s="173">
        <f t="shared" si="9"/>
        <v>538.19999999999993</v>
      </c>
      <c r="R25" s="185"/>
      <c r="S25" s="312"/>
      <c r="T25" s="313">
        <f t="shared" si="2"/>
        <v>101.65333333333334</v>
      </c>
      <c r="U25" s="313">
        <f t="shared" si="3"/>
        <v>121.98399999999999</v>
      </c>
      <c r="V25" s="313">
        <f t="shared" si="4"/>
        <v>6.3533333333333335</v>
      </c>
      <c r="W25" s="313">
        <f t="shared" si="5"/>
        <v>101.65333333333334</v>
      </c>
      <c r="X25" s="313">
        <f t="shared" si="6"/>
        <v>203.30666666666667</v>
      </c>
      <c r="Y25" s="313">
        <f t="shared" si="7"/>
        <v>60.991999999999997</v>
      </c>
    </row>
    <row r="26" spans="1:25">
      <c r="A26" s="118">
        <f>'BD Team'!A31</f>
        <v>23</v>
      </c>
      <c r="B26" s="118" t="str">
        <f>'BD Team'!B31</f>
        <v>W2A-5TH-Q</v>
      </c>
      <c r="C26" s="118" t="str">
        <f>'BD Team'!C31</f>
        <v>M14600</v>
      </c>
      <c r="D26" s="118" t="str">
        <f>'BD Team'!D31</f>
        <v>3 TRACK 2 SHUTTER SLIDING DOOR</v>
      </c>
      <c r="E26" s="118" t="str">
        <f>'BD Team'!F31</f>
        <v>SS</v>
      </c>
      <c r="F26" s="121" t="str">
        <f>'BD Team'!G31</f>
        <v>NA</v>
      </c>
      <c r="G26" s="118">
        <f>'BD Team'!H31</f>
        <v>2134</v>
      </c>
      <c r="H26" s="118">
        <f>'BD Team'!I31</f>
        <v>2440</v>
      </c>
      <c r="I26" s="118">
        <f>'BD Team'!J31</f>
        <v>2</v>
      </c>
      <c r="J26" s="103">
        <f t="shared" si="0"/>
        <v>112.09543488</v>
      </c>
      <c r="K26" s="172">
        <f>'BD Team'!K31</f>
        <v>462.52</v>
      </c>
      <c r="L26" s="171">
        <f t="shared" si="1"/>
        <v>925.04</v>
      </c>
      <c r="M26" s="170">
        <f>L26*'Changable Values'!$D$4</f>
        <v>76778.319999999992</v>
      </c>
      <c r="N26" s="170" t="str">
        <f>'BD Team'!E31</f>
        <v>24MM</v>
      </c>
      <c r="O26" s="172">
        <v>2805</v>
      </c>
      <c r="P26" s="241"/>
      <c r="Q26" s="173">
        <f t="shared" si="9"/>
        <v>538.19999999999993</v>
      </c>
      <c r="R26" s="185"/>
      <c r="S26" s="312"/>
      <c r="T26" s="313">
        <f t="shared" si="2"/>
        <v>60.986666666666665</v>
      </c>
      <c r="U26" s="313">
        <f t="shared" si="3"/>
        <v>73.183999999999997</v>
      </c>
      <c r="V26" s="313">
        <f t="shared" si="4"/>
        <v>3.8116666666666665</v>
      </c>
      <c r="W26" s="313">
        <f t="shared" si="5"/>
        <v>60.986666666666665</v>
      </c>
      <c r="X26" s="313">
        <f t="shared" si="6"/>
        <v>121.97333333333333</v>
      </c>
      <c r="Y26" s="313">
        <f t="shared" si="7"/>
        <v>36.591999999999999</v>
      </c>
    </row>
    <row r="27" spans="1:25">
      <c r="A27" s="118">
        <f>'BD Team'!A32</f>
        <v>24</v>
      </c>
      <c r="B27" s="118" t="str">
        <f>'BD Team'!B32</f>
        <v>W2B-5TH-Q</v>
      </c>
      <c r="C27" s="118" t="str">
        <f>'BD Team'!C32</f>
        <v>M900</v>
      </c>
      <c r="D27" s="118" t="str">
        <f>'BD Team'!D32</f>
        <v>3 TRACK 2 SHUTTER SLIDING WINDOW</v>
      </c>
      <c r="E27" s="118" t="str">
        <f>'BD Team'!F32</f>
        <v>SS</v>
      </c>
      <c r="F27" s="121" t="str">
        <f>'BD Team'!G32</f>
        <v>NA</v>
      </c>
      <c r="G27" s="118">
        <f>'BD Team'!H32</f>
        <v>1220</v>
      </c>
      <c r="H27" s="118">
        <f>'BD Team'!I32</f>
        <v>1524</v>
      </c>
      <c r="I27" s="118">
        <f>'BD Team'!J32</f>
        <v>1</v>
      </c>
      <c r="J27" s="103">
        <f t="shared" si="0"/>
        <v>20.013289919999998</v>
      </c>
      <c r="K27" s="172">
        <f>'BD Team'!K32</f>
        <v>123.35</v>
      </c>
      <c r="L27" s="171">
        <f t="shared" si="1"/>
        <v>123.35</v>
      </c>
      <c r="M27" s="170">
        <f>L27*'Changable Values'!$D$4</f>
        <v>10238.049999999999</v>
      </c>
      <c r="N27" s="170" t="str">
        <f>'BD Team'!E32</f>
        <v>20MM</v>
      </c>
      <c r="O27" s="172">
        <v>2538</v>
      </c>
      <c r="P27" s="241"/>
      <c r="Q27" s="173">
        <f t="shared" si="9"/>
        <v>538.19999999999993</v>
      </c>
      <c r="R27" s="185"/>
      <c r="S27" s="312"/>
      <c r="T27" s="313">
        <f t="shared" si="2"/>
        <v>18.293333333333333</v>
      </c>
      <c r="U27" s="313">
        <f t="shared" si="3"/>
        <v>21.952000000000002</v>
      </c>
      <c r="V27" s="313">
        <f t="shared" si="4"/>
        <v>1.1433333333333333</v>
      </c>
      <c r="W27" s="313">
        <f t="shared" si="5"/>
        <v>18.293333333333333</v>
      </c>
      <c r="X27" s="313">
        <f t="shared" si="6"/>
        <v>36.586666666666666</v>
      </c>
      <c r="Y27" s="313">
        <f t="shared" si="7"/>
        <v>10.976000000000001</v>
      </c>
    </row>
    <row r="28" spans="1:25">
      <c r="A28" s="118">
        <f>'BD Team'!A33</f>
        <v>25</v>
      </c>
      <c r="B28" s="118" t="str">
        <f>'BD Team'!B33</f>
        <v>VA-5TH-Q</v>
      </c>
      <c r="C28" s="118" t="str">
        <f>'BD Team'!C33</f>
        <v>M940</v>
      </c>
      <c r="D28" s="118" t="str">
        <f>'BD Team'!D33</f>
        <v>FIXED GLASS WITH GLASS LOUVERS &amp; EXHAUST FAN PROVISION</v>
      </c>
      <c r="E28" s="118" t="str">
        <f>'BD Team'!F33</f>
        <v>NO</v>
      </c>
      <c r="F28" s="121" t="str">
        <f>'BD Team'!G33</f>
        <v>NA</v>
      </c>
      <c r="G28" s="118">
        <f>'BD Team'!H33</f>
        <v>762</v>
      </c>
      <c r="H28" s="118">
        <f>'BD Team'!I33</f>
        <v>610</v>
      </c>
      <c r="I28" s="118">
        <f>'BD Team'!J33</f>
        <v>3</v>
      </c>
      <c r="J28" s="103">
        <f t="shared" si="0"/>
        <v>15.009967439999999</v>
      </c>
      <c r="K28" s="172">
        <f>'BD Team'!K33</f>
        <v>60.69</v>
      </c>
      <c r="L28" s="171">
        <f t="shared" si="1"/>
        <v>182.07</v>
      </c>
      <c r="M28" s="170">
        <f>L28*'Changable Values'!$D$4</f>
        <v>15111.81</v>
      </c>
      <c r="N28" s="170" t="str">
        <f>'BD Team'!E33</f>
        <v>6MM (F)</v>
      </c>
      <c r="O28" s="172">
        <v>2003</v>
      </c>
      <c r="P28" s="241"/>
      <c r="Q28" s="173"/>
      <c r="R28" s="185"/>
      <c r="S28" s="312"/>
      <c r="T28" s="313">
        <f t="shared" si="2"/>
        <v>27.44</v>
      </c>
      <c r="U28" s="313">
        <f t="shared" si="3"/>
        <v>32.927999999999997</v>
      </c>
      <c r="V28" s="313">
        <f t="shared" si="4"/>
        <v>1.7150000000000001</v>
      </c>
      <c r="W28" s="313">
        <f t="shared" si="5"/>
        <v>27.44</v>
      </c>
      <c r="X28" s="313">
        <f t="shared" si="6"/>
        <v>54.88</v>
      </c>
      <c r="Y28" s="313">
        <f t="shared" si="7"/>
        <v>16.463999999999999</v>
      </c>
    </row>
    <row r="29" spans="1:25">
      <c r="A29" s="118">
        <f>'BD Team'!A34</f>
        <v>26</v>
      </c>
      <c r="B29" s="118" t="str">
        <f>'BD Team'!B34</f>
        <v>W3B-5TH-Q</v>
      </c>
      <c r="C29" s="118" t="str">
        <f>'BD Team'!C34</f>
        <v>M15000</v>
      </c>
      <c r="D29" s="118" t="str">
        <f>'BD Team'!D34</f>
        <v>SIDE HUNG DOOR</v>
      </c>
      <c r="E29" s="118" t="str">
        <f>'BD Team'!F34</f>
        <v>NO</v>
      </c>
      <c r="F29" s="121" t="str">
        <f>'BD Team'!G34</f>
        <v>NA</v>
      </c>
      <c r="G29" s="118">
        <f>'BD Team'!H34</f>
        <v>916</v>
      </c>
      <c r="H29" s="118">
        <f>'BD Team'!I34</f>
        <v>2744</v>
      </c>
      <c r="I29" s="118">
        <f>'BD Team'!J34</f>
        <v>1</v>
      </c>
      <c r="J29" s="103">
        <f t="shared" si="0"/>
        <v>27.055357055999998</v>
      </c>
      <c r="K29" s="172">
        <f>'BD Team'!K34</f>
        <v>291.97000000000003</v>
      </c>
      <c r="L29" s="171">
        <f t="shared" si="1"/>
        <v>291.97000000000003</v>
      </c>
      <c r="M29" s="170">
        <f>L29*'Changable Values'!$D$4</f>
        <v>24233.510000000002</v>
      </c>
      <c r="N29" s="170" t="str">
        <f>'BD Team'!E34</f>
        <v>24MM</v>
      </c>
      <c r="O29" s="172">
        <v>2805</v>
      </c>
      <c r="P29" s="241"/>
      <c r="Q29" s="173"/>
      <c r="R29" s="185"/>
      <c r="S29" s="312"/>
      <c r="T29" s="313">
        <f t="shared" si="2"/>
        <v>24.4</v>
      </c>
      <c r="U29" s="313">
        <f t="shared" si="3"/>
        <v>29.28</v>
      </c>
      <c r="V29" s="313">
        <f t="shared" si="4"/>
        <v>1.5249999999999999</v>
      </c>
      <c r="W29" s="313">
        <f t="shared" si="5"/>
        <v>24.4</v>
      </c>
      <c r="X29" s="313">
        <f t="shared" si="6"/>
        <v>48.8</v>
      </c>
      <c r="Y29" s="313">
        <f t="shared" si="7"/>
        <v>14.64</v>
      </c>
    </row>
    <row r="30" spans="1:25">
      <c r="A30" s="118">
        <f>'BD Team'!A35</f>
        <v>27</v>
      </c>
      <c r="B30" s="118" t="str">
        <f>'BD Team'!B35</f>
        <v>WA4-5TH-Q</v>
      </c>
      <c r="C30" s="118" t="str">
        <f>'BD Team'!C35</f>
        <v>M14600</v>
      </c>
      <c r="D30" s="118" t="str">
        <f>'BD Team'!D35</f>
        <v>3 TRACK 2 SHUTTER SLIDING DOOR</v>
      </c>
      <c r="E30" s="118" t="str">
        <f>'BD Team'!F35</f>
        <v>SS</v>
      </c>
      <c r="F30" s="121" t="str">
        <f>'BD Team'!G35</f>
        <v>NA</v>
      </c>
      <c r="G30" s="118">
        <f>'BD Team'!H35</f>
        <v>2440</v>
      </c>
      <c r="H30" s="118">
        <f>'BD Team'!I35</f>
        <v>2744</v>
      </c>
      <c r="I30" s="118">
        <f>'BD Team'!J35</f>
        <v>1</v>
      </c>
      <c r="J30" s="103">
        <f t="shared" si="0"/>
        <v>72.068855039999988</v>
      </c>
      <c r="K30" s="172">
        <f>'BD Team'!K35</f>
        <v>513.52</v>
      </c>
      <c r="L30" s="171">
        <f t="shared" si="1"/>
        <v>513.52</v>
      </c>
      <c r="M30" s="170">
        <f>L30*'Changable Values'!$D$4</f>
        <v>42622.159999999996</v>
      </c>
      <c r="N30" s="170" t="str">
        <f>'BD Team'!E35</f>
        <v>24MM</v>
      </c>
      <c r="O30" s="172">
        <v>2805</v>
      </c>
      <c r="P30" s="241"/>
      <c r="Q30" s="173">
        <f>50*10.764</f>
        <v>538.19999999999993</v>
      </c>
      <c r="R30" s="185"/>
      <c r="S30" s="312"/>
      <c r="T30" s="313">
        <f t="shared" si="2"/>
        <v>34.56</v>
      </c>
      <c r="U30" s="313">
        <f t="shared" si="3"/>
        <v>41.472000000000001</v>
      </c>
      <c r="V30" s="313">
        <f t="shared" si="4"/>
        <v>2.16</v>
      </c>
      <c r="W30" s="313">
        <f t="shared" si="5"/>
        <v>34.56</v>
      </c>
      <c r="X30" s="313">
        <f t="shared" si="6"/>
        <v>69.12</v>
      </c>
      <c r="Y30" s="313">
        <f t="shared" si="7"/>
        <v>20.736000000000001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9513.4399999999987</v>
      </c>
      <c r="L104" s="168">
        <f>SUM(L4:L103)</f>
        <v>14443.320000000003</v>
      </c>
      <c r="M104" s="168">
        <f>SUM(M4:M103)</f>
        <v>1198795.56</v>
      </c>
      <c r="T104" s="314">
        <f t="shared" ref="T104:Y104" si="18">SUM(T4:T103)</f>
        <v>1152.5733333333333</v>
      </c>
      <c r="U104" s="314">
        <f t="shared" si="18"/>
        <v>1383.0879999999997</v>
      </c>
      <c r="V104" s="314">
        <f t="shared" si="18"/>
        <v>72.035833333333329</v>
      </c>
      <c r="W104" s="314">
        <f t="shared" si="18"/>
        <v>1152.5733333333333</v>
      </c>
      <c r="X104" s="314">
        <f t="shared" si="18"/>
        <v>2305.1466666666665</v>
      </c>
      <c r="Y104" s="314">
        <f t="shared" si="18"/>
        <v>691.54399999999987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2537.64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O1" zoomScale="75" zoomScaleNormal="75" workbookViewId="0">
      <pane ySplit="6" topLeftCell="A7" activePane="bottomLeft" state="frozen"/>
      <selection pane="bottomLeft" activeCell="AK8" sqref="AK8:AK11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FRENCH DOOR WITH FIXED GLASS</v>
      </c>
      <c r="D8" s="131" t="str">
        <f>Pricing!B4</f>
        <v>MD-4TH-P</v>
      </c>
      <c r="E8" s="132" t="str">
        <f>Pricing!N4</f>
        <v>24MM</v>
      </c>
      <c r="F8" s="68">
        <f>Pricing!G4</f>
        <v>2440</v>
      </c>
      <c r="G8" s="68">
        <f>Pricing!H4</f>
        <v>2440</v>
      </c>
      <c r="H8" s="100">
        <f t="shared" ref="H8:H57" si="0">(F8*G8)/1000000</f>
        <v>5.9535999999999998</v>
      </c>
      <c r="I8" s="70">
        <f>Pricing!I4</f>
        <v>1</v>
      </c>
      <c r="J8" s="69">
        <f t="shared" ref="J8" si="1">H8*I8</f>
        <v>5.9535999999999998</v>
      </c>
      <c r="K8" s="71">
        <f t="shared" ref="K8" si="2">J8*10.764</f>
        <v>64.084550399999998</v>
      </c>
      <c r="L8" s="69"/>
      <c r="M8" s="72"/>
      <c r="N8" s="72"/>
      <c r="O8" s="72">
        <f t="shared" ref="O8:O35" si="3">N8*M8*L8/1000000</f>
        <v>0</v>
      </c>
      <c r="P8" s="73">
        <f>Pricing!M4</f>
        <v>59868.729999999996</v>
      </c>
      <c r="Q8" s="74">
        <f t="shared" ref="Q8:Q56" si="4">P8*$Q$6</f>
        <v>5986.8729999999996</v>
      </c>
      <c r="R8" s="74">
        <f t="shared" ref="R8:R56" si="5">(P8+Q8)*$R$6</f>
        <v>7244.1163300000007</v>
      </c>
      <c r="S8" s="74">
        <f t="shared" ref="S8:S56" si="6">(P8+Q8+R8)*$S$6</f>
        <v>365.49859665000002</v>
      </c>
      <c r="T8" s="74">
        <f t="shared" ref="T8:T56" si="7">(P8+Q8+R8+S8)*$T$6</f>
        <v>734.65217926650007</v>
      </c>
      <c r="U8" s="72">
        <f t="shared" ref="U8:U56" si="8">SUM(P8:T8)</f>
        <v>74199.870105916503</v>
      </c>
      <c r="V8" s="74">
        <f t="shared" ref="V8:V56" si="9">U8*$V$6</f>
        <v>1112.9980515887476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16699.847999999998</v>
      </c>
      <c r="AE8" s="76">
        <f>((((F8+G8)*2)/305)*I8*$AE$7)</f>
        <v>800</v>
      </c>
      <c r="AF8" s="346">
        <f>(((((F8*4)+(G8*4))/1000)*$AF$6*$AG$6)/300)*I8*$AF$7</f>
        <v>819.84</v>
      </c>
      <c r="AG8" s="347"/>
      <c r="AH8" s="76">
        <f>(((F8+G8))*I8/1000)*8*$AH$7</f>
        <v>29.28</v>
      </c>
      <c r="AI8" s="76">
        <f t="shared" ref="AI8:AI57" si="15">(((F8+G8)*2*I8)/1000)*2*$AI$7</f>
        <v>97.6</v>
      </c>
      <c r="AJ8" s="76">
        <f>J8*Pricing!Q4</f>
        <v>0</v>
      </c>
      <c r="AK8" s="76">
        <f>J8*Pricing!R4</f>
        <v>57676.095359999992</v>
      </c>
      <c r="AL8" s="76">
        <f t="shared" ref="AL8:AL39" si="16">J8*$AL$6</f>
        <v>6408.4550399999989</v>
      </c>
      <c r="AM8" s="77">
        <f t="shared" ref="AM8:AM39" si="17">$AM$6*J8</f>
        <v>0</v>
      </c>
      <c r="AN8" s="76">
        <f t="shared" ref="AN8:AN39" si="18">$AN$6*J8</f>
        <v>5126.7640319999991</v>
      </c>
      <c r="AO8" s="72">
        <f t="shared" ref="AO8:AO39" si="19">SUM(U8:V8)+SUM(AC8:AI8)-AD8</f>
        <v>77059.588157505248</v>
      </c>
      <c r="AP8" s="74">
        <f t="shared" ref="AP8:AP39" si="20">AO8*$AP$6</f>
        <v>96324.485196881564</v>
      </c>
      <c r="AQ8" s="74">
        <f t="shared" ref="AQ8:AQ56" si="21">(AO8+AP8)*$AQ$6</f>
        <v>0</v>
      </c>
      <c r="AR8" s="74">
        <f t="shared" ref="AR8:AR39" si="22">SUM(AO8:AQ8)/J8</f>
        <v>29122.560023244227</v>
      </c>
      <c r="AS8" s="72">
        <f t="shared" ref="AS8:AS39" si="23">SUM(AJ8:AQ8)+AD8+AB8</f>
        <v>259295.23578638682</v>
      </c>
      <c r="AT8" s="72">
        <f t="shared" ref="AT8:AT39" si="24">AS8/J8</f>
        <v>43552.680023244226</v>
      </c>
      <c r="AU8" s="78">
        <f t="shared" ref="AU8:AU56" si="25">AT8/10.764</f>
        <v>4046.14270004127</v>
      </c>
      <c r="AV8" s="79">
        <f t="shared" ref="AV8:AV39" si="26">K8/$K$109</f>
        <v>3.8937167069432468E-2</v>
      </c>
      <c r="AW8" s="80">
        <f t="shared" ref="AW8:AW39" si="27">(U8+V8)/(J8*10.764)</f>
        <v>1175.2109937172197</v>
      </c>
      <c r="AX8" s="81">
        <f t="shared" ref="AX8:AX39" si="28">SUM(W8:AN8,AP8)/(J8*10.764)</f>
        <v>2870.9317063240492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FDA-FDB-4TH-P</v>
      </c>
      <c r="E9" s="132" t="str">
        <f>Pricing!N5</f>
        <v>24MM</v>
      </c>
      <c r="F9" s="68">
        <f>Pricing!G5</f>
        <v>2440</v>
      </c>
      <c r="G9" s="68">
        <f>Pricing!H5</f>
        <v>2440</v>
      </c>
      <c r="H9" s="100">
        <f t="shared" si="0"/>
        <v>5.9535999999999998</v>
      </c>
      <c r="I9" s="70">
        <f>Pricing!I5</f>
        <v>1</v>
      </c>
      <c r="J9" s="69">
        <f t="shared" ref="J9:J58" si="30">H9*I9</f>
        <v>5.9535999999999998</v>
      </c>
      <c r="K9" s="71">
        <f t="shared" ref="K9:K58" si="31">J9*10.764</f>
        <v>64.084550399999998</v>
      </c>
      <c r="L9" s="69"/>
      <c r="M9" s="72"/>
      <c r="N9" s="72"/>
      <c r="O9" s="72">
        <f t="shared" si="3"/>
        <v>0</v>
      </c>
      <c r="P9" s="73">
        <f>Pricing!M5</f>
        <v>40001.019999999997</v>
      </c>
      <c r="Q9" s="74">
        <f t="shared" ref="Q9:Q14" si="32">P9*$Q$6</f>
        <v>4000.1019999999999</v>
      </c>
      <c r="R9" s="74">
        <f t="shared" ref="R9:R14" si="33">(P9+Q9)*$R$6</f>
        <v>4840.1234199999999</v>
      </c>
      <c r="S9" s="74">
        <f t="shared" ref="S9:S14" si="34">(P9+Q9+R9)*$S$6</f>
        <v>244.20622709999998</v>
      </c>
      <c r="T9" s="74">
        <f t="shared" ref="T9:T14" si="35">(P9+Q9+R9+S9)*$T$6</f>
        <v>490.85451647099995</v>
      </c>
      <c r="U9" s="72">
        <f t="shared" ref="U9:U14" si="36">SUM(P9:T9)</f>
        <v>49576.306163570996</v>
      </c>
      <c r="V9" s="74">
        <f t="shared" ref="V9:V14" si="37">U9*$V$6</f>
        <v>743.64459245356488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16699.847999999998</v>
      </c>
      <c r="AE9" s="76">
        <f t="shared" ref="AE9:AE57" si="43">((((F9+G9)*2)/305)*I9*$AE$7)</f>
        <v>800</v>
      </c>
      <c r="AF9" s="346">
        <f t="shared" ref="AF9:AF57" si="44">(((((F9*4)+(G9*4))/1000)*$AF$6*$AG$6)/300)*I9*$AF$7</f>
        <v>819.84</v>
      </c>
      <c r="AG9" s="347"/>
      <c r="AH9" s="76">
        <f t="shared" ref="AH9:AH72" si="45">(((F9+G9))*I9/1000)*8*$AH$7</f>
        <v>29.28</v>
      </c>
      <c r="AI9" s="76">
        <f t="shared" si="15"/>
        <v>97.6</v>
      </c>
      <c r="AJ9" s="76">
        <f>J9*Pricing!Q5</f>
        <v>3204.2275199999995</v>
      </c>
      <c r="AK9" s="76">
        <f>J9*Pricing!R5</f>
        <v>0</v>
      </c>
      <c r="AL9" s="76">
        <f t="shared" si="16"/>
        <v>6408.4550399999989</v>
      </c>
      <c r="AM9" s="77">
        <f t="shared" si="17"/>
        <v>0</v>
      </c>
      <c r="AN9" s="76">
        <f t="shared" si="18"/>
        <v>5126.7640319999991</v>
      </c>
      <c r="AO9" s="72">
        <f t="shared" si="19"/>
        <v>52066.670756024556</v>
      </c>
      <c r="AP9" s="74">
        <f t="shared" si="20"/>
        <v>65083.338445030691</v>
      </c>
      <c r="AQ9" s="74">
        <f t="shared" ref="AQ9:AQ14" si="46">(AO9+AP9)*$AQ$6</f>
        <v>0</v>
      </c>
      <c r="AR9" s="74">
        <f t="shared" si="22"/>
        <v>19677.171661021104</v>
      </c>
      <c r="AS9" s="72">
        <f t="shared" si="23"/>
        <v>148589.30379305524</v>
      </c>
      <c r="AT9" s="72">
        <f t="shared" si="24"/>
        <v>24957.891661021105</v>
      </c>
      <c r="AU9" s="78">
        <f t="shared" ref="AU9:AU14" si="47">AT9/10.764</f>
        <v>2318.6447102397906</v>
      </c>
      <c r="AV9" s="79">
        <f t="shared" si="26"/>
        <v>3.8937167069432468E-2</v>
      </c>
      <c r="AW9" s="80">
        <f t="shared" si="27"/>
        <v>785.21188713878473</v>
      </c>
      <c r="AX9" s="81">
        <f t="shared" si="28"/>
        <v>1533.4328231010059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FDB-4TH-P</v>
      </c>
      <c r="E10" s="132" t="str">
        <f>Pricing!N6</f>
        <v>24MM</v>
      </c>
      <c r="F10" s="68">
        <f>Pricing!G6</f>
        <v>1830</v>
      </c>
      <c r="G10" s="68">
        <f>Pricing!H6</f>
        <v>2440</v>
      </c>
      <c r="H10" s="100">
        <f t="shared" si="0"/>
        <v>4.4652000000000003</v>
      </c>
      <c r="I10" s="70">
        <f>Pricing!I6</f>
        <v>1</v>
      </c>
      <c r="J10" s="69">
        <f t="shared" si="30"/>
        <v>4.4652000000000003</v>
      </c>
      <c r="K10" s="71">
        <f t="shared" si="31"/>
        <v>48.063412800000002</v>
      </c>
      <c r="L10" s="69"/>
      <c r="M10" s="72"/>
      <c r="N10" s="72"/>
      <c r="O10" s="72">
        <f t="shared" si="3"/>
        <v>0</v>
      </c>
      <c r="P10" s="73">
        <f>Pricing!M6</f>
        <v>36788.090000000004</v>
      </c>
      <c r="Q10" s="74">
        <f t="shared" si="32"/>
        <v>3678.8090000000007</v>
      </c>
      <c r="R10" s="74">
        <f t="shared" si="33"/>
        <v>4451.3588900000004</v>
      </c>
      <c r="S10" s="74">
        <f t="shared" si="34"/>
        <v>224.59128945000003</v>
      </c>
      <c r="T10" s="74">
        <f t="shared" si="35"/>
        <v>451.42849179450008</v>
      </c>
      <c r="U10" s="72">
        <f t="shared" si="36"/>
        <v>45594.277671244505</v>
      </c>
      <c r="V10" s="74">
        <f t="shared" si="37"/>
        <v>683.91416506866756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12524.886</v>
      </c>
      <c r="AE10" s="76">
        <f t="shared" si="43"/>
        <v>700</v>
      </c>
      <c r="AF10" s="346">
        <f t="shared" si="44"/>
        <v>717.35999999999979</v>
      </c>
      <c r="AG10" s="347"/>
      <c r="AH10" s="76">
        <f t="shared" si="45"/>
        <v>25.619999999999997</v>
      </c>
      <c r="AI10" s="76">
        <f t="shared" si="15"/>
        <v>85.399999999999991</v>
      </c>
      <c r="AJ10" s="76">
        <f>J10*Pricing!Q6</f>
        <v>2403.1706399999998</v>
      </c>
      <c r="AK10" s="76">
        <f>J10*Pricing!R6</f>
        <v>0</v>
      </c>
      <c r="AL10" s="76">
        <f t="shared" si="16"/>
        <v>4806.3412799999996</v>
      </c>
      <c r="AM10" s="77">
        <f t="shared" si="17"/>
        <v>0</v>
      </c>
      <c r="AN10" s="76">
        <f t="shared" si="18"/>
        <v>3845.0730239999998</v>
      </c>
      <c r="AO10" s="72">
        <f t="shared" si="19"/>
        <v>47806.571836313175</v>
      </c>
      <c r="AP10" s="74">
        <f t="shared" si="20"/>
        <v>59758.214795391468</v>
      </c>
      <c r="AQ10" s="74">
        <f t="shared" si="46"/>
        <v>0</v>
      </c>
      <c r="AR10" s="74">
        <f t="shared" si="22"/>
        <v>24089.578659792314</v>
      </c>
      <c r="AS10" s="72">
        <f t="shared" si="23"/>
        <v>131144.25757570466</v>
      </c>
      <c r="AT10" s="72">
        <f t="shared" si="24"/>
        <v>29370.298659792315</v>
      </c>
      <c r="AU10" s="78">
        <f t="shared" si="47"/>
        <v>2728.5673225373762</v>
      </c>
      <c r="AV10" s="79">
        <f t="shared" si="26"/>
        <v>2.9202875302074355E-2</v>
      </c>
      <c r="AW10" s="80">
        <f t="shared" si="27"/>
        <v>962.85696625174251</v>
      </c>
      <c r="AX10" s="81">
        <f t="shared" si="28"/>
        <v>1765.7103562856335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FRENCH DOOR</v>
      </c>
      <c r="D11" s="131" t="str">
        <f>Pricing!B7</f>
        <v>DDA-4TH-P</v>
      </c>
      <c r="E11" s="132" t="str">
        <f>Pricing!N7</f>
        <v>24MM</v>
      </c>
      <c r="F11" s="68">
        <f>Pricing!G7</f>
        <v>1372</v>
      </c>
      <c r="G11" s="68">
        <f>Pricing!H7</f>
        <v>2440</v>
      </c>
      <c r="H11" s="100">
        <f t="shared" si="0"/>
        <v>3.34768</v>
      </c>
      <c r="I11" s="70">
        <f>Pricing!I7</f>
        <v>1</v>
      </c>
      <c r="J11" s="69">
        <f t="shared" si="30"/>
        <v>3.34768</v>
      </c>
      <c r="K11" s="71">
        <f t="shared" si="31"/>
        <v>36.034427519999994</v>
      </c>
      <c r="L11" s="69"/>
      <c r="M11" s="72"/>
      <c r="N11" s="72"/>
      <c r="O11" s="72">
        <f t="shared" si="3"/>
        <v>0</v>
      </c>
      <c r="P11" s="73">
        <f>Pricing!M7</f>
        <v>41250.17</v>
      </c>
      <c r="Q11" s="74">
        <f t="shared" si="32"/>
        <v>4125.0169999999998</v>
      </c>
      <c r="R11" s="74">
        <f t="shared" si="33"/>
        <v>4991.2705699999997</v>
      </c>
      <c r="S11" s="74">
        <f t="shared" si="34"/>
        <v>251.83228785</v>
      </c>
      <c r="T11" s="74">
        <f t="shared" si="35"/>
        <v>506.18289857849999</v>
      </c>
      <c r="U11" s="72">
        <f t="shared" si="36"/>
        <v>51124.472756428499</v>
      </c>
      <c r="V11" s="74">
        <f t="shared" si="37"/>
        <v>766.8670913464274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9390.2423999999992</v>
      </c>
      <c r="AE11" s="76">
        <f t="shared" si="43"/>
        <v>624.91803278688519</v>
      </c>
      <c r="AF11" s="346">
        <f t="shared" si="44"/>
        <v>640.41600000000005</v>
      </c>
      <c r="AG11" s="347"/>
      <c r="AH11" s="76">
        <f t="shared" si="45"/>
        <v>22.872</v>
      </c>
      <c r="AI11" s="76">
        <f t="shared" si="15"/>
        <v>76.239999999999995</v>
      </c>
      <c r="AJ11" s="76">
        <f>J11*Pricing!Q7</f>
        <v>0</v>
      </c>
      <c r="AK11" s="76">
        <f>J11*Pricing!R7</f>
        <v>32430.984767999995</v>
      </c>
      <c r="AL11" s="76">
        <f t="shared" si="16"/>
        <v>3603.4427519999995</v>
      </c>
      <c r="AM11" s="77">
        <f t="shared" si="17"/>
        <v>0</v>
      </c>
      <c r="AN11" s="76">
        <f t="shared" si="18"/>
        <v>2882.7542015999998</v>
      </c>
      <c r="AO11" s="72">
        <f t="shared" si="19"/>
        <v>53255.785880561816</v>
      </c>
      <c r="AP11" s="74">
        <f t="shared" si="20"/>
        <v>66569.732350702267</v>
      </c>
      <c r="AQ11" s="74">
        <f t="shared" si="46"/>
        <v>0</v>
      </c>
      <c r="AR11" s="74">
        <f t="shared" si="22"/>
        <v>35793.599815772141</v>
      </c>
      <c r="AS11" s="72">
        <f t="shared" si="23"/>
        <v>168132.94235286408</v>
      </c>
      <c r="AT11" s="72">
        <f t="shared" si="24"/>
        <v>50223.719815772143</v>
      </c>
      <c r="AU11" s="78">
        <f t="shared" si="47"/>
        <v>4665.8974187822505</v>
      </c>
      <c r="AV11" s="79">
        <f t="shared" si="26"/>
        <v>2.18941775488776E-2</v>
      </c>
      <c r="AW11" s="80">
        <f t="shared" si="27"/>
        <v>1440.0489592619158</v>
      </c>
      <c r="AX11" s="81">
        <f t="shared" si="28"/>
        <v>3225.8484595203349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DOOR</v>
      </c>
      <c r="D12" s="131" t="str">
        <f>Pricing!B8</f>
        <v>DA-LH-4TH-P</v>
      </c>
      <c r="E12" s="132" t="str">
        <f>Pricing!N8</f>
        <v>24MM</v>
      </c>
      <c r="F12" s="68">
        <f>Pricing!G8</f>
        <v>1068</v>
      </c>
      <c r="G12" s="68">
        <f>Pricing!H8</f>
        <v>2440</v>
      </c>
      <c r="H12" s="100">
        <f t="shared" si="0"/>
        <v>2.6059199999999998</v>
      </c>
      <c r="I12" s="70">
        <f>Pricing!I8</f>
        <v>1</v>
      </c>
      <c r="J12" s="69">
        <f t="shared" si="30"/>
        <v>2.6059199999999998</v>
      </c>
      <c r="K12" s="71">
        <f t="shared" si="31"/>
        <v>28.050122879999996</v>
      </c>
      <c r="L12" s="69"/>
      <c r="M12" s="72"/>
      <c r="N12" s="72"/>
      <c r="O12" s="72">
        <f t="shared" si="3"/>
        <v>0</v>
      </c>
      <c r="P12" s="73">
        <f>Pricing!M8</f>
        <v>26304.36</v>
      </c>
      <c r="Q12" s="74">
        <f t="shared" si="32"/>
        <v>2630.4360000000001</v>
      </c>
      <c r="R12" s="74">
        <f t="shared" si="33"/>
        <v>3182.8275600000002</v>
      </c>
      <c r="S12" s="74">
        <f t="shared" si="34"/>
        <v>160.58811780000002</v>
      </c>
      <c r="T12" s="74">
        <f t="shared" si="35"/>
        <v>322.78211677800005</v>
      </c>
      <c r="U12" s="72">
        <f t="shared" si="36"/>
        <v>32600.993794578004</v>
      </c>
      <c r="V12" s="74">
        <f t="shared" si="37"/>
        <v>489.01490691867002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7309.6055999999999</v>
      </c>
      <c r="AE12" s="76">
        <f t="shared" si="43"/>
        <v>575.08196721311481</v>
      </c>
      <c r="AF12" s="346">
        <f t="shared" si="44"/>
        <v>589.34400000000005</v>
      </c>
      <c r="AG12" s="347"/>
      <c r="AH12" s="76">
        <f t="shared" si="45"/>
        <v>21.048000000000002</v>
      </c>
      <c r="AI12" s="76">
        <f t="shared" si="15"/>
        <v>70.16</v>
      </c>
      <c r="AJ12" s="76">
        <f>J12*Pricing!Q8</f>
        <v>0</v>
      </c>
      <c r="AK12" s="76">
        <f>J12*Pricing!R8</f>
        <v>0</v>
      </c>
      <c r="AL12" s="76">
        <f t="shared" si="16"/>
        <v>2805.0122879999994</v>
      </c>
      <c r="AM12" s="77">
        <f t="shared" si="17"/>
        <v>0</v>
      </c>
      <c r="AN12" s="76">
        <f t="shared" si="18"/>
        <v>2244.0098303999994</v>
      </c>
      <c r="AO12" s="72">
        <f t="shared" si="19"/>
        <v>34345.642668709785</v>
      </c>
      <c r="AP12" s="74">
        <f t="shared" si="20"/>
        <v>42932.053335887234</v>
      </c>
      <c r="AQ12" s="74">
        <f t="shared" si="46"/>
        <v>0</v>
      </c>
      <c r="AR12" s="74">
        <f t="shared" si="22"/>
        <v>29654.669369971842</v>
      </c>
      <c r="AS12" s="72">
        <f t="shared" si="23"/>
        <v>89636.323722997011</v>
      </c>
      <c r="AT12" s="72">
        <f t="shared" si="24"/>
        <v>34397.189369971842</v>
      </c>
      <c r="AU12" s="78">
        <f t="shared" si="47"/>
        <v>3195.5768645458793</v>
      </c>
      <c r="AV12" s="79">
        <f t="shared" si="26"/>
        <v>1.7042989520554868E-2</v>
      </c>
      <c r="AW12" s="80">
        <f t="shared" si="27"/>
        <v>1179.6742867422574</v>
      </c>
      <c r="AX12" s="81">
        <f t="shared" si="28"/>
        <v>2015.9025778036219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DOOR</v>
      </c>
      <c r="D13" s="131" t="str">
        <f>Pricing!B9</f>
        <v>D1A-4TH-P</v>
      </c>
      <c r="E13" s="132" t="str">
        <f>Pricing!N9</f>
        <v>24MM</v>
      </c>
      <c r="F13" s="68">
        <f>Pricing!G9</f>
        <v>992</v>
      </c>
      <c r="G13" s="68">
        <f>Pricing!H9</f>
        <v>2440</v>
      </c>
      <c r="H13" s="100">
        <f t="shared" si="0"/>
        <v>2.42048</v>
      </c>
      <c r="I13" s="70">
        <f>Pricing!I9</f>
        <v>2</v>
      </c>
      <c r="J13" s="69">
        <f t="shared" si="30"/>
        <v>4.8409599999999999</v>
      </c>
      <c r="K13" s="71">
        <f t="shared" si="31"/>
        <v>52.108093439999998</v>
      </c>
      <c r="L13" s="69"/>
      <c r="M13" s="72"/>
      <c r="N13" s="72"/>
      <c r="O13" s="72">
        <f t="shared" si="3"/>
        <v>0</v>
      </c>
      <c r="P13" s="73">
        <f>Pricing!M9</f>
        <v>46936.5</v>
      </c>
      <c r="Q13" s="74">
        <f t="shared" si="32"/>
        <v>4693.6500000000005</v>
      </c>
      <c r="R13" s="74">
        <f t="shared" si="33"/>
        <v>5679.3164999999999</v>
      </c>
      <c r="S13" s="74">
        <f t="shared" si="34"/>
        <v>286.54733250000004</v>
      </c>
      <c r="T13" s="74">
        <f t="shared" si="35"/>
        <v>575.960138325</v>
      </c>
      <c r="U13" s="72">
        <f t="shared" si="36"/>
        <v>58171.973970824998</v>
      </c>
      <c r="V13" s="74">
        <f t="shared" si="37"/>
        <v>872.57960956237491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13578.8928</v>
      </c>
      <c r="AE13" s="76">
        <f t="shared" si="43"/>
        <v>1125.2459016393443</v>
      </c>
      <c r="AF13" s="346">
        <f t="shared" si="44"/>
        <v>1153.152</v>
      </c>
      <c r="AG13" s="347"/>
      <c r="AH13" s="76">
        <f t="shared" si="45"/>
        <v>41.183999999999997</v>
      </c>
      <c r="AI13" s="76">
        <f t="shared" si="15"/>
        <v>137.28</v>
      </c>
      <c r="AJ13" s="76">
        <f>J13*Pricing!Q9</f>
        <v>0</v>
      </c>
      <c r="AK13" s="76">
        <f>J13*Pricing!R9</f>
        <v>0</v>
      </c>
      <c r="AL13" s="76">
        <f t="shared" si="16"/>
        <v>5210.8093439999993</v>
      </c>
      <c r="AM13" s="77">
        <f t="shared" si="17"/>
        <v>0</v>
      </c>
      <c r="AN13" s="76">
        <f t="shared" si="18"/>
        <v>4168.6474751999995</v>
      </c>
      <c r="AO13" s="72">
        <f t="shared" si="19"/>
        <v>61501.415482026714</v>
      </c>
      <c r="AP13" s="74">
        <f t="shared" si="20"/>
        <v>76876.769352533389</v>
      </c>
      <c r="AQ13" s="74">
        <f t="shared" si="46"/>
        <v>0</v>
      </c>
      <c r="AR13" s="74">
        <f t="shared" si="22"/>
        <v>28584.864331570618</v>
      </c>
      <c r="AS13" s="72">
        <f t="shared" si="23"/>
        <v>161336.5344537601</v>
      </c>
      <c r="AT13" s="72">
        <f t="shared" si="24"/>
        <v>33327.384331570618</v>
      </c>
      <c r="AU13" s="78">
        <f t="shared" si="47"/>
        <v>3096.1895514279654</v>
      </c>
      <c r="AV13" s="79">
        <f t="shared" si="26"/>
        <v>3.1660385026948366E-2</v>
      </c>
      <c r="AW13" s="80">
        <f t="shared" si="27"/>
        <v>1133.1167517839503</v>
      </c>
      <c r="AX13" s="81">
        <f t="shared" si="28"/>
        <v>1963.072799644015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</v>
      </c>
      <c r="D14" s="131" t="str">
        <f>Pricing!B10</f>
        <v>D1A-LH-4TH-P</v>
      </c>
      <c r="E14" s="132" t="str">
        <f>Pricing!N10</f>
        <v>24MM</v>
      </c>
      <c r="F14" s="68">
        <f>Pricing!G10</f>
        <v>992</v>
      </c>
      <c r="G14" s="68">
        <f>Pricing!H10</f>
        <v>2440</v>
      </c>
      <c r="H14" s="100">
        <f t="shared" si="0"/>
        <v>2.42048</v>
      </c>
      <c r="I14" s="70">
        <f>Pricing!I10</f>
        <v>1</v>
      </c>
      <c r="J14" s="69">
        <f t="shared" si="30"/>
        <v>2.42048</v>
      </c>
      <c r="K14" s="71">
        <f t="shared" si="31"/>
        <v>26.054046719999999</v>
      </c>
      <c r="L14" s="69"/>
      <c r="M14" s="72"/>
      <c r="N14" s="72"/>
      <c r="O14" s="72">
        <f t="shared" si="3"/>
        <v>0</v>
      </c>
      <c r="P14" s="73">
        <f>Pricing!M10</f>
        <v>25988.959999999999</v>
      </c>
      <c r="Q14" s="74">
        <f t="shared" si="32"/>
        <v>2598.8960000000002</v>
      </c>
      <c r="R14" s="74">
        <f t="shared" si="33"/>
        <v>3144.6641599999998</v>
      </c>
      <c r="S14" s="74">
        <f t="shared" si="34"/>
        <v>158.66260080000001</v>
      </c>
      <c r="T14" s="74">
        <f t="shared" si="35"/>
        <v>318.91182760800001</v>
      </c>
      <c r="U14" s="72">
        <f t="shared" si="36"/>
        <v>32210.094588407999</v>
      </c>
      <c r="V14" s="74">
        <f t="shared" si="37"/>
        <v>483.15141882611999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6789.4463999999998</v>
      </c>
      <c r="AE14" s="76">
        <f t="shared" si="43"/>
        <v>562.62295081967216</v>
      </c>
      <c r="AF14" s="346">
        <f t="shared" si="44"/>
        <v>576.57600000000002</v>
      </c>
      <c r="AG14" s="347"/>
      <c r="AH14" s="76">
        <f t="shared" si="45"/>
        <v>20.591999999999999</v>
      </c>
      <c r="AI14" s="76">
        <f t="shared" si="15"/>
        <v>68.64</v>
      </c>
      <c r="AJ14" s="76">
        <f>J14*Pricing!Q10</f>
        <v>0</v>
      </c>
      <c r="AK14" s="76">
        <f>J14*Pricing!R10</f>
        <v>0</v>
      </c>
      <c r="AL14" s="76">
        <f t="shared" si="16"/>
        <v>2605.4046719999997</v>
      </c>
      <c r="AM14" s="77">
        <f t="shared" si="17"/>
        <v>0</v>
      </c>
      <c r="AN14" s="76">
        <f t="shared" si="18"/>
        <v>2084.3237375999997</v>
      </c>
      <c r="AO14" s="72">
        <f t="shared" si="19"/>
        <v>33921.676958053795</v>
      </c>
      <c r="AP14" s="74">
        <f t="shared" si="20"/>
        <v>42402.09619756724</v>
      </c>
      <c r="AQ14" s="74">
        <f t="shared" si="46"/>
        <v>0</v>
      </c>
      <c r="AR14" s="74">
        <f t="shared" si="22"/>
        <v>31532.494858714403</v>
      </c>
      <c r="AS14" s="72">
        <f t="shared" si="23"/>
        <v>87802.947965221028</v>
      </c>
      <c r="AT14" s="72">
        <f t="shared" si="24"/>
        <v>36275.014858714399</v>
      </c>
      <c r="AU14" s="78">
        <f t="shared" si="47"/>
        <v>3370.0311091336307</v>
      </c>
      <c r="AV14" s="79">
        <f t="shared" si="26"/>
        <v>1.5830192513474183E-2</v>
      </c>
      <c r="AW14" s="80">
        <f t="shared" si="27"/>
        <v>1254.8241107642461</v>
      </c>
      <c r="AX14" s="81">
        <f t="shared" si="28"/>
        <v>2115.2069983693846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DOOR</v>
      </c>
      <c r="D15" s="131" t="str">
        <f>Pricing!B11</f>
        <v>D2A-LH-4TH-P</v>
      </c>
      <c r="E15" s="132" t="str">
        <f>Pricing!N11</f>
        <v>24MM</v>
      </c>
      <c r="F15" s="68">
        <f>Pricing!G11</f>
        <v>840</v>
      </c>
      <c r="G15" s="68">
        <f>Pricing!H11</f>
        <v>2440</v>
      </c>
      <c r="H15" s="100">
        <f t="shared" si="0"/>
        <v>2.0495999999999999</v>
      </c>
      <c r="I15" s="70">
        <f>Pricing!I11</f>
        <v>5</v>
      </c>
      <c r="J15" s="69">
        <f t="shared" si="30"/>
        <v>10.247999999999999</v>
      </c>
      <c r="K15" s="71">
        <f t="shared" si="31"/>
        <v>110.30947199999999</v>
      </c>
      <c r="L15" s="69"/>
      <c r="M15" s="72"/>
      <c r="N15" s="72"/>
      <c r="O15" s="72">
        <f t="shared" si="3"/>
        <v>0</v>
      </c>
      <c r="P15" s="73">
        <f>Pricing!M11</f>
        <v>114465.29999999999</v>
      </c>
      <c r="Q15" s="74">
        <f t="shared" si="4"/>
        <v>11446.529999999999</v>
      </c>
      <c r="R15" s="74">
        <f t="shared" si="5"/>
        <v>13850.301299999999</v>
      </c>
      <c r="S15" s="74">
        <f t="shared" si="6"/>
        <v>698.81065649999994</v>
      </c>
      <c r="T15" s="74">
        <f t="shared" si="7"/>
        <v>1404.6094195649998</v>
      </c>
      <c r="U15" s="72">
        <f t="shared" si="8"/>
        <v>141865.55137606498</v>
      </c>
      <c r="V15" s="74">
        <f t="shared" si="9"/>
        <v>2127.9832706409748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28745.64</v>
      </c>
      <c r="AE15" s="76">
        <f t="shared" si="43"/>
        <v>2688.5245901639346</v>
      </c>
      <c r="AF15" s="346">
        <f t="shared" si="44"/>
        <v>2755.2</v>
      </c>
      <c r="AG15" s="347"/>
      <c r="AH15" s="76">
        <f t="shared" si="45"/>
        <v>98.399999999999991</v>
      </c>
      <c r="AI15" s="76">
        <f t="shared" ref="AI15:AI20" si="49">(((F15+G15)*2*I15)/1000)*2*$AI$7</f>
        <v>328</v>
      </c>
      <c r="AJ15" s="76">
        <f>J15*Pricing!Q11</f>
        <v>0</v>
      </c>
      <c r="AK15" s="76">
        <f>J15*Pricing!R11</f>
        <v>0</v>
      </c>
      <c r="AL15" s="76">
        <f t="shared" si="16"/>
        <v>11030.947199999999</v>
      </c>
      <c r="AM15" s="77">
        <f t="shared" si="17"/>
        <v>0</v>
      </c>
      <c r="AN15" s="76">
        <f t="shared" si="18"/>
        <v>8824.7577599999986</v>
      </c>
      <c r="AO15" s="72">
        <f t="shared" si="19"/>
        <v>149863.65923686989</v>
      </c>
      <c r="AP15" s="74">
        <f t="shared" si="20"/>
        <v>187329.57404608736</v>
      </c>
      <c r="AQ15" s="74">
        <f t="shared" si="21"/>
        <v>0</v>
      </c>
      <c r="AR15" s="74">
        <f t="shared" si="22"/>
        <v>32903.320968282322</v>
      </c>
      <c r="AS15" s="72">
        <f t="shared" si="23"/>
        <v>385794.57824295724</v>
      </c>
      <c r="AT15" s="72">
        <f t="shared" si="24"/>
        <v>37645.840968282326</v>
      </c>
      <c r="AU15" s="78">
        <f t="shared" si="25"/>
        <v>3497.3839621221041</v>
      </c>
      <c r="AV15" s="79">
        <f t="shared" si="26"/>
        <v>6.7022992496564085E-2</v>
      </c>
      <c r="AW15" s="80">
        <f t="shared" si="27"/>
        <v>1305.3596580238004</v>
      </c>
      <c r="AX15" s="81">
        <f t="shared" si="28"/>
        <v>2192.0243040983037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DOOR</v>
      </c>
      <c r="D16" s="131" t="str">
        <f>Pricing!B12</f>
        <v>O-LH-4TH-P</v>
      </c>
      <c r="E16" s="132" t="str">
        <f>Pricing!N12</f>
        <v>24MM</v>
      </c>
      <c r="F16" s="68">
        <f>Pricing!G12</f>
        <v>840</v>
      </c>
      <c r="G16" s="68">
        <f>Pricing!H12</f>
        <v>2440</v>
      </c>
      <c r="H16" s="100">
        <f t="shared" si="0"/>
        <v>2.0495999999999999</v>
      </c>
      <c r="I16" s="70">
        <f>Pricing!I12</f>
        <v>1</v>
      </c>
      <c r="J16" s="69">
        <f t="shared" si="30"/>
        <v>2.0495999999999999</v>
      </c>
      <c r="K16" s="71">
        <f t="shared" si="31"/>
        <v>22.061894399999996</v>
      </c>
      <c r="L16" s="69"/>
      <c r="M16" s="72"/>
      <c r="N16" s="72"/>
      <c r="O16" s="72">
        <f t="shared" si="3"/>
        <v>0</v>
      </c>
      <c r="P16" s="73">
        <f>Pricing!M12</f>
        <v>22893.059999999998</v>
      </c>
      <c r="Q16" s="74">
        <f t="shared" si="4"/>
        <v>2289.306</v>
      </c>
      <c r="R16" s="74">
        <f t="shared" si="5"/>
        <v>2770.0602599999997</v>
      </c>
      <c r="S16" s="74">
        <f t="shared" si="6"/>
        <v>139.76213129999999</v>
      </c>
      <c r="T16" s="74">
        <f t="shared" si="7"/>
        <v>280.92188391299999</v>
      </c>
      <c r="U16" s="72">
        <f t="shared" si="8"/>
        <v>28373.110275212999</v>
      </c>
      <c r="V16" s="74">
        <f t="shared" si="9"/>
        <v>425.59665412819498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5749.1279999999997</v>
      </c>
      <c r="AE16" s="76">
        <f t="shared" si="43"/>
        <v>537.70491803278685</v>
      </c>
      <c r="AF16" s="346">
        <f t="shared" si="44"/>
        <v>551.04</v>
      </c>
      <c r="AG16" s="347"/>
      <c r="AH16" s="76">
        <f t="shared" si="45"/>
        <v>19.68</v>
      </c>
      <c r="AI16" s="76">
        <f t="shared" si="49"/>
        <v>65.599999999999994</v>
      </c>
      <c r="AJ16" s="76">
        <f>J16*Pricing!Q12</f>
        <v>0</v>
      </c>
      <c r="AK16" s="76">
        <f>J16*Pricing!R12</f>
        <v>0</v>
      </c>
      <c r="AL16" s="76">
        <f t="shared" si="16"/>
        <v>2206.1894399999996</v>
      </c>
      <c r="AM16" s="77">
        <f t="shared" si="17"/>
        <v>0</v>
      </c>
      <c r="AN16" s="76">
        <f t="shared" si="18"/>
        <v>1764.9515519999998</v>
      </c>
      <c r="AO16" s="72">
        <f t="shared" si="19"/>
        <v>29972.731847373983</v>
      </c>
      <c r="AP16" s="74">
        <f t="shared" si="20"/>
        <v>37465.91480921748</v>
      </c>
      <c r="AQ16" s="74">
        <f t="shared" si="21"/>
        <v>0</v>
      </c>
      <c r="AR16" s="74">
        <f t="shared" si="22"/>
        <v>32903.320968282329</v>
      </c>
      <c r="AS16" s="72">
        <f t="shared" si="23"/>
        <v>77158.915648591457</v>
      </c>
      <c r="AT16" s="72">
        <f t="shared" si="24"/>
        <v>37645.840968282326</v>
      </c>
      <c r="AU16" s="78">
        <f t="shared" si="25"/>
        <v>3497.3839621221041</v>
      </c>
      <c r="AV16" s="79">
        <f t="shared" si="26"/>
        <v>1.3404598499312815E-2</v>
      </c>
      <c r="AW16" s="80">
        <f t="shared" si="27"/>
        <v>1305.3596580238004</v>
      </c>
      <c r="AX16" s="81">
        <f t="shared" si="28"/>
        <v>2192.0243040983041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4 SHUTTER SLIDING DOOR</v>
      </c>
      <c r="D17" s="131" t="str">
        <f>Pricing!B13</f>
        <v>WA1-4TH-P</v>
      </c>
      <c r="E17" s="132" t="str">
        <f>Pricing!N13</f>
        <v>24MM</v>
      </c>
      <c r="F17" s="68">
        <f>Pricing!G13</f>
        <v>3658</v>
      </c>
      <c r="G17" s="68">
        <f>Pricing!H13</f>
        <v>2440</v>
      </c>
      <c r="H17" s="100">
        <f t="shared" si="0"/>
        <v>8.9255200000000006</v>
      </c>
      <c r="I17" s="70">
        <f>Pricing!I13</f>
        <v>1</v>
      </c>
      <c r="J17" s="69">
        <f t="shared" si="30"/>
        <v>8.9255200000000006</v>
      </c>
      <c r="K17" s="71">
        <f t="shared" si="31"/>
        <v>96.074297279999996</v>
      </c>
      <c r="L17" s="69"/>
      <c r="M17" s="72"/>
      <c r="N17" s="72"/>
      <c r="O17" s="72">
        <f t="shared" si="3"/>
        <v>0</v>
      </c>
      <c r="P17" s="73">
        <f>Pricing!M13</f>
        <v>79986.27</v>
      </c>
      <c r="Q17" s="74">
        <f t="shared" si="4"/>
        <v>7998.6270000000004</v>
      </c>
      <c r="R17" s="74">
        <f t="shared" si="5"/>
        <v>9678.3386699999992</v>
      </c>
      <c r="S17" s="74">
        <f t="shared" si="6"/>
        <v>488.31617834999997</v>
      </c>
      <c r="T17" s="74">
        <f t="shared" si="7"/>
        <v>981.51551848349993</v>
      </c>
      <c r="U17" s="72">
        <f t="shared" si="8"/>
        <v>99133.067366833493</v>
      </c>
      <c r="V17" s="74">
        <f t="shared" si="9"/>
        <v>1486.9960105025023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25036.083600000002</v>
      </c>
      <c r="AE17" s="76">
        <f t="shared" si="43"/>
        <v>999.67213114754099</v>
      </c>
      <c r="AF17" s="346">
        <f t="shared" si="44"/>
        <v>1024.4640000000002</v>
      </c>
      <c r="AG17" s="347"/>
      <c r="AH17" s="76">
        <f t="shared" si="45"/>
        <v>36.588000000000001</v>
      </c>
      <c r="AI17" s="76">
        <f t="shared" si="49"/>
        <v>121.96</v>
      </c>
      <c r="AJ17" s="76">
        <f>J17*Pricing!Q13</f>
        <v>4803.7148639999996</v>
      </c>
      <c r="AK17" s="76">
        <f>J17*Pricing!R13</f>
        <v>0</v>
      </c>
      <c r="AL17" s="76">
        <f t="shared" si="16"/>
        <v>9607.4297279999992</v>
      </c>
      <c r="AM17" s="77">
        <f t="shared" si="17"/>
        <v>0</v>
      </c>
      <c r="AN17" s="76">
        <f t="shared" si="18"/>
        <v>7685.9437823999997</v>
      </c>
      <c r="AO17" s="72">
        <f t="shared" si="19"/>
        <v>102802.74750848355</v>
      </c>
      <c r="AP17" s="74">
        <f t="shared" si="20"/>
        <v>128503.43438560443</v>
      </c>
      <c r="AQ17" s="74">
        <f t="shared" si="21"/>
        <v>0</v>
      </c>
      <c r="AR17" s="74">
        <f t="shared" si="22"/>
        <v>25915.149133505722</v>
      </c>
      <c r="AS17" s="72">
        <f t="shared" si="23"/>
        <v>278439.35386848799</v>
      </c>
      <c r="AT17" s="72">
        <f t="shared" si="24"/>
        <v>31195.869133505719</v>
      </c>
      <c r="AU17" s="78">
        <f t="shared" si="25"/>
        <v>2898.1669577764515</v>
      </c>
      <c r="AV17" s="79">
        <f t="shared" si="26"/>
        <v>5.8373834893436054E-2</v>
      </c>
      <c r="AW17" s="80">
        <f t="shared" si="27"/>
        <v>1047.3151115962658</v>
      </c>
      <c r="AX17" s="81">
        <f t="shared" si="28"/>
        <v>1850.8518461801855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WA2-4TH-P</v>
      </c>
      <c r="E18" s="132" t="str">
        <f>Pricing!N14</f>
        <v>20MM</v>
      </c>
      <c r="F18" s="68">
        <f>Pricing!G14</f>
        <v>2240</v>
      </c>
      <c r="G18" s="68">
        <f>Pricing!H14</f>
        <v>1830</v>
      </c>
      <c r="H18" s="100">
        <f t="shared" si="0"/>
        <v>4.0991999999999997</v>
      </c>
      <c r="I18" s="70">
        <f>Pricing!I14</f>
        <v>1</v>
      </c>
      <c r="J18" s="69">
        <f t="shared" si="30"/>
        <v>4.0991999999999997</v>
      </c>
      <c r="K18" s="71">
        <f t="shared" si="31"/>
        <v>44.123788799999993</v>
      </c>
      <c r="L18" s="69"/>
      <c r="M18" s="72"/>
      <c r="N18" s="72"/>
      <c r="O18" s="72">
        <f t="shared" si="3"/>
        <v>0</v>
      </c>
      <c r="P18" s="73">
        <f>Pricing!M14</f>
        <v>13690.02</v>
      </c>
      <c r="Q18" s="74">
        <f t="shared" si="4"/>
        <v>1369.0020000000002</v>
      </c>
      <c r="R18" s="74">
        <f t="shared" si="5"/>
        <v>1656.49242</v>
      </c>
      <c r="S18" s="74">
        <f t="shared" si="6"/>
        <v>83.577572099999998</v>
      </c>
      <c r="T18" s="74">
        <f t="shared" si="7"/>
        <v>167.990919921</v>
      </c>
      <c r="U18" s="72">
        <f t="shared" si="8"/>
        <v>16967.082912021</v>
      </c>
      <c r="V18" s="74">
        <f t="shared" si="9"/>
        <v>254.50624368031498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10403.7696</v>
      </c>
      <c r="AE18" s="76">
        <f t="shared" si="43"/>
        <v>667.21311475409834</v>
      </c>
      <c r="AF18" s="346">
        <f t="shared" si="44"/>
        <v>683.7600000000001</v>
      </c>
      <c r="AG18" s="347"/>
      <c r="AH18" s="76">
        <f t="shared" si="45"/>
        <v>24.42</v>
      </c>
      <c r="AI18" s="76">
        <f t="shared" si="49"/>
        <v>81.400000000000006</v>
      </c>
      <c r="AJ18" s="76">
        <f>J18*Pricing!Q14</f>
        <v>2206.1894399999996</v>
      </c>
      <c r="AK18" s="76">
        <f>J18*Pricing!R14</f>
        <v>0</v>
      </c>
      <c r="AL18" s="76">
        <f t="shared" si="16"/>
        <v>4412.3788799999993</v>
      </c>
      <c r="AM18" s="77">
        <f t="shared" si="17"/>
        <v>0</v>
      </c>
      <c r="AN18" s="76">
        <f t="shared" si="18"/>
        <v>3529.9031039999995</v>
      </c>
      <c r="AO18" s="72">
        <f t="shared" si="19"/>
        <v>18678.382270455415</v>
      </c>
      <c r="AP18" s="74">
        <f t="shared" si="20"/>
        <v>23347.97783806927</v>
      </c>
      <c r="AQ18" s="74">
        <f t="shared" si="21"/>
        <v>0</v>
      </c>
      <c r="AR18" s="74">
        <f t="shared" si="22"/>
        <v>10252.332188847748</v>
      </c>
      <c r="AS18" s="72">
        <f t="shared" si="23"/>
        <v>62578.60113252468</v>
      </c>
      <c r="AT18" s="72">
        <f t="shared" si="24"/>
        <v>15266.052188847747</v>
      </c>
      <c r="AU18" s="78">
        <f t="shared" si="25"/>
        <v>1418.2508536647852</v>
      </c>
      <c r="AV18" s="79">
        <f t="shared" si="26"/>
        <v>2.6809196998625631E-2</v>
      </c>
      <c r="AW18" s="80">
        <f t="shared" si="27"/>
        <v>390.30168587202826</v>
      </c>
      <c r="AX18" s="81">
        <f t="shared" si="28"/>
        <v>1027.9491677927572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W1B-4TH-P</v>
      </c>
      <c r="E19" s="132" t="str">
        <f>Pricing!N15</f>
        <v>20MM</v>
      </c>
      <c r="F19" s="68">
        <f>Pricing!G15</f>
        <v>1830</v>
      </c>
      <c r="G19" s="68">
        <f>Pricing!H15</f>
        <v>1982</v>
      </c>
      <c r="H19" s="100">
        <f t="shared" si="0"/>
        <v>3.6270600000000002</v>
      </c>
      <c r="I19" s="70">
        <f>Pricing!I15</f>
        <v>3</v>
      </c>
      <c r="J19" s="69">
        <f t="shared" si="30"/>
        <v>10.881180000000001</v>
      </c>
      <c r="K19" s="71">
        <f t="shared" si="31"/>
        <v>117.12502152</v>
      </c>
      <c r="L19" s="69"/>
      <c r="M19" s="72"/>
      <c r="N19" s="72"/>
      <c r="O19" s="72">
        <f t="shared" si="3"/>
        <v>0</v>
      </c>
      <c r="P19" s="73">
        <f>Pricing!M15</f>
        <v>40106.43</v>
      </c>
      <c r="Q19" s="74">
        <f t="shared" si="4"/>
        <v>4010.643</v>
      </c>
      <c r="R19" s="74">
        <f t="shared" si="5"/>
        <v>4852.8780300000008</v>
      </c>
      <c r="S19" s="74">
        <f t="shared" si="6"/>
        <v>244.84975515000002</v>
      </c>
      <c r="T19" s="74">
        <f t="shared" si="7"/>
        <v>492.14800785150004</v>
      </c>
      <c r="U19" s="72">
        <f t="shared" si="8"/>
        <v>49706.948793001502</v>
      </c>
      <c r="V19" s="74">
        <f t="shared" si="9"/>
        <v>745.60423189502251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27616.434840000002</v>
      </c>
      <c r="AE19" s="76">
        <f t="shared" si="43"/>
        <v>1874.7540983606555</v>
      </c>
      <c r="AF19" s="346">
        <f t="shared" si="44"/>
        <v>1921.248</v>
      </c>
      <c r="AG19" s="347"/>
      <c r="AH19" s="76">
        <f t="shared" si="45"/>
        <v>68.616</v>
      </c>
      <c r="AI19" s="76">
        <f t="shared" si="49"/>
        <v>228.72</v>
      </c>
      <c r="AJ19" s="76">
        <f>J19*Pricing!Q15</f>
        <v>5856.2510759999996</v>
      </c>
      <c r="AK19" s="76">
        <f>J19*Pricing!R15</f>
        <v>0</v>
      </c>
      <c r="AL19" s="76">
        <f t="shared" si="16"/>
        <v>11712.502151999999</v>
      </c>
      <c r="AM19" s="77">
        <f t="shared" si="17"/>
        <v>0</v>
      </c>
      <c r="AN19" s="76">
        <f t="shared" si="18"/>
        <v>9370.0017215999997</v>
      </c>
      <c r="AO19" s="72">
        <f t="shared" si="19"/>
        <v>54545.891123257185</v>
      </c>
      <c r="AP19" s="74">
        <f t="shared" si="20"/>
        <v>68182.363904071477</v>
      </c>
      <c r="AQ19" s="74">
        <f t="shared" si="21"/>
        <v>0</v>
      </c>
      <c r="AR19" s="74">
        <f t="shared" si="22"/>
        <v>11278.947230661441</v>
      </c>
      <c r="AS19" s="72">
        <f t="shared" si="23"/>
        <v>177283.44481692865</v>
      </c>
      <c r="AT19" s="72">
        <f t="shared" si="24"/>
        <v>16292.66723066144</v>
      </c>
      <c r="AU19" s="78">
        <f t="shared" si="25"/>
        <v>1513.6257181959718</v>
      </c>
      <c r="AV19" s="79">
        <f t="shared" si="26"/>
        <v>7.1164055961530373E-2</v>
      </c>
      <c r="AW19" s="80">
        <f t="shared" si="27"/>
        <v>430.75811103506487</v>
      </c>
      <c r="AX19" s="81">
        <f t="shared" si="28"/>
        <v>1082.867607160907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W2A-4TH-P</v>
      </c>
      <c r="E20" s="132" t="str">
        <f>Pricing!N16</f>
        <v>24MM</v>
      </c>
      <c r="F20" s="68">
        <f>Pricing!G16</f>
        <v>2134</v>
      </c>
      <c r="G20" s="68">
        <f>Pricing!H16</f>
        <v>2440</v>
      </c>
      <c r="H20" s="100">
        <f t="shared" si="0"/>
        <v>5.2069599999999996</v>
      </c>
      <c r="I20" s="70">
        <f>Pricing!I16</f>
        <v>2</v>
      </c>
      <c r="J20" s="69">
        <f t="shared" si="30"/>
        <v>10.413919999999999</v>
      </c>
      <c r="K20" s="71">
        <f t="shared" si="31"/>
        <v>112.09543487999998</v>
      </c>
      <c r="L20" s="69"/>
      <c r="M20" s="72"/>
      <c r="N20" s="72"/>
      <c r="O20" s="72">
        <f t="shared" si="3"/>
        <v>0</v>
      </c>
      <c r="P20" s="73">
        <f>Pricing!M16</f>
        <v>76778.319999999992</v>
      </c>
      <c r="Q20" s="74">
        <f t="shared" si="4"/>
        <v>7677.8319999999994</v>
      </c>
      <c r="R20" s="74">
        <f t="shared" si="5"/>
        <v>9290.1767199999995</v>
      </c>
      <c r="S20" s="74">
        <f t="shared" si="6"/>
        <v>468.73164359999998</v>
      </c>
      <c r="T20" s="74">
        <f t="shared" si="7"/>
        <v>942.15060363599991</v>
      </c>
      <c r="U20" s="72">
        <f t="shared" si="8"/>
        <v>95157.21096723598</v>
      </c>
      <c r="V20" s="74">
        <f t="shared" si="9"/>
        <v>1427.3581645085396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29211.045599999998</v>
      </c>
      <c r="AE20" s="76">
        <f t="shared" si="43"/>
        <v>1499.672131147541</v>
      </c>
      <c r="AF20" s="346">
        <f t="shared" si="44"/>
        <v>1536.8639999999998</v>
      </c>
      <c r="AG20" s="347"/>
      <c r="AH20" s="76">
        <f t="shared" si="45"/>
        <v>54.887999999999998</v>
      </c>
      <c r="AI20" s="76">
        <f t="shared" si="49"/>
        <v>182.95999999999998</v>
      </c>
      <c r="AJ20" s="76">
        <f>J20*Pricing!Q16</f>
        <v>5604.7717439999988</v>
      </c>
      <c r="AK20" s="76">
        <f>J20*Pricing!R16</f>
        <v>0</v>
      </c>
      <c r="AL20" s="76">
        <f t="shared" si="16"/>
        <v>11209.543487999998</v>
      </c>
      <c r="AM20" s="77">
        <f t="shared" si="17"/>
        <v>0</v>
      </c>
      <c r="AN20" s="76">
        <f t="shared" si="18"/>
        <v>8967.6347903999977</v>
      </c>
      <c r="AO20" s="72">
        <f t="shared" si="19"/>
        <v>99858.953262892057</v>
      </c>
      <c r="AP20" s="74">
        <f t="shared" si="20"/>
        <v>124823.69157861508</v>
      </c>
      <c r="AQ20" s="74">
        <f t="shared" si="21"/>
        <v>0</v>
      </c>
      <c r="AR20" s="74">
        <f t="shared" si="22"/>
        <v>21575.222859548292</v>
      </c>
      <c r="AS20" s="72">
        <f t="shared" si="23"/>
        <v>279675.64046390716</v>
      </c>
      <c r="AT20" s="72">
        <f t="shared" si="24"/>
        <v>26855.942859548293</v>
      </c>
      <c r="AU20" s="78">
        <f t="shared" si="25"/>
        <v>2494.9779691144831</v>
      </c>
      <c r="AV20" s="79">
        <f t="shared" si="26"/>
        <v>6.810812666079416E-2</v>
      </c>
      <c r="AW20" s="80">
        <f t="shared" si="27"/>
        <v>861.62803360493581</v>
      </c>
      <c r="AX20" s="81">
        <f t="shared" si="28"/>
        <v>1633.3499355095469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W3A-4TH-P</v>
      </c>
      <c r="E21" s="132" t="str">
        <f>Pricing!N17</f>
        <v>20MM</v>
      </c>
      <c r="F21" s="68">
        <f>Pricing!G17</f>
        <v>1220</v>
      </c>
      <c r="G21" s="68">
        <f>Pricing!H17</f>
        <v>1220</v>
      </c>
      <c r="H21" s="100">
        <f t="shared" si="0"/>
        <v>1.4883999999999999</v>
      </c>
      <c r="I21" s="70">
        <f>Pricing!I17</f>
        <v>2</v>
      </c>
      <c r="J21" s="69">
        <f t="shared" si="30"/>
        <v>2.9767999999999999</v>
      </c>
      <c r="K21" s="71">
        <f t="shared" si="31"/>
        <v>32.042275199999999</v>
      </c>
      <c r="L21" s="69"/>
      <c r="M21" s="72"/>
      <c r="N21" s="72"/>
      <c r="O21" s="72">
        <f t="shared" si="3"/>
        <v>0</v>
      </c>
      <c r="P21" s="73">
        <f>Pricing!M17</f>
        <v>18279.920000000002</v>
      </c>
      <c r="Q21" s="74">
        <f t="shared" ref="Q21:Q26" si="50">P21*$Q$6</f>
        <v>1827.9920000000002</v>
      </c>
      <c r="R21" s="74">
        <f t="shared" ref="R21:R26" si="51">(P21+Q21)*$R$6</f>
        <v>2211.8703200000004</v>
      </c>
      <c r="S21" s="74">
        <f t="shared" ref="S21:S26" si="52">(P21+Q21+R21)*$S$6</f>
        <v>111.59891160000004</v>
      </c>
      <c r="T21" s="74">
        <f t="shared" ref="T21:T26" si="53">(P21+Q21+R21+S21)*$T$6</f>
        <v>224.31381231600005</v>
      </c>
      <c r="U21" s="72">
        <f t="shared" ref="U21:U26" si="54">SUM(P21:T21)</f>
        <v>22655.695043916003</v>
      </c>
      <c r="V21" s="74">
        <f t="shared" ref="V21:V26" si="55">U21*$V$6</f>
        <v>339.83542565874001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7555.1183999999994</v>
      </c>
      <c r="AE21" s="76">
        <f t="shared" si="43"/>
        <v>800</v>
      </c>
      <c r="AF21" s="346">
        <f t="shared" si="44"/>
        <v>819.84</v>
      </c>
      <c r="AG21" s="347"/>
      <c r="AH21" s="76">
        <f t="shared" si="45"/>
        <v>29.28</v>
      </c>
      <c r="AI21" s="76">
        <f t="shared" si="15"/>
        <v>97.6</v>
      </c>
      <c r="AJ21" s="76">
        <f>J21*Pricing!Q17</f>
        <v>1602.1137599999997</v>
      </c>
      <c r="AK21" s="76">
        <f>J21*Pricing!R17</f>
        <v>0</v>
      </c>
      <c r="AL21" s="76">
        <f t="shared" si="16"/>
        <v>3204.2275199999995</v>
      </c>
      <c r="AM21" s="77">
        <f t="shared" si="17"/>
        <v>0</v>
      </c>
      <c r="AN21" s="76">
        <f t="shared" si="18"/>
        <v>2563.3820159999996</v>
      </c>
      <c r="AO21" s="72">
        <f t="shared" si="19"/>
        <v>24742.250469574745</v>
      </c>
      <c r="AP21" s="74">
        <f t="shared" si="20"/>
        <v>30927.813086968432</v>
      </c>
      <c r="AQ21" s="74">
        <f t="shared" ref="AQ21:AQ26" si="61">(AO21+AP21)*$AQ$6</f>
        <v>0</v>
      </c>
      <c r="AR21" s="74">
        <f t="shared" si="22"/>
        <v>18701.311326438852</v>
      </c>
      <c r="AS21" s="72">
        <f t="shared" si="23"/>
        <v>70594.905252543176</v>
      </c>
      <c r="AT21" s="72">
        <f t="shared" si="24"/>
        <v>23715.031326438853</v>
      </c>
      <c r="AU21" s="78">
        <f t="shared" ref="AU21:AU26" si="62">AT21/10.764</f>
        <v>2203.1801678222646</v>
      </c>
      <c r="AV21" s="79">
        <f t="shared" si="26"/>
        <v>1.9468583534716234E-2</v>
      </c>
      <c r="AW21" s="80">
        <f t="shared" si="27"/>
        <v>717.66222361059886</v>
      </c>
      <c r="AX21" s="81">
        <f t="shared" si="28"/>
        <v>1485.5179442116655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WITH GLASS LOUVERS &amp; EXHAUST FAN PROVISION</v>
      </c>
      <c r="D22" s="131" t="str">
        <f>Pricing!B18</f>
        <v>VENT-VA-4TH-P</v>
      </c>
      <c r="E22" s="132" t="str">
        <f>Pricing!N18</f>
        <v>6MM (F)</v>
      </c>
      <c r="F22" s="68">
        <f>Pricing!G18</f>
        <v>762</v>
      </c>
      <c r="G22" s="68">
        <f>Pricing!H18</f>
        <v>610</v>
      </c>
      <c r="H22" s="100">
        <f t="shared" si="0"/>
        <v>0.46482000000000001</v>
      </c>
      <c r="I22" s="70">
        <f>Pricing!I18</f>
        <v>4</v>
      </c>
      <c r="J22" s="69">
        <f t="shared" si="30"/>
        <v>1.85928</v>
      </c>
      <c r="K22" s="71">
        <f t="shared" si="31"/>
        <v>20.013289919999998</v>
      </c>
      <c r="L22" s="69"/>
      <c r="M22" s="72"/>
      <c r="N22" s="72"/>
      <c r="O22" s="72">
        <f t="shared" si="3"/>
        <v>0</v>
      </c>
      <c r="P22" s="73">
        <f>Pricing!M18</f>
        <v>20149.079999999998</v>
      </c>
      <c r="Q22" s="74">
        <f t="shared" si="50"/>
        <v>2014.9079999999999</v>
      </c>
      <c r="R22" s="74">
        <f t="shared" si="51"/>
        <v>2438.0386799999997</v>
      </c>
      <c r="S22" s="74">
        <f t="shared" si="52"/>
        <v>123.01013339999997</v>
      </c>
      <c r="T22" s="74">
        <f t="shared" si="53"/>
        <v>247.25036813399996</v>
      </c>
      <c r="U22" s="72">
        <f t="shared" si="54"/>
        <v>24972.287181533993</v>
      </c>
      <c r="V22" s="74">
        <f t="shared" si="55"/>
        <v>374.58430772300989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3724.1378399999999</v>
      </c>
      <c r="AE22" s="76">
        <f t="shared" si="43"/>
        <v>899.67213114754099</v>
      </c>
      <c r="AF22" s="346">
        <f t="shared" si="44"/>
        <v>921.98400000000015</v>
      </c>
      <c r="AG22" s="347"/>
      <c r="AH22" s="76">
        <f t="shared" si="45"/>
        <v>32.928000000000004</v>
      </c>
      <c r="AI22" s="76">
        <f t="shared" si="15"/>
        <v>109.76</v>
      </c>
      <c r="AJ22" s="76">
        <f>J22*Pricing!Q18</f>
        <v>0</v>
      </c>
      <c r="AK22" s="76">
        <f>J22*Pricing!R18</f>
        <v>0</v>
      </c>
      <c r="AL22" s="76">
        <f t="shared" si="16"/>
        <v>2001.3289919999997</v>
      </c>
      <c r="AM22" s="77">
        <f t="shared" si="17"/>
        <v>0</v>
      </c>
      <c r="AN22" s="76">
        <f t="shared" si="18"/>
        <v>1601.0631935999997</v>
      </c>
      <c r="AO22" s="72">
        <f t="shared" si="19"/>
        <v>27311.215620404542</v>
      </c>
      <c r="AP22" s="74">
        <f t="shared" si="20"/>
        <v>34139.019525505675</v>
      </c>
      <c r="AQ22" s="74">
        <f t="shared" si="61"/>
        <v>0</v>
      </c>
      <c r="AR22" s="74">
        <f t="shared" si="22"/>
        <v>33050.554594203248</v>
      </c>
      <c r="AS22" s="72">
        <f t="shared" si="23"/>
        <v>68776.765171510211</v>
      </c>
      <c r="AT22" s="72">
        <f t="shared" si="24"/>
        <v>36991.074594203244</v>
      </c>
      <c r="AU22" s="78">
        <f t="shared" si="62"/>
        <v>3436.5546817357158</v>
      </c>
      <c r="AV22" s="79">
        <f t="shared" si="26"/>
        <v>1.2159885781519483E-2</v>
      </c>
      <c r="AW22" s="80">
        <f t="shared" si="27"/>
        <v>1266.5019889571961</v>
      </c>
      <c r="AX22" s="81">
        <f t="shared" si="28"/>
        <v>2170.0526927785204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W4-PUJA-4TH-P</v>
      </c>
      <c r="E23" s="132" t="str">
        <f>Pricing!N19</f>
        <v>24MM</v>
      </c>
      <c r="F23" s="68">
        <f>Pricing!G19</f>
        <v>762</v>
      </c>
      <c r="G23" s="68">
        <f>Pricing!H19</f>
        <v>1524</v>
      </c>
      <c r="H23" s="100">
        <f t="shared" si="0"/>
        <v>1.1612880000000001</v>
      </c>
      <c r="I23" s="70">
        <f>Pricing!I19</f>
        <v>1</v>
      </c>
      <c r="J23" s="69">
        <f t="shared" si="30"/>
        <v>1.1612880000000001</v>
      </c>
      <c r="K23" s="71">
        <f t="shared" si="31"/>
        <v>12.500104031999999</v>
      </c>
      <c r="L23" s="69"/>
      <c r="M23" s="72"/>
      <c r="N23" s="72"/>
      <c r="O23" s="72">
        <f t="shared" si="3"/>
        <v>0</v>
      </c>
      <c r="P23" s="73">
        <f>Pricing!M19</f>
        <v>4006.4100000000003</v>
      </c>
      <c r="Q23" s="74">
        <f t="shared" si="50"/>
        <v>400.64100000000008</v>
      </c>
      <c r="R23" s="74">
        <f t="shared" si="51"/>
        <v>484.77561000000003</v>
      </c>
      <c r="S23" s="74">
        <f t="shared" si="52"/>
        <v>24.459133050000002</v>
      </c>
      <c r="T23" s="74">
        <f t="shared" si="53"/>
        <v>49.162857430499997</v>
      </c>
      <c r="U23" s="72">
        <f t="shared" si="54"/>
        <v>4965.4486004804994</v>
      </c>
      <c r="V23" s="74">
        <f t="shared" si="55"/>
        <v>74.481729007207491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3257.4128400000004</v>
      </c>
      <c r="AE23" s="76">
        <f t="shared" si="43"/>
        <v>374.75409836065575</v>
      </c>
      <c r="AF23" s="346">
        <f t="shared" si="44"/>
        <v>384.048</v>
      </c>
      <c r="AG23" s="347"/>
      <c r="AH23" s="76">
        <f t="shared" si="45"/>
        <v>13.716000000000001</v>
      </c>
      <c r="AI23" s="76">
        <f t="shared" si="15"/>
        <v>45.72</v>
      </c>
      <c r="AJ23" s="76">
        <f>J23*Pricing!Q19</f>
        <v>0</v>
      </c>
      <c r="AK23" s="76">
        <f>J23*Pricing!R19</f>
        <v>0</v>
      </c>
      <c r="AL23" s="76">
        <f t="shared" si="16"/>
        <v>1250.0104031999999</v>
      </c>
      <c r="AM23" s="77">
        <f t="shared" si="17"/>
        <v>0</v>
      </c>
      <c r="AN23" s="76">
        <f t="shared" si="18"/>
        <v>1000.00832256</v>
      </c>
      <c r="AO23" s="72">
        <f t="shared" si="19"/>
        <v>5858.1684278483626</v>
      </c>
      <c r="AP23" s="74">
        <f t="shared" si="20"/>
        <v>7322.7105348104533</v>
      </c>
      <c r="AQ23" s="74">
        <f t="shared" si="61"/>
        <v>0</v>
      </c>
      <c r="AR23" s="74">
        <f t="shared" si="22"/>
        <v>11350.22402940426</v>
      </c>
      <c r="AS23" s="72">
        <f t="shared" si="23"/>
        <v>18688.310528418817</v>
      </c>
      <c r="AT23" s="72">
        <f t="shared" si="24"/>
        <v>16092.744029404261</v>
      </c>
      <c r="AU23" s="78">
        <f t="shared" si="62"/>
        <v>1495.0523996102065</v>
      </c>
      <c r="AV23" s="79">
        <f t="shared" si="26"/>
        <v>7.5949450537031536E-3</v>
      </c>
      <c r="AW23" s="80">
        <f t="shared" si="27"/>
        <v>403.19107077713858</v>
      </c>
      <c r="AX23" s="81">
        <f t="shared" si="28"/>
        <v>1091.861328833068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</v>
      </c>
      <c r="D24" s="131" t="str">
        <f>Pricing!B20</f>
        <v>FDA-5TH-Q</v>
      </c>
      <c r="E24" s="132" t="str">
        <f>Pricing!N20</f>
        <v>24MM</v>
      </c>
      <c r="F24" s="68">
        <f>Pricing!G20</f>
        <v>2440</v>
      </c>
      <c r="G24" s="68">
        <f>Pricing!H20</f>
        <v>2440</v>
      </c>
      <c r="H24" s="100">
        <f t="shared" si="0"/>
        <v>5.9535999999999998</v>
      </c>
      <c r="I24" s="70">
        <f>Pricing!I20</f>
        <v>1</v>
      </c>
      <c r="J24" s="69">
        <f t="shared" si="30"/>
        <v>5.9535999999999998</v>
      </c>
      <c r="K24" s="71">
        <f t="shared" si="31"/>
        <v>64.084550399999998</v>
      </c>
      <c r="L24" s="69"/>
      <c r="M24" s="72"/>
      <c r="N24" s="72"/>
      <c r="O24" s="72">
        <f t="shared" si="3"/>
        <v>0</v>
      </c>
      <c r="P24" s="73">
        <f>Pricing!M20</f>
        <v>40001.019999999997</v>
      </c>
      <c r="Q24" s="74">
        <f t="shared" si="50"/>
        <v>4000.1019999999999</v>
      </c>
      <c r="R24" s="74">
        <f t="shared" si="51"/>
        <v>4840.1234199999999</v>
      </c>
      <c r="S24" s="74">
        <f t="shared" si="52"/>
        <v>244.20622709999998</v>
      </c>
      <c r="T24" s="74">
        <f t="shared" si="53"/>
        <v>490.85451647099995</v>
      </c>
      <c r="U24" s="72">
        <f t="shared" si="54"/>
        <v>49576.306163570996</v>
      </c>
      <c r="V24" s="74">
        <f t="shared" si="55"/>
        <v>743.64459245356488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16699.847999999998</v>
      </c>
      <c r="AE24" s="76">
        <f t="shared" si="43"/>
        <v>800</v>
      </c>
      <c r="AF24" s="346">
        <f t="shared" si="44"/>
        <v>819.84</v>
      </c>
      <c r="AG24" s="347"/>
      <c r="AH24" s="76">
        <f t="shared" si="45"/>
        <v>29.28</v>
      </c>
      <c r="AI24" s="76">
        <f t="shared" si="15"/>
        <v>97.6</v>
      </c>
      <c r="AJ24" s="76">
        <f>J24*Pricing!Q20</f>
        <v>3204.2275199999995</v>
      </c>
      <c r="AK24" s="76">
        <f>J24*Pricing!R20</f>
        <v>0</v>
      </c>
      <c r="AL24" s="76">
        <f t="shared" si="16"/>
        <v>6408.4550399999989</v>
      </c>
      <c r="AM24" s="77">
        <f t="shared" si="17"/>
        <v>0</v>
      </c>
      <c r="AN24" s="76">
        <f t="shared" si="18"/>
        <v>5126.7640319999991</v>
      </c>
      <c r="AO24" s="72">
        <f t="shared" si="19"/>
        <v>52066.670756024556</v>
      </c>
      <c r="AP24" s="74">
        <f t="shared" si="20"/>
        <v>65083.338445030691</v>
      </c>
      <c r="AQ24" s="74">
        <f t="shared" si="61"/>
        <v>0</v>
      </c>
      <c r="AR24" s="74">
        <f t="shared" si="22"/>
        <v>19677.171661021104</v>
      </c>
      <c r="AS24" s="72">
        <f t="shared" si="23"/>
        <v>148589.30379305524</v>
      </c>
      <c r="AT24" s="72">
        <f t="shared" si="24"/>
        <v>24957.891661021105</v>
      </c>
      <c r="AU24" s="78">
        <f t="shared" si="62"/>
        <v>2318.6447102397906</v>
      </c>
      <c r="AV24" s="79">
        <f t="shared" si="26"/>
        <v>3.8937167069432468E-2</v>
      </c>
      <c r="AW24" s="80">
        <f t="shared" si="27"/>
        <v>785.21188713878473</v>
      </c>
      <c r="AX24" s="81">
        <f t="shared" si="28"/>
        <v>1533.4328231010059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SIDE HUNG DOOR</v>
      </c>
      <c r="D25" s="131" t="str">
        <f>Pricing!B21</f>
        <v>DA-5TH-Q</v>
      </c>
      <c r="E25" s="132" t="str">
        <f>Pricing!N21</f>
        <v>24MM</v>
      </c>
      <c r="F25" s="68">
        <f>Pricing!G21</f>
        <v>1068</v>
      </c>
      <c r="G25" s="68">
        <f>Pricing!H21</f>
        <v>2440</v>
      </c>
      <c r="H25" s="100">
        <f t="shared" si="0"/>
        <v>2.6059199999999998</v>
      </c>
      <c r="I25" s="70">
        <f>Pricing!I21</f>
        <v>1</v>
      </c>
      <c r="J25" s="69">
        <f t="shared" si="30"/>
        <v>2.6059199999999998</v>
      </c>
      <c r="K25" s="71">
        <f t="shared" si="31"/>
        <v>28.050122879999996</v>
      </c>
      <c r="L25" s="69"/>
      <c r="M25" s="72"/>
      <c r="N25" s="72"/>
      <c r="O25" s="72">
        <f t="shared" si="3"/>
        <v>0</v>
      </c>
      <c r="P25" s="73">
        <f>Pricing!M21</f>
        <v>26304.36</v>
      </c>
      <c r="Q25" s="74">
        <f t="shared" si="50"/>
        <v>2630.4360000000001</v>
      </c>
      <c r="R25" s="74">
        <f t="shared" si="51"/>
        <v>3182.8275600000002</v>
      </c>
      <c r="S25" s="74">
        <f t="shared" si="52"/>
        <v>160.58811780000002</v>
      </c>
      <c r="T25" s="74">
        <f t="shared" si="53"/>
        <v>322.78211677800005</v>
      </c>
      <c r="U25" s="72">
        <f t="shared" si="54"/>
        <v>32600.993794578004</v>
      </c>
      <c r="V25" s="74">
        <f t="shared" si="55"/>
        <v>489.01490691867002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7309.6055999999999</v>
      </c>
      <c r="AE25" s="76">
        <f t="shared" si="43"/>
        <v>575.08196721311481</v>
      </c>
      <c r="AF25" s="346">
        <f t="shared" si="44"/>
        <v>589.34400000000005</v>
      </c>
      <c r="AG25" s="347"/>
      <c r="AH25" s="76">
        <f t="shared" si="45"/>
        <v>21.048000000000002</v>
      </c>
      <c r="AI25" s="76">
        <f t="shared" si="15"/>
        <v>70.16</v>
      </c>
      <c r="AJ25" s="76">
        <f>J25*Pricing!Q21</f>
        <v>0</v>
      </c>
      <c r="AK25" s="76">
        <f>J25*Pricing!R21</f>
        <v>0</v>
      </c>
      <c r="AL25" s="76">
        <f t="shared" si="16"/>
        <v>2805.0122879999994</v>
      </c>
      <c r="AM25" s="77">
        <f t="shared" si="17"/>
        <v>0</v>
      </c>
      <c r="AN25" s="76">
        <f t="shared" si="18"/>
        <v>2244.0098303999994</v>
      </c>
      <c r="AO25" s="72">
        <f t="shared" si="19"/>
        <v>34345.642668709785</v>
      </c>
      <c r="AP25" s="74">
        <f t="shared" si="20"/>
        <v>42932.053335887234</v>
      </c>
      <c r="AQ25" s="74">
        <f t="shared" si="61"/>
        <v>0</v>
      </c>
      <c r="AR25" s="74">
        <f t="shared" si="22"/>
        <v>29654.669369971842</v>
      </c>
      <c r="AS25" s="72">
        <f t="shared" si="23"/>
        <v>89636.323722997011</v>
      </c>
      <c r="AT25" s="72">
        <f t="shared" si="24"/>
        <v>34397.189369971842</v>
      </c>
      <c r="AU25" s="78">
        <f t="shared" si="62"/>
        <v>3195.5768645458793</v>
      </c>
      <c r="AV25" s="79">
        <f t="shared" si="26"/>
        <v>1.7042989520554868E-2</v>
      </c>
      <c r="AW25" s="80">
        <f t="shared" si="27"/>
        <v>1179.6742867422574</v>
      </c>
      <c r="AX25" s="81">
        <f t="shared" si="28"/>
        <v>2015.9025778036219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SIDE HUNG DOOR</v>
      </c>
      <c r="D26" s="131" t="str">
        <f>Pricing!B22</f>
        <v>D1A-5TH-Q</v>
      </c>
      <c r="E26" s="132" t="str">
        <f>Pricing!N22</f>
        <v>24MM</v>
      </c>
      <c r="F26" s="68">
        <f>Pricing!G22</f>
        <v>992</v>
      </c>
      <c r="G26" s="68">
        <f>Pricing!H22</f>
        <v>2440</v>
      </c>
      <c r="H26" s="100">
        <f t="shared" si="0"/>
        <v>2.42048</v>
      </c>
      <c r="I26" s="70">
        <f>Pricing!I22</f>
        <v>4</v>
      </c>
      <c r="J26" s="69">
        <f t="shared" si="30"/>
        <v>9.6819199999999999</v>
      </c>
      <c r="K26" s="71">
        <f t="shared" si="31"/>
        <v>104.21618688</v>
      </c>
      <c r="L26" s="69"/>
      <c r="M26" s="72"/>
      <c r="N26" s="72"/>
      <c r="O26" s="72">
        <f t="shared" si="3"/>
        <v>0</v>
      </c>
      <c r="P26" s="73">
        <f>Pricing!M22</f>
        <v>93873</v>
      </c>
      <c r="Q26" s="74">
        <f t="shared" si="50"/>
        <v>9387.3000000000011</v>
      </c>
      <c r="R26" s="74">
        <f t="shared" si="51"/>
        <v>11358.633</v>
      </c>
      <c r="S26" s="74">
        <f t="shared" si="52"/>
        <v>573.09466500000008</v>
      </c>
      <c r="T26" s="74">
        <f t="shared" si="53"/>
        <v>1151.92027665</v>
      </c>
      <c r="U26" s="72">
        <f t="shared" si="54"/>
        <v>116343.94794165</v>
      </c>
      <c r="V26" s="74">
        <f t="shared" si="55"/>
        <v>1745.1592191247498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27157.785599999999</v>
      </c>
      <c r="AE26" s="76">
        <f t="shared" si="43"/>
        <v>2250.4918032786886</v>
      </c>
      <c r="AF26" s="346">
        <f t="shared" si="44"/>
        <v>2306.3040000000001</v>
      </c>
      <c r="AG26" s="347"/>
      <c r="AH26" s="76">
        <f t="shared" si="45"/>
        <v>82.367999999999995</v>
      </c>
      <c r="AI26" s="76">
        <f t="shared" si="15"/>
        <v>274.56</v>
      </c>
      <c r="AJ26" s="76">
        <f>J26*Pricing!Q22</f>
        <v>0</v>
      </c>
      <c r="AK26" s="76">
        <f>J26*Pricing!R22</f>
        <v>0</v>
      </c>
      <c r="AL26" s="76">
        <f t="shared" si="16"/>
        <v>10421.618687999999</v>
      </c>
      <c r="AM26" s="77">
        <f t="shared" si="17"/>
        <v>0</v>
      </c>
      <c r="AN26" s="76">
        <f t="shared" si="18"/>
        <v>8337.2949503999989</v>
      </c>
      <c r="AO26" s="72">
        <f t="shared" si="19"/>
        <v>123002.83096405343</v>
      </c>
      <c r="AP26" s="74">
        <f t="shared" si="20"/>
        <v>153753.53870506678</v>
      </c>
      <c r="AQ26" s="74">
        <f t="shared" si="61"/>
        <v>0</v>
      </c>
      <c r="AR26" s="74">
        <f t="shared" si="22"/>
        <v>28584.864331570618</v>
      </c>
      <c r="AS26" s="72">
        <f t="shared" si="23"/>
        <v>322673.06890752021</v>
      </c>
      <c r="AT26" s="72">
        <f t="shared" si="24"/>
        <v>33327.384331570618</v>
      </c>
      <c r="AU26" s="78">
        <f t="shared" si="62"/>
        <v>3096.1895514279654</v>
      </c>
      <c r="AV26" s="79">
        <f t="shared" si="26"/>
        <v>6.3320770053896733E-2</v>
      </c>
      <c r="AW26" s="80">
        <f t="shared" si="27"/>
        <v>1133.1167517839503</v>
      </c>
      <c r="AX26" s="81">
        <f t="shared" si="28"/>
        <v>1963.072799644015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SIDE HUNG DOOR</v>
      </c>
      <c r="D27" s="131" t="str">
        <f>Pricing!B23</f>
        <v>D2A-5TH-Q</v>
      </c>
      <c r="E27" s="132" t="str">
        <f>Pricing!N23</f>
        <v>24MM</v>
      </c>
      <c r="F27" s="68">
        <f>Pricing!G23</f>
        <v>840</v>
      </c>
      <c r="G27" s="68">
        <f>Pricing!H23</f>
        <v>2440</v>
      </c>
      <c r="H27" s="100">
        <f t="shared" si="0"/>
        <v>2.0495999999999999</v>
      </c>
      <c r="I27" s="70">
        <f>Pricing!I23</f>
        <v>3</v>
      </c>
      <c r="J27" s="69">
        <f t="shared" si="30"/>
        <v>6.1487999999999996</v>
      </c>
      <c r="K27" s="71">
        <f t="shared" si="31"/>
        <v>66.185683199999986</v>
      </c>
      <c r="L27" s="69"/>
      <c r="M27" s="72"/>
      <c r="N27" s="72"/>
      <c r="O27" s="72">
        <f t="shared" si="3"/>
        <v>0</v>
      </c>
      <c r="P27" s="73">
        <f>Pricing!M23</f>
        <v>68679.180000000008</v>
      </c>
      <c r="Q27" s="74">
        <f t="shared" si="4"/>
        <v>6867.9180000000015</v>
      </c>
      <c r="R27" s="74">
        <f t="shared" si="5"/>
        <v>8310.1807800000006</v>
      </c>
      <c r="S27" s="74">
        <f t="shared" si="6"/>
        <v>419.28639390000006</v>
      </c>
      <c r="T27" s="74">
        <f t="shared" si="7"/>
        <v>842.76565173900008</v>
      </c>
      <c r="U27" s="72">
        <f t="shared" si="8"/>
        <v>85119.330825639001</v>
      </c>
      <c r="V27" s="74">
        <f t="shared" si="9"/>
        <v>1276.7899623845849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17247.383999999998</v>
      </c>
      <c r="AE27" s="76">
        <f t="shared" si="43"/>
        <v>1613.1147540983604</v>
      </c>
      <c r="AF27" s="346">
        <f t="shared" si="44"/>
        <v>1653.1200000000001</v>
      </c>
      <c r="AG27" s="347"/>
      <c r="AH27" s="76">
        <f t="shared" si="45"/>
        <v>59.04</v>
      </c>
      <c r="AI27" s="76">
        <f t="shared" ref="AI27:AI32" si="64">(((F27+G27)*2*I27)/1000)*2*$AI$7</f>
        <v>196.8</v>
      </c>
      <c r="AJ27" s="76">
        <f>J27*Pricing!Q23</f>
        <v>0</v>
      </c>
      <c r="AK27" s="76">
        <f>J27*Pricing!R23</f>
        <v>0</v>
      </c>
      <c r="AL27" s="76">
        <f t="shared" si="16"/>
        <v>6618.5683199999985</v>
      </c>
      <c r="AM27" s="77">
        <f t="shared" si="17"/>
        <v>0</v>
      </c>
      <c r="AN27" s="76">
        <f t="shared" si="18"/>
        <v>5294.8546559999986</v>
      </c>
      <c r="AO27" s="72">
        <f t="shared" si="19"/>
        <v>89918.195542121946</v>
      </c>
      <c r="AP27" s="74">
        <f t="shared" si="20"/>
        <v>112397.74442765243</v>
      </c>
      <c r="AQ27" s="74">
        <f t="shared" si="21"/>
        <v>0</v>
      </c>
      <c r="AR27" s="74">
        <f t="shared" si="22"/>
        <v>32903.320968282336</v>
      </c>
      <c r="AS27" s="72">
        <f t="shared" si="23"/>
        <v>231476.74694577439</v>
      </c>
      <c r="AT27" s="72">
        <f t="shared" si="24"/>
        <v>37645.840968282333</v>
      </c>
      <c r="AU27" s="78">
        <f t="shared" si="25"/>
        <v>3497.3839621221045</v>
      </c>
      <c r="AV27" s="79">
        <f t="shared" si="26"/>
        <v>4.0213795497938444E-2</v>
      </c>
      <c r="AW27" s="80">
        <f t="shared" si="27"/>
        <v>1305.3596580238006</v>
      </c>
      <c r="AX27" s="81">
        <f t="shared" si="28"/>
        <v>2192.0243040983041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DOOR</v>
      </c>
      <c r="D28" s="131" t="str">
        <f>Pricing!B24</f>
        <v>WA1-5TH-Q</v>
      </c>
      <c r="E28" s="132" t="str">
        <f>Pricing!N24</f>
        <v>24MM</v>
      </c>
      <c r="F28" s="68">
        <f>Pricing!G24</f>
        <v>3658</v>
      </c>
      <c r="G28" s="68">
        <f>Pricing!H24</f>
        <v>2440</v>
      </c>
      <c r="H28" s="100">
        <f t="shared" si="0"/>
        <v>8.9255200000000006</v>
      </c>
      <c r="I28" s="70">
        <f>Pricing!I24</f>
        <v>1</v>
      </c>
      <c r="J28" s="69">
        <f t="shared" si="30"/>
        <v>8.9255200000000006</v>
      </c>
      <c r="K28" s="71">
        <f t="shared" si="31"/>
        <v>96.074297279999996</v>
      </c>
      <c r="L28" s="69"/>
      <c r="M28" s="72"/>
      <c r="N28" s="72"/>
      <c r="O28" s="72">
        <f t="shared" si="3"/>
        <v>0</v>
      </c>
      <c r="P28" s="73">
        <f>Pricing!M24</f>
        <v>79986.27</v>
      </c>
      <c r="Q28" s="74">
        <f t="shared" si="4"/>
        <v>7998.6270000000004</v>
      </c>
      <c r="R28" s="74">
        <f t="shared" si="5"/>
        <v>9678.3386699999992</v>
      </c>
      <c r="S28" s="74">
        <f t="shared" si="6"/>
        <v>488.31617834999997</v>
      </c>
      <c r="T28" s="74">
        <f t="shared" si="7"/>
        <v>981.51551848349993</v>
      </c>
      <c r="U28" s="72">
        <f t="shared" si="8"/>
        <v>99133.067366833493</v>
      </c>
      <c r="V28" s="74">
        <f t="shared" si="9"/>
        <v>1486.9960105025023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25036.083600000002</v>
      </c>
      <c r="AE28" s="76">
        <f t="shared" si="43"/>
        <v>999.67213114754099</v>
      </c>
      <c r="AF28" s="346">
        <f t="shared" si="44"/>
        <v>1024.4640000000002</v>
      </c>
      <c r="AG28" s="347"/>
      <c r="AH28" s="76">
        <f t="shared" si="45"/>
        <v>36.588000000000001</v>
      </c>
      <c r="AI28" s="76">
        <f t="shared" si="64"/>
        <v>121.96</v>
      </c>
      <c r="AJ28" s="76">
        <f>J28*Pricing!Q24</f>
        <v>4803.7148639999996</v>
      </c>
      <c r="AK28" s="76">
        <f>J28*Pricing!R24</f>
        <v>0</v>
      </c>
      <c r="AL28" s="76">
        <f t="shared" si="16"/>
        <v>9607.4297279999992</v>
      </c>
      <c r="AM28" s="77">
        <f t="shared" si="17"/>
        <v>0</v>
      </c>
      <c r="AN28" s="76">
        <f t="shared" si="18"/>
        <v>7685.9437823999997</v>
      </c>
      <c r="AO28" s="72">
        <f t="shared" si="19"/>
        <v>102802.74750848355</v>
      </c>
      <c r="AP28" s="74">
        <f t="shared" si="20"/>
        <v>128503.43438560443</v>
      </c>
      <c r="AQ28" s="74">
        <f t="shared" si="21"/>
        <v>0</v>
      </c>
      <c r="AR28" s="74">
        <f t="shared" si="22"/>
        <v>25915.149133505722</v>
      </c>
      <c r="AS28" s="72">
        <f t="shared" si="23"/>
        <v>278439.35386848799</v>
      </c>
      <c r="AT28" s="72">
        <f t="shared" si="24"/>
        <v>31195.869133505719</v>
      </c>
      <c r="AU28" s="78">
        <f t="shared" si="25"/>
        <v>2898.1669577764515</v>
      </c>
      <c r="AV28" s="79">
        <f t="shared" si="26"/>
        <v>5.8373834893436054E-2</v>
      </c>
      <c r="AW28" s="80">
        <f t="shared" si="27"/>
        <v>1047.3151115962658</v>
      </c>
      <c r="AX28" s="81">
        <f t="shared" si="28"/>
        <v>1850.8518461801855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W1B-5TH-Q</v>
      </c>
      <c r="E29" s="132" t="str">
        <f>Pricing!N25</f>
        <v>20MM</v>
      </c>
      <c r="F29" s="68">
        <f>Pricing!G25</f>
        <v>1830</v>
      </c>
      <c r="G29" s="68">
        <f>Pricing!H25</f>
        <v>1982</v>
      </c>
      <c r="H29" s="100">
        <f t="shared" si="0"/>
        <v>3.6270600000000002</v>
      </c>
      <c r="I29" s="70">
        <f>Pricing!I25</f>
        <v>4</v>
      </c>
      <c r="J29" s="69">
        <f t="shared" si="30"/>
        <v>14.508240000000001</v>
      </c>
      <c r="K29" s="71">
        <f t="shared" si="31"/>
        <v>156.16669536000001</v>
      </c>
      <c r="L29" s="69"/>
      <c r="M29" s="72"/>
      <c r="N29" s="72"/>
      <c r="O29" s="72">
        <f t="shared" si="3"/>
        <v>0</v>
      </c>
      <c r="P29" s="73">
        <f>Pricing!M25</f>
        <v>53475.24</v>
      </c>
      <c r="Q29" s="74">
        <f t="shared" si="4"/>
        <v>5347.5240000000003</v>
      </c>
      <c r="R29" s="74">
        <f t="shared" si="5"/>
        <v>6470.5040399999998</v>
      </c>
      <c r="S29" s="74">
        <f t="shared" si="6"/>
        <v>326.46634019999999</v>
      </c>
      <c r="T29" s="74">
        <f t="shared" si="7"/>
        <v>656.19734380199998</v>
      </c>
      <c r="U29" s="72">
        <f t="shared" si="8"/>
        <v>66275.931724002003</v>
      </c>
      <c r="V29" s="74">
        <f t="shared" si="9"/>
        <v>994.13897586002997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36821.913120000005</v>
      </c>
      <c r="AE29" s="76">
        <f t="shared" si="43"/>
        <v>2499.6721311475408</v>
      </c>
      <c r="AF29" s="346">
        <f t="shared" si="44"/>
        <v>2561.6640000000002</v>
      </c>
      <c r="AG29" s="347"/>
      <c r="AH29" s="76">
        <f t="shared" si="45"/>
        <v>91.488</v>
      </c>
      <c r="AI29" s="76">
        <f t="shared" si="64"/>
        <v>304.95999999999998</v>
      </c>
      <c r="AJ29" s="76">
        <f>J29*Pricing!Q25</f>
        <v>7808.3347679999997</v>
      </c>
      <c r="AK29" s="76">
        <f>J29*Pricing!R25</f>
        <v>0</v>
      </c>
      <c r="AL29" s="76">
        <f t="shared" si="16"/>
        <v>15616.669535999999</v>
      </c>
      <c r="AM29" s="77">
        <f t="shared" si="17"/>
        <v>0</v>
      </c>
      <c r="AN29" s="76">
        <f t="shared" si="18"/>
        <v>12493.3356288</v>
      </c>
      <c r="AO29" s="72">
        <f t="shared" si="19"/>
        <v>72727.85483100955</v>
      </c>
      <c r="AP29" s="74">
        <f t="shared" si="20"/>
        <v>90909.818538761931</v>
      </c>
      <c r="AQ29" s="74">
        <f t="shared" si="21"/>
        <v>0</v>
      </c>
      <c r="AR29" s="74">
        <f t="shared" si="22"/>
        <v>11278.947230661435</v>
      </c>
      <c r="AS29" s="72">
        <f t="shared" si="23"/>
        <v>236377.9264225715</v>
      </c>
      <c r="AT29" s="72">
        <f t="shared" si="24"/>
        <v>16292.667230661436</v>
      </c>
      <c r="AU29" s="78">
        <f t="shared" si="25"/>
        <v>1513.6257181959716</v>
      </c>
      <c r="AV29" s="79">
        <f t="shared" si="26"/>
        <v>9.4885407948707159E-2</v>
      </c>
      <c r="AW29" s="80">
        <f t="shared" si="27"/>
        <v>430.75811103506487</v>
      </c>
      <c r="AX29" s="81">
        <f t="shared" si="28"/>
        <v>1082.8676071609066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DOOR</v>
      </c>
      <c r="D30" s="131" t="str">
        <f>Pricing!B26</f>
        <v>W2A-5TH-Q</v>
      </c>
      <c r="E30" s="132" t="str">
        <f>Pricing!N26</f>
        <v>24MM</v>
      </c>
      <c r="F30" s="68">
        <f>Pricing!G26</f>
        <v>2134</v>
      </c>
      <c r="G30" s="68">
        <f>Pricing!H26</f>
        <v>2440</v>
      </c>
      <c r="H30" s="100">
        <f t="shared" si="0"/>
        <v>5.2069599999999996</v>
      </c>
      <c r="I30" s="70">
        <f>Pricing!I26</f>
        <v>2</v>
      </c>
      <c r="J30" s="69">
        <f t="shared" si="30"/>
        <v>10.413919999999999</v>
      </c>
      <c r="K30" s="71">
        <f t="shared" si="31"/>
        <v>112.09543487999998</v>
      </c>
      <c r="L30" s="69"/>
      <c r="M30" s="72"/>
      <c r="N30" s="72"/>
      <c r="O30" s="72">
        <f t="shared" si="3"/>
        <v>0</v>
      </c>
      <c r="P30" s="73">
        <f>Pricing!M26</f>
        <v>76778.319999999992</v>
      </c>
      <c r="Q30" s="74">
        <f t="shared" si="4"/>
        <v>7677.8319999999994</v>
      </c>
      <c r="R30" s="74">
        <f t="shared" si="5"/>
        <v>9290.1767199999995</v>
      </c>
      <c r="S30" s="74">
        <f t="shared" si="6"/>
        <v>468.73164359999998</v>
      </c>
      <c r="T30" s="74">
        <f t="shared" si="7"/>
        <v>942.15060363599991</v>
      </c>
      <c r="U30" s="72">
        <f t="shared" si="8"/>
        <v>95157.21096723598</v>
      </c>
      <c r="V30" s="74">
        <f t="shared" si="9"/>
        <v>1427.3581645085396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29211.045599999998</v>
      </c>
      <c r="AE30" s="76">
        <f t="shared" si="43"/>
        <v>1499.672131147541</v>
      </c>
      <c r="AF30" s="346">
        <f t="shared" si="44"/>
        <v>1536.8639999999998</v>
      </c>
      <c r="AG30" s="347"/>
      <c r="AH30" s="76">
        <f t="shared" si="45"/>
        <v>54.887999999999998</v>
      </c>
      <c r="AI30" s="76">
        <f t="shared" si="64"/>
        <v>182.95999999999998</v>
      </c>
      <c r="AJ30" s="76">
        <f>J30*Pricing!Q26</f>
        <v>5604.7717439999988</v>
      </c>
      <c r="AK30" s="76">
        <f>J30*Pricing!R26</f>
        <v>0</v>
      </c>
      <c r="AL30" s="76">
        <f t="shared" si="16"/>
        <v>11209.543487999998</v>
      </c>
      <c r="AM30" s="77">
        <f t="shared" si="17"/>
        <v>0</v>
      </c>
      <c r="AN30" s="76">
        <f t="shared" si="18"/>
        <v>8967.6347903999977</v>
      </c>
      <c r="AO30" s="72">
        <f t="shared" si="19"/>
        <v>99858.953262892057</v>
      </c>
      <c r="AP30" s="74">
        <f t="shared" si="20"/>
        <v>124823.69157861508</v>
      </c>
      <c r="AQ30" s="74">
        <f t="shared" si="21"/>
        <v>0</v>
      </c>
      <c r="AR30" s="74">
        <f t="shared" si="22"/>
        <v>21575.222859548292</v>
      </c>
      <c r="AS30" s="72">
        <f t="shared" si="23"/>
        <v>279675.64046390716</v>
      </c>
      <c r="AT30" s="72">
        <f t="shared" si="24"/>
        <v>26855.942859548293</v>
      </c>
      <c r="AU30" s="78">
        <f t="shared" si="25"/>
        <v>2494.9779691144831</v>
      </c>
      <c r="AV30" s="79">
        <f t="shared" si="26"/>
        <v>6.810812666079416E-2</v>
      </c>
      <c r="AW30" s="80">
        <f t="shared" si="27"/>
        <v>861.62803360493581</v>
      </c>
      <c r="AX30" s="81">
        <f t="shared" si="28"/>
        <v>1633.3499355095469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SHUTTER SLIDING WINDOW</v>
      </c>
      <c r="D31" s="131" t="str">
        <f>Pricing!B27</f>
        <v>W2B-5TH-Q</v>
      </c>
      <c r="E31" s="132" t="str">
        <f>Pricing!N27</f>
        <v>20MM</v>
      </c>
      <c r="F31" s="68">
        <f>Pricing!G27</f>
        <v>1220</v>
      </c>
      <c r="G31" s="68">
        <f>Pricing!H27</f>
        <v>1524</v>
      </c>
      <c r="H31" s="100">
        <f t="shared" si="0"/>
        <v>1.85928</v>
      </c>
      <c r="I31" s="70">
        <f>Pricing!I27</f>
        <v>1</v>
      </c>
      <c r="J31" s="69">
        <f t="shared" si="30"/>
        <v>1.85928</v>
      </c>
      <c r="K31" s="71">
        <f t="shared" si="31"/>
        <v>20.013289919999998</v>
      </c>
      <c r="L31" s="69"/>
      <c r="M31" s="72"/>
      <c r="N31" s="72"/>
      <c r="O31" s="72">
        <f t="shared" si="3"/>
        <v>0</v>
      </c>
      <c r="P31" s="73">
        <f>Pricing!M27</f>
        <v>10238.049999999999</v>
      </c>
      <c r="Q31" s="74">
        <f t="shared" si="4"/>
        <v>1023.8049999999999</v>
      </c>
      <c r="R31" s="74">
        <f t="shared" si="5"/>
        <v>1238.80405</v>
      </c>
      <c r="S31" s="74">
        <f t="shared" si="6"/>
        <v>62.503295250000001</v>
      </c>
      <c r="T31" s="74">
        <f t="shared" si="7"/>
        <v>125.63162345250001</v>
      </c>
      <c r="U31" s="72">
        <f t="shared" si="8"/>
        <v>12688.793968702501</v>
      </c>
      <c r="V31" s="74">
        <f t="shared" si="9"/>
        <v>190.3319095305375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4718.8526400000001</v>
      </c>
      <c r="AE31" s="76">
        <f t="shared" si="43"/>
        <v>449.8360655737705</v>
      </c>
      <c r="AF31" s="346">
        <f t="shared" si="44"/>
        <v>460.99200000000008</v>
      </c>
      <c r="AG31" s="347"/>
      <c r="AH31" s="76">
        <f t="shared" si="45"/>
        <v>16.464000000000002</v>
      </c>
      <c r="AI31" s="76">
        <f t="shared" si="64"/>
        <v>54.88</v>
      </c>
      <c r="AJ31" s="76">
        <f>J31*Pricing!Q27</f>
        <v>1000.6644959999999</v>
      </c>
      <c r="AK31" s="76">
        <f>J31*Pricing!R27</f>
        <v>0</v>
      </c>
      <c r="AL31" s="76">
        <f t="shared" si="16"/>
        <v>2001.3289919999997</v>
      </c>
      <c r="AM31" s="77">
        <f t="shared" si="17"/>
        <v>0</v>
      </c>
      <c r="AN31" s="76">
        <f t="shared" si="18"/>
        <v>1601.0631935999997</v>
      </c>
      <c r="AO31" s="72">
        <f t="shared" si="19"/>
        <v>13861.297943806811</v>
      </c>
      <c r="AP31" s="74">
        <f t="shared" si="20"/>
        <v>17326.622429758514</v>
      </c>
      <c r="AQ31" s="74">
        <f t="shared" si="21"/>
        <v>0</v>
      </c>
      <c r="AR31" s="74">
        <f t="shared" si="22"/>
        <v>16774.192361325528</v>
      </c>
      <c r="AS31" s="72">
        <f t="shared" si="23"/>
        <v>40509.829695165317</v>
      </c>
      <c r="AT31" s="72">
        <f t="shared" si="24"/>
        <v>21787.912361325521</v>
      </c>
      <c r="AU31" s="78">
        <f t="shared" si="25"/>
        <v>2024.1464475404612</v>
      </c>
      <c r="AV31" s="79">
        <f t="shared" si="26"/>
        <v>1.2159885781519483E-2</v>
      </c>
      <c r="AW31" s="80">
        <f t="shared" si="27"/>
        <v>643.528671683433</v>
      </c>
      <c r="AX31" s="81">
        <f t="shared" si="28"/>
        <v>1380.6177758570284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WITH GLASS LOUVERS &amp; EXHAUST FAN PROVISION</v>
      </c>
      <c r="D32" s="131" t="str">
        <f>Pricing!B28</f>
        <v>VA-5TH-Q</v>
      </c>
      <c r="E32" s="132" t="str">
        <f>Pricing!N28</f>
        <v>6MM (F)</v>
      </c>
      <c r="F32" s="68">
        <f>Pricing!G28</f>
        <v>762</v>
      </c>
      <c r="G32" s="68">
        <f>Pricing!H28</f>
        <v>610</v>
      </c>
      <c r="H32" s="100">
        <f t="shared" si="0"/>
        <v>0.46482000000000001</v>
      </c>
      <c r="I32" s="70">
        <f>Pricing!I28</f>
        <v>3</v>
      </c>
      <c r="J32" s="69">
        <f t="shared" si="30"/>
        <v>1.39446</v>
      </c>
      <c r="K32" s="71">
        <f t="shared" si="31"/>
        <v>15.009967439999999</v>
      </c>
      <c r="L32" s="69"/>
      <c r="M32" s="72"/>
      <c r="N32" s="72"/>
      <c r="O32" s="72">
        <f t="shared" si="3"/>
        <v>0</v>
      </c>
      <c r="P32" s="73">
        <f>Pricing!M28</f>
        <v>15111.81</v>
      </c>
      <c r="Q32" s="74">
        <f t="shared" si="4"/>
        <v>1511.181</v>
      </c>
      <c r="R32" s="74">
        <f t="shared" si="5"/>
        <v>1828.5290099999997</v>
      </c>
      <c r="S32" s="74">
        <f t="shared" si="6"/>
        <v>92.257600049999979</v>
      </c>
      <c r="T32" s="74">
        <f t="shared" si="7"/>
        <v>185.43777610049997</v>
      </c>
      <c r="U32" s="72">
        <f t="shared" si="8"/>
        <v>18729.215386150499</v>
      </c>
      <c r="V32" s="74">
        <f t="shared" si="9"/>
        <v>280.93823079225746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2793.10338</v>
      </c>
      <c r="AE32" s="76">
        <f t="shared" si="43"/>
        <v>674.75409836065569</v>
      </c>
      <c r="AF32" s="346">
        <f t="shared" si="44"/>
        <v>691.48800000000017</v>
      </c>
      <c r="AG32" s="347"/>
      <c r="AH32" s="76">
        <f t="shared" si="45"/>
        <v>24.695999999999998</v>
      </c>
      <c r="AI32" s="76">
        <f t="shared" si="64"/>
        <v>82.32</v>
      </c>
      <c r="AJ32" s="76">
        <f>J32*Pricing!Q28</f>
        <v>0</v>
      </c>
      <c r="AK32" s="76">
        <f>J32*Pricing!R28</f>
        <v>0</v>
      </c>
      <c r="AL32" s="76">
        <f t="shared" si="16"/>
        <v>1500.9967439999998</v>
      </c>
      <c r="AM32" s="77">
        <f t="shared" si="17"/>
        <v>0</v>
      </c>
      <c r="AN32" s="76">
        <f t="shared" si="18"/>
        <v>1200.7973952</v>
      </c>
      <c r="AO32" s="72">
        <f t="shared" si="19"/>
        <v>20483.411715303409</v>
      </c>
      <c r="AP32" s="74">
        <f t="shared" si="20"/>
        <v>25604.26464412926</v>
      </c>
      <c r="AQ32" s="74">
        <f t="shared" si="21"/>
        <v>0</v>
      </c>
      <c r="AR32" s="74">
        <f t="shared" si="22"/>
        <v>33050.554594203255</v>
      </c>
      <c r="AS32" s="72">
        <f t="shared" si="23"/>
        <v>51582.573878632669</v>
      </c>
      <c r="AT32" s="72">
        <f t="shared" si="24"/>
        <v>36991.074594203252</v>
      </c>
      <c r="AU32" s="78">
        <f t="shared" si="25"/>
        <v>3436.5546817357167</v>
      </c>
      <c r="AV32" s="79">
        <f t="shared" si="26"/>
        <v>9.1199143361396125E-3</v>
      </c>
      <c r="AW32" s="80">
        <f t="shared" si="27"/>
        <v>1266.5019889571963</v>
      </c>
      <c r="AX32" s="81">
        <f t="shared" si="28"/>
        <v>2170.0526927785208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SIDE HUNG DOOR</v>
      </c>
      <c r="D33" s="131" t="str">
        <f>Pricing!B29</f>
        <v>W3B-5TH-Q</v>
      </c>
      <c r="E33" s="132" t="str">
        <f>Pricing!N29</f>
        <v>24MM</v>
      </c>
      <c r="F33" s="68">
        <f>Pricing!G29</f>
        <v>916</v>
      </c>
      <c r="G33" s="68">
        <f>Pricing!H29</f>
        <v>2744</v>
      </c>
      <c r="H33" s="100">
        <f t="shared" si="0"/>
        <v>2.5135040000000002</v>
      </c>
      <c r="I33" s="70">
        <f>Pricing!I29</f>
        <v>1</v>
      </c>
      <c r="J33" s="69">
        <f t="shared" si="30"/>
        <v>2.5135040000000002</v>
      </c>
      <c r="K33" s="71">
        <f t="shared" si="31"/>
        <v>27.055357056000002</v>
      </c>
      <c r="L33" s="69"/>
      <c r="M33" s="72"/>
      <c r="N33" s="72"/>
      <c r="O33" s="72">
        <f t="shared" si="3"/>
        <v>0</v>
      </c>
      <c r="P33" s="73">
        <f>Pricing!M29</f>
        <v>24233.510000000002</v>
      </c>
      <c r="Q33" s="74">
        <f t="shared" ref="Q33:Q38" si="65">P33*$Q$6</f>
        <v>2423.3510000000001</v>
      </c>
      <c r="R33" s="74">
        <f t="shared" ref="R33:R38" si="66">(P33+Q33)*$R$6</f>
        <v>2932.2547100000002</v>
      </c>
      <c r="S33" s="74">
        <f t="shared" ref="S33:S38" si="67">(P33+Q33+R33)*$S$6</f>
        <v>147.94557855000002</v>
      </c>
      <c r="T33" s="74">
        <f t="shared" ref="T33:T38" si="68">(P33+Q33+R33+S33)*$T$6</f>
        <v>297.37061288550001</v>
      </c>
      <c r="U33" s="72">
        <f t="shared" ref="U33:U38" si="69">SUM(P33:T33)</f>
        <v>30034.431901435502</v>
      </c>
      <c r="V33" s="74">
        <f t="shared" ref="V33:V38" si="70">U33*$V$6</f>
        <v>450.51647852153252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7050.3787200000006</v>
      </c>
      <c r="AE33" s="76">
        <f t="shared" si="43"/>
        <v>600</v>
      </c>
      <c r="AF33" s="346">
        <f t="shared" si="44"/>
        <v>614.88</v>
      </c>
      <c r="AG33" s="347"/>
      <c r="AH33" s="76">
        <f t="shared" si="45"/>
        <v>21.96</v>
      </c>
      <c r="AI33" s="76">
        <f t="shared" si="15"/>
        <v>73.2</v>
      </c>
      <c r="AJ33" s="76">
        <f>J33*Pricing!Q29</f>
        <v>0</v>
      </c>
      <c r="AK33" s="76">
        <f>J33*Pricing!R29</f>
        <v>0</v>
      </c>
      <c r="AL33" s="76">
        <f t="shared" si="16"/>
        <v>2705.5357055999998</v>
      </c>
      <c r="AM33" s="77">
        <f t="shared" si="17"/>
        <v>0</v>
      </c>
      <c r="AN33" s="76">
        <f t="shared" si="18"/>
        <v>2164.4285644799997</v>
      </c>
      <c r="AO33" s="72">
        <f t="shared" si="19"/>
        <v>31794.988379957031</v>
      </c>
      <c r="AP33" s="74">
        <f t="shared" si="20"/>
        <v>39743.73547494629</v>
      </c>
      <c r="AQ33" s="74">
        <f t="shared" ref="AQ33:AQ38" si="76">(AO33+AP33)*$AQ$6</f>
        <v>0</v>
      </c>
      <c r="AR33" s="74">
        <f t="shared" si="22"/>
        <v>28461.750550189423</v>
      </c>
      <c r="AS33" s="72">
        <f t="shared" si="23"/>
        <v>83459.066844983317</v>
      </c>
      <c r="AT33" s="72">
        <f t="shared" si="24"/>
        <v>33204.270550189423</v>
      </c>
      <c r="AU33" s="78">
        <f t="shared" ref="AU33:AU38" si="77">AT33/10.764</f>
        <v>3084.7520020614479</v>
      </c>
      <c r="AV33" s="79">
        <f t="shared" si="26"/>
        <v>1.6438579208829414E-2</v>
      </c>
      <c r="AW33" s="80">
        <f t="shared" si="27"/>
        <v>1126.7620056485805</v>
      </c>
      <c r="AX33" s="81">
        <f t="shared" si="28"/>
        <v>1957.9899964128674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DOOR</v>
      </c>
      <c r="D34" s="131" t="str">
        <f>Pricing!B30</f>
        <v>WA4-5TH-Q</v>
      </c>
      <c r="E34" s="132" t="str">
        <f>Pricing!N30</f>
        <v>24MM</v>
      </c>
      <c r="F34" s="68">
        <f>Pricing!G30</f>
        <v>2440</v>
      </c>
      <c r="G34" s="68">
        <f>Pricing!H30</f>
        <v>2744</v>
      </c>
      <c r="H34" s="100">
        <f t="shared" si="0"/>
        <v>6.69536</v>
      </c>
      <c r="I34" s="70">
        <f>Pricing!I30</f>
        <v>1</v>
      </c>
      <c r="J34" s="69">
        <f t="shared" si="30"/>
        <v>6.69536</v>
      </c>
      <c r="K34" s="71">
        <f t="shared" si="31"/>
        <v>72.068855039999988</v>
      </c>
      <c r="L34" s="69"/>
      <c r="M34" s="72"/>
      <c r="N34" s="72"/>
      <c r="O34" s="72">
        <f t="shared" si="3"/>
        <v>0</v>
      </c>
      <c r="P34" s="73">
        <f>Pricing!M30</f>
        <v>42622.159999999996</v>
      </c>
      <c r="Q34" s="74">
        <f t="shared" si="65"/>
        <v>4262.2159999999994</v>
      </c>
      <c r="R34" s="74">
        <f t="shared" si="66"/>
        <v>5157.2813599999999</v>
      </c>
      <c r="S34" s="74">
        <f t="shared" si="67"/>
        <v>260.2082868</v>
      </c>
      <c r="T34" s="74">
        <f t="shared" si="68"/>
        <v>523.01865646800002</v>
      </c>
      <c r="U34" s="72">
        <f t="shared" si="69"/>
        <v>52824.884303267994</v>
      </c>
      <c r="V34" s="74">
        <f t="shared" si="70"/>
        <v>792.37326454901984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18780.484799999998</v>
      </c>
      <c r="AE34" s="76">
        <f t="shared" si="43"/>
        <v>849.83606557377038</v>
      </c>
      <c r="AF34" s="346">
        <f t="shared" si="44"/>
        <v>870.91199999999992</v>
      </c>
      <c r="AG34" s="347"/>
      <c r="AH34" s="76">
        <f t="shared" si="45"/>
        <v>31.103999999999999</v>
      </c>
      <c r="AI34" s="76">
        <f t="shared" si="15"/>
        <v>103.68</v>
      </c>
      <c r="AJ34" s="76">
        <f>J34*Pricing!Q30</f>
        <v>3603.4427519999995</v>
      </c>
      <c r="AK34" s="76">
        <f>J34*Pricing!R30</f>
        <v>0</v>
      </c>
      <c r="AL34" s="76">
        <f t="shared" si="16"/>
        <v>7206.8855039999989</v>
      </c>
      <c r="AM34" s="77">
        <f t="shared" si="17"/>
        <v>0</v>
      </c>
      <c r="AN34" s="76">
        <f t="shared" si="18"/>
        <v>5765.5084031999995</v>
      </c>
      <c r="AO34" s="72">
        <f t="shared" si="19"/>
        <v>55472.789633390777</v>
      </c>
      <c r="AP34" s="74">
        <f t="shared" si="20"/>
        <v>69340.987041738466</v>
      </c>
      <c r="AQ34" s="74">
        <f t="shared" si="76"/>
        <v>0</v>
      </c>
      <c r="AR34" s="74">
        <f t="shared" si="22"/>
        <v>18641.832056099935</v>
      </c>
      <c r="AS34" s="72">
        <f t="shared" si="23"/>
        <v>160170.09813432925</v>
      </c>
      <c r="AT34" s="72">
        <f t="shared" si="24"/>
        <v>23922.552056099932</v>
      </c>
      <c r="AU34" s="78">
        <f t="shared" si="77"/>
        <v>2222.4593140189459</v>
      </c>
      <c r="AV34" s="79">
        <f t="shared" si="26"/>
        <v>4.3788355097755201E-2</v>
      </c>
      <c r="AW34" s="80">
        <f t="shared" si="27"/>
        <v>743.97265695504825</v>
      </c>
      <c r="AX34" s="81">
        <f t="shared" si="28"/>
        <v>1478.4866570638978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98.561511999999993</v>
      </c>
      <c r="I109" s="87">
        <f>SUM(I8:I108)</f>
        <v>50</v>
      </c>
      <c r="J109" s="88">
        <f>SUM(J8:J108)</f>
        <v>152.90275200000002</v>
      </c>
      <c r="K109" s="89">
        <f>SUM(K8:K108)</f>
        <v>1645.845222528</v>
      </c>
      <c r="L109" s="88">
        <f>SUM(L8:L8)</f>
        <v>0</v>
      </c>
      <c r="M109" s="88"/>
      <c r="N109" s="88"/>
      <c r="O109" s="88"/>
      <c r="P109" s="87">
        <f>SUM(P8:P108)</f>
        <v>1198795.56</v>
      </c>
      <c r="Q109" s="88">
        <f t="shared" ref="Q109:AE109" si="156">SUM(Q8:Q108)</f>
        <v>119879.55600000001</v>
      </c>
      <c r="R109" s="88">
        <f t="shared" si="156"/>
        <v>145054.26276000001</v>
      </c>
      <c r="S109" s="88">
        <f t="shared" si="156"/>
        <v>7318.6468937999998</v>
      </c>
      <c r="T109" s="88">
        <f t="shared" si="156"/>
        <v>14710.480256538</v>
      </c>
      <c r="U109" s="88">
        <f t="shared" si="156"/>
        <v>1485758.5059103377</v>
      </c>
      <c r="V109" s="88">
        <f t="shared" si="156"/>
        <v>22286.377588655068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417118.02497999999</v>
      </c>
      <c r="AE109" s="88">
        <f t="shared" si="156"/>
        <v>28341.96721311476</v>
      </c>
      <c r="AF109" s="407">
        <f>SUM(AF8:AG108)</f>
        <v>29044.848000000002</v>
      </c>
      <c r="AG109" s="408"/>
      <c r="AH109" s="88">
        <f t="shared" ref="AH109:AQ109" si="157">SUM(AH8:AH108)</f>
        <v>1037.316</v>
      </c>
      <c r="AI109" s="88">
        <f t="shared" si="157"/>
        <v>3457.7200000000003</v>
      </c>
      <c r="AJ109" s="88">
        <f t="shared" ref="AJ109" si="158">SUM(AJ8:AJ108)</f>
        <v>51705.595187999992</v>
      </c>
      <c r="AK109" s="88">
        <f t="shared" si="157"/>
        <v>90107.080127999987</v>
      </c>
      <c r="AL109" s="88">
        <f t="shared" si="157"/>
        <v>164584.52225279994</v>
      </c>
      <c r="AM109" s="88">
        <f t="shared" si="157"/>
        <v>0</v>
      </c>
      <c r="AN109" s="88">
        <f t="shared" si="157"/>
        <v>131667.61780223995</v>
      </c>
      <c r="AO109" s="88">
        <f t="shared" si="157"/>
        <v>1569926.7347121076</v>
      </c>
      <c r="AP109" s="88">
        <f t="shared" si="157"/>
        <v>1962408.4183901343</v>
      </c>
      <c r="AQ109" s="88">
        <f t="shared" si="157"/>
        <v>0</v>
      </c>
      <c r="AR109" s="88"/>
      <c r="AS109" s="87">
        <f>SUM(AS8:AS108)</f>
        <v>4387517.9934532829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29044.848000000002</v>
      </c>
      <c r="AW110" s="84"/>
    </row>
    <row r="111" spans="2:54">
      <c r="AF111" s="174"/>
      <c r="AG111" s="174"/>
      <c r="AH111" s="174">
        <f>SUM(AE109:AI109,AC109)</f>
        <v>61881.851213114765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3.71093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28.855468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ABPL-DE-19.20-2141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Mr. Hari Prasad</v>
      </c>
      <c r="G7" s="460"/>
      <c r="H7" s="460"/>
      <c r="I7" s="460"/>
      <c r="J7" s="461"/>
      <c r="K7" s="437" t="s">
        <v>104</v>
      </c>
      <c r="L7" s="429"/>
      <c r="M7" s="434">
        <f>'BD Team'!J3</f>
        <v>43680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180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365</v>
      </c>
      <c r="N8" s="179">
        <v>43680</v>
      </c>
    </row>
    <row r="9" spans="2:15" ht="24.95" customHeight="1">
      <c r="B9" s="428" t="s">
        <v>169</v>
      </c>
      <c r="C9" s="429"/>
      <c r="D9" s="429"/>
      <c r="E9" s="429"/>
      <c r="F9" s="460" t="str">
        <f>'BD Team'!E4</f>
        <v>Ms. Rachana : 9154030271</v>
      </c>
      <c r="G9" s="460"/>
      <c r="H9" s="460"/>
      <c r="I9" s="460"/>
      <c r="J9" s="461"/>
      <c r="K9" s="437" t="s">
        <v>179</v>
      </c>
      <c r="L9" s="429"/>
      <c r="M9" s="449" t="str">
        <f>'BD Team'!J4</f>
        <v>Bal Kumari</v>
      </c>
      <c r="N9" s="450"/>
    </row>
    <row r="10" spans="2:15" ht="27.75" customHeight="1" thickBot="1">
      <c r="B10" s="430" t="s">
        <v>177</v>
      </c>
      <c r="C10" s="431"/>
      <c r="D10" s="431"/>
      <c r="E10" s="431"/>
      <c r="F10" s="217" t="str">
        <f>'BD Team'!E5</f>
        <v>Anodized</v>
      </c>
      <c r="G10" s="442" t="s">
        <v>178</v>
      </c>
      <c r="H10" s="443"/>
      <c r="I10" s="440" t="str">
        <f>'BD Team'!G5</f>
        <v>Silver</v>
      </c>
      <c r="J10" s="441"/>
      <c r="K10" s="438" t="s">
        <v>375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170</v>
      </c>
      <c r="C13" s="465"/>
      <c r="D13" s="436" t="s">
        <v>171</v>
      </c>
      <c r="E13" s="436" t="s">
        <v>172</v>
      </c>
      <c r="F13" s="436" t="s">
        <v>37</v>
      </c>
      <c r="G13" s="418" t="s">
        <v>63</v>
      </c>
      <c r="H13" s="418" t="s">
        <v>210</v>
      </c>
      <c r="I13" s="418" t="s">
        <v>209</v>
      </c>
      <c r="J13" s="466" t="s">
        <v>173</v>
      </c>
      <c r="K13" s="466" t="s">
        <v>174</v>
      </c>
      <c r="L13" s="465" t="s">
        <v>211</v>
      </c>
      <c r="M13" s="466" t="s">
        <v>175</v>
      </c>
      <c r="N13" s="467" t="s">
        <v>176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MD-4TH-P</v>
      </c>
      <c r="E16" s="187" t="str">
        <f>Pricing!C4</f>
        <v>M15000</v>
      </c>
      <c r="F16" s="187" t="str">
        <f>Pricing!D4</f>
        <v>FRENCH DOOR WITH FIXED GLASS</v>
      </c>
      <c r="G16" s="187" t="str">
        <f>Pricing!N4</f>
        <v>24MM</v>
      </c>
      <c r="H16" s="187" t="str">
        <f>Pricing!F4</f>
        <v>NA</v>
      </c>
      <c r="I16" s="216" t="str">
        <f>Pricing!E4</f>
        <v>RETRACTABLE</v>
      </c>
      <c r="J16" s="216">
        <f>Pricing!G4</f>
        <v>2440</v>
      </c>
      <c r="K16" s="216">
        <f>Pricing!H4</f>
        <v>2440</v>
      </c>
      <c r="L16" s="216">
        <f>Pricing!I4</f>
        <v>1</v>
      </c>
      <c r="M16" s="188">
        <f t="shared" ref="M16:M24" si="0">J16*K16*L16/1000000</f>
        <v>5.9535999999999998</v>
      </c>
      <c r="N16" s="189">
        <f>'Cost Calculation'!AS8</f>
        <v>259295.23578638682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FDA-FDB-4TH-P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NA</v>
      </c>
      <c r="I17" s="216" t="str">
        <f>Pricing!E5</f>
        <v>SS</v>
      </c>
      <c r="J17" s="216">
        <f>Pricing!G5</f>
        <v>2440</v>
      </c>
      <c r="K17" s="216">
        <f>Pricing!H5</f>
        <v>2440</v>
      </c>
      <c r="L17" s="216">
        <f>Pricing!I5</f>
        <v>1</v>
      </c>
      <c r="M17" s="188">
        <f t="shared" si="0"/>
        <v>5.9535999999999998</v>
      </c>
      <c r="N17" s="189">
        <f>'Cost Calculation'!AS9</f>
        <v>148589.30379305524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FDB-4TH-P</v>
      </c>
      <c r="E18" s="187" t="str">
        <f>Pricing!C6</f>
        <v>M14600</v>
      </c>
      <c r="F18" s="187" t="str">
        <f>Pricing!D6</f>
        <v>3 TRACK 2 SHUTTER SLIDING DOOR</v>
      </c>
      <c r="G18" s="187" t="str">
        <f>Pricing!N6</f>
        <v>24MM</v>
      </c>
      <c r="H18" s="187" t="str">
        <f>Pricing!F6</f>
        <v>NA</v>
      </c>
      <c r="I18" s="216" t="str">
        <f>Pricing!E6</f>
        <v>SS</v>
      </c>
      <c r="J18" s="216">
        <f>Pricing!G6</f>
        <v>1830</v>
      </c>
      <c r="K18" s="216">
        <f>Pricing!H6</f>
        <v>2440</v>
      </c>
      <c r="L18" s="216">
        <f>Pricing!I6</f>
        <v>1</v>
      </c>
      <c r="M18" s="188">
        <f t="shared" si="0"/>
        <v>4.4652000000000003</v>
      </c>
      <c r="N18" s="189">
        <f>'Cost Calculation'!AS10</f>
        <v>131144.25757570466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DDA-4TH-P</v>
      </c>
      <c r="E19" s="187" t="str">
        <f>Pricing!C7</f>
        <v>M15000</v>
      </c>
      <c r="F19" s="187" t="str">
        <f>Pricing!D7</f>
        <v>FRENCH DOOR</v>
      </c>
      <c r="G19" s="187" t="str">
        <f>Pricing!N7</f>
        <v>24MM</v>
      </c>
      <c r="H19" s="187" t="str">
        <f>Pricing!F7</f>
        <v>NA</v>
      </c>
      <c r="I19" s="216" t="str">
        <f>Pricing!E7</f>
        <v>RETRACTABLE</v>
      </c>
      <c r="J19" s="216">
        <f>Pricing!G7</f>
        <v>1372</v>
      </c>
      <c r="K19" s="216">
        <f>Pricing!H7</f>
        <v>2440</v>
      </c>
      <c r="L19" s="216">
        <f>Pricing!I7</f>
        <v>1</v>
      </c>
      <c r="M19" s="188">
        <f t="shared" si="0"/>
        <v>3.34768</v>
      </c>
      <c r="N19" s="189">
        <f>'Cost Calculation'!AS11</f>
        <v>168132.94235286408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DA-LH-4TH-P</v>
      </c>
      <c r="E20" s="187" t="str">
        <f>Pricing!C8</f>
        <v>M15000</v>
      </c>
      <c r="F20" s="187" t="str">
        <f>Pricing!D8</f>
        <v>SIDE HUNG DOOR</v>
      </c>
      <c r="G20" s="187" t="str">
        <f>Pricing!N8</f>
        <v>24MM</v>
      </c>
      <c r="H20" s="187" t="str">
        <f>Pricing!F8</f>
        <v>NA</v>
      </c>
      <c r="I20" s="216" t="str">
        <f>Pricing!E8</f>
        <v>NO</v>
      </c>
      <c r="J20" s="216">
        <f>Pricing!G8</f>
        <v>1068</v>
      </c>
      <c r="K20" s="216">
        <f>Pricing!H8</f>
        <v>2440</v>
      </c>
      <c r="L20" s="216">
        <f>Pricing!I8</f>
        <v>1</v>
      </c>
      <c r="M20" s="188">
        <f t="shared" si="0"/>
        <v>2.6059199999999998</v>
      </c>
      <c r="N20" s="189">
        <f>'Cost Calculation'!AS12</f>
        <v>89636.323722997011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D1A-4TH-P</v>
      </c>
      <c r="E21" s="187" t="str">
        <f>Pricing!C9</f>
        <v>M15000</v>
      </c>
      <c r="F21" s="187" t="str">
        <f>Pricing!D9</f>
        <v>SIDE HUNG DOOR</v>
      </c>
      <c r="G21" s="187" t="str">
        <f>Pricing!N9</f>
        <v>24MM</v>
      </c>
      <c r="H21" s="187" t="str">
        <f>Pricing!F9</f>
        <v>NA</v>
      </c>
      <c r="I21" s="216" t="str">
        <f>Pricing!E9</f>
        <v>NO</v>
      </c>
      <c r="J21" s="216">
        <f>Pricing!G9</f>
        <v>992</v>
      </c>
      <c r="K21" s="216">
        <f>Pricing!H9</f>
        <v>2440</v>
      </c>
      <c r="L21" s="216">
        <f>Pricing!I9</f>
        <v>2</v>
      </c>
      <c r="M21" s="188">
        <f t="shared" si="0"/>
        <v>4.8409599999999999</v>
      </c>
      <c r="N21" s="189">
        <f>'Cost Calculation'!AS13</f>
        <v>161336.5344537601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D1A-LH-4TH-P</v>
      </c>
      <c r="E22" s="187" t="str">
        <f>Pricing!C10</f>
        <v>M15000</v>
      </c>
      <c r="F22" s="187" t="str">
        <f>Pricing!D10</f>
        <v>SIDE HUNG DOOR</v>
      </c>
      <c r="G22" s="187" t="str">
        <f>Pricing!N10</f>
        <v>24MM</v>
      </c>
      <c r="H22" s="187" t="str">
        <f>Pricing!F10</f>
        <v>NA</v>
      </c>
      <c r="I22" s="216" t="str">
        <f>Pricing!E10</f>
        <v>NO</v>
      </c>
      <c r="J22" s="216">
        <f>Pricing!G10</f>
        <v>992</v>
      </c>
      <c r="K22" s="216">
        <f>Pricing!H10</f>
        <v>2440</v>
      </c>
      <c r="L22" s="216">
        <f>Pricing!I10</f>
        <v>1</v>
      </c>
      <c r="M22" s="188">
        <f t="shared" si="0"/>
        <v>2.42048</v>
      </c>
      <c r="N22" s="189">
        <f>'Cost Calculation'!AS14</f>
        <v>87802.947965221028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D2A-LH-4TH-P</v>
      </c>
      <c r="E23" s="187" t="str">
        <f>Pricing!C11</f>
        <v>M15000</v>
      </c>
      <c r="F23" s="187" t="str">
        <f>Pricing!D11</f>
        <v>SIDE HUNG DOOR</v>
      </c>
      <c r="G23" s="187" t="str">
        <f>Pricing!N11</f>
        <v>24MM</v>
      </c>
      <c r="H23" s="187" t="str">
        <f>Pricing!F11</f>
        <v>NA</v>
      </c>
      <c r="I23" s="216" t="str">
        <f>Pricing!E11</f>
        <v>NO</v>
      </c>
      <c r="J23" s="216">
        <f>Pricing!G11</f>
        <v>840</v>
      </c>
      <c r="K23" s="216">
        <f>Pricing!H11</f>
        <v>2440</v>
      </c>
      <c r="L23" s="216">
        <f>Pricing!I11</f>
        <v>5</v>
      </c>
      <c r="M23" s="188">
        <f t="shared" si="0"/>
        <v>10.247999999999999</v>
      </c>
      <c r="N23" s="189">
        <f>'Cost Calculation'!AS15</f>
        <v>385794.57824295724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O-LH-4TH-P</v>
      </c>
      <c r="E24" s="187" t="str">
        <f>Pricing!C12</f>
        <v>M15000</v>
      </c>
      <c r="F24" s="187" t="str">
        <f>Pricing!D12</f>
        <v>SIDE HUNG DOOR</v>
      </c>
      <c r="G24" s="187" t="str">
        <f>Pricing!N12</f>
        <v>24MM</v>
      </c>
      <c r="H24" s="187" t="str">
        <f>Pricing!F12</f>
        <v>NA</v>
      </c>
      <c r="I24" s="216" t="str">
        <f>Pricing!E12</f>
        <v>NO</v>
      </c>
      <c r="J24" s="216">
        <f>Pricing!G12</f>
        <v>840</v>
      </c>
      <c r="K24" s="216">
        <f>Pricing!H12</f>
        <v>2440</v>
      </c>
      <c r="L24" s="216">
        <f>Pricing!I12</f>
        <v>1</v>
      </c>
      <c r="M24" s="188">
        <f t="shared" si="0"/>
        <v>2.0495999999999999</v>
      </c>
      <c r="N24" s="189">
        <f>'Cost Calculation'!AS16</f>
        <v>77158.915648591457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WA1-4TH-P</v>
      </c>
      <c r="E25" s="187" t="str">
        <f>Pricing!C13</f>
        <v>M14600</v>
      </c>
      <c r="F25" s="187" t="str">
        <f>Pricing!D13</f>
        <v>3 TRACK 4 SHUTTER SLIDING DOOR</v>
      </c>
      <c r="G25" s="187" t="str">
        <f>Pricing!N13</f>
        <v>24MM</v>
      </c>
      <c r="H25" s="187" t="str">
        <f>Pricing!F13</f>
        <v>NA</v>
      </c>
      <c r="I25" s="216" t="str">
        <f>Pricing!E13</f>
        <v>SS</v>
      </c>
      <c r="J25" s="216">
        <f>Pricing!G13</f>
        <v>3658</v>
      </c>
      <c r="K25" s="216">
        <f>Pricing!H13</f>
        <v>2440</v>
      </c>
      <c r="L25" s="216">
        <f>Pricing!I13</f>
        <v>1</v>
      </c>
      <c r="M25" s="188">
        <f t="shared" ref="M25:M42" si="1">J25*K25*L25/1000000</f>
        <v>8.9255200000000006</v>
      </c>
      <c r="N25" s="189">
        <f>'Cost Calculation'!AS17</f>
        <v>278439.35386848799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WA2-4TH-P</v>
      </c>
      <c r="E26" s="187" t="str">
        <f>Pricing!C14</f>
        <v>M900</v>
      </c>
      <c r="F26" s="187" t="str">
        <f>Pricing!D14</f>
        <v>3 TRACK 2 SHUTTER SLIDING WINDOW</v>
      </c>
      <c r="G26" s="187" t="str">
        <f>Pricing!N14</f>
        <v>20MM</v>
      </c>
      <c r="H26" s="187" t="str">
        <f>Pricing!F14</f>
        <v>NA</v>
      </c>
      <c r="I26" s="216" t="str">
        <f>Pricing!E14</f>
        <v>SS</v>
      </c>
      <c r="J26" s="216">
        <f>Pricing!G14</f>
        <v>2240</v>
      </c>
      <c r="K26" s="216">
        <f>Pricing!H14</f>
        <v>1830</v>
      </c>
      <c r="L26" s="216">
        <f>Pricing!I14</f>
        <v>1</v>
      </c>
      <c r="M26" s="188">
        <f t="shared" si="1"/>
        <v>4.0991999999999997</v>
      </c>
      <c r="N26" s="189">
        <f>'Cost Calculation'!AS18</f>
        <v>62578.60113252468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W1B-4TH-P</v>
      </c>
      <c r="E27" s="187" t="str">
        <f>Pricing!C15</f>
        <v>M900</v>
      </c>
      <c r="F27" s="187" t="str">
        <f>Pricing!D15</f>
        <v>3 TRACK 2 SHUTTER SLIDING WINDOW</v>
      </c>
      <c r="G27" s="187" t="str">
        <f>Pricing!N15</f>
        <v>20MM</v>
      </c>
      <c r="H27" s="187" t="str">
        <f>Pricing!F15</f>
        <v>NA</v>
      </c>
      <c r="I27" s="216" t="str">
        <f>Pricing!E15</f>
        <v>SS</v>
      </c>
      <c r="J27" s="216">
        <f>Pricing!G15</f>
        <v>1830</v>
      </c>
      <c r="K27" s="216">
        <f>Pricing!H15</f>
        <v>1982</v>
      </c>
      <c r="L27" s="216">
        <f>Pricing!I15</f>
        <v>3</v>
      </c>
      <c r="M27" s="188">
        <f t="shared" si="1"/>
        <v>10.881180000000001</v>
      </c>
      <c r="N27" s="189">
        <f>'Cost Calculation'!AS19</f>
        <v>177283.44481692865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W2A-4TH-P</v>
      </c>
      <c r="E28" s="187" t="str">
        <f>Pricing!C16</f>
        <v>M14600</v>
      </c>
      <c r="F28" s="187" t="str">
        <f>Pricing!D16</f>
        <v>3 TRACK 2 SHUTTER SLIDING DOOR</v>
      </c>
      <c r="G28" s="187" t="str">
        <f>Pricing!N16</f>
        <v>24MM</v>
      </c>
      <c r="H28" s="187" t="str">
        <f>Pricing!F16</f>
        <v>NA</v>
      </c>
      <c r="I28" s="216" t="str">
        <f>Pricing!E16</f>
        <v>SS</v>
      </c>
      <c r="J28" s="216">
        <f>Pricing!G16</f>
        <v>2134</v>
      </c>
      <c r="K28" s="216">
        <f>Pricing!H16</f>
        <v>2440</v>
      </c>
      <c r="L28" s="216">
        <f>Pricing!I16</f>
        <v>2</v>
      </c>
      <c r="M28" s="188">
        <f t="shared" si="1"/>
        <v>10.413919999999999</v>
      </c>
      <c r="N28" s="189">
        <f>'Cost Calculation'!AS20</f>
        <v>279675.64046390716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W3A-4TH-P</v>
      </c>
      <c r="E29" s="187" t="str">
        <f>Pricing!C17</f>
        <v>M900</v>
      </c>
      <c r="F29" s="187" t="str">
        <f>Pricing!D17</f>
        <v>3 TRACK 2 SHUTTER SLIDING WINDOW</v>
      </c>
      <c r="G29" s="187" t="str">
        <f>Pricing!N17</f>
        <v>20MM</v>
      </c>
      <c r="H29" s="187" t="str">
        <f>Pricing!F17</f>
        <v>NA</v>
      </c>
      <c r="I29" s="216" t="str">
        <f>Pricing!E17</f>
        <v>SS</v>
      </c>
      <c r="J29" s="216">
        <f>Pricing!G17</f>
        <v>1220</v>
      </c>
      <c r="K29" s="216">
        <f>Pricing!H17</f>
        <v>1220</v>
      </c>
      <c r="L29" s="216">
        <f>Pricing!I17</f>
        <v>2</v>
      </c>
      <c r="M29" s="188">
        <f t="shared" si="1"/>
        <v>2.9767999999999999</v>
      </c>
      <c r="N29" s="189">
        <f>'Cost Calculation'!AS21</f>
        <v>70594.905252543176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VENT-VA-4TH-P</v>
      </c>
      <c r="E30" s="187" t="str">
        <f>Pricing!C18</f>
        <v>M940</v>
      </c>
      <c r="F30" s="187" t="str">
        <f>Pricing!D18</f>
        <v>FIXED GLASS WITH GLASS LOUVERS &amp; EXHAUST FAN PROVISION</v>
      </c>
      <c r="G30" s="187" t="str">
        <f>Pricing!N18</f>
        <v>6MM (F)</v>
      </c>
      <c r="H30" s="187" t="str">
        <f>Pricing!F18</f>
        <v>NA</v>
      </c>
      <c r="I30" s="216" t="str">
        <f>Pricing!E18</f>
        <v>NO</v>
      </c>
      <c r="J30" s="216">
        <f>Pricing!G18</f>
        <v>762</v>
      </c>
      <c r="K30" s="216">
        <f>Pricing!H18</f>
        <v>610</v>
      </c>
      <c r="L30" s="216">
        <f>Pricing!I18</f>
        <v>4</v>
      </c>
      <c r="M30" s="188">
        <f t="shared" si="1"/>
        <v>1.85928</v>
      </c>
      <c r="N30" s="189">
        <f>'Cost Calculation'!AS22</f>
        <v>68776.765171510211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W4-PUJA-4TH-P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24MM</v>
      </c>
      <c r="H31" s="187" t="str">
        <f>Pricing!F19</f>
        <v>NA</v>
      </c>
      <c r="I31" s="216" t="str">
        <f>Pricing!E19</f>
        <v>NO</v>
      </c>
      <c r="J31" s="216">
        <f>Pricing!G19</f>
        <v>762</v>
      </c>
      <c r="K31" s="216">
        <f>Pricing!H19</f>
        <v>1524</v>
      </c>
      <c r="L31" s="216">
        <f>Pricing!I19</f>
        <v>1</v>
      </c>
      <c r="M31" s="188">
        <f t="shared" si="1"/>
        <v>1.1612880000000001</v>
      </c>
      <c r="N31" s="189">
        <f>'Cost Calculation'!AS23</f>
        <v>18688.310528418817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FDA-5TH-Q</v>
      </c>
      <c r="E32" s="187" t="str">
        <f>Pricing!C20</f>
        <v>M14600</v>
      </c>
      <c r="F32" s="187" t="str">
        <f>Pricing!D20</f>
        <v>3 TRACK 2 SHUTTER SLIDING DOOR</v>
      </c>
      <c r="G32" s="187" t="str">
        <f>Pricing!N20</f>
        <v>24MM</v>
      </c>
      <c r="H32" s="187" t="str">
        <f>Pricing!F20</f>
        <v>NA</v>
      </c>
      <c r="I32" s="216" t="str">
        <f>Pricing!E20</f>
        <v>SS</v>
      </c>
      <c r="J32" s="216">
        <f>Pricing!G20</f>
        <v>2440</v>
      </c>
      <c r="K32" s="216">
        <f>Pricing!H20</f>
        <v>2440</v>
      </c>
      <c r="L32" s="216">
        <f>Pricing!I20</f>
        <v>1</v>
      </c>
      <c r="M32" s="188">
        <f t="shared" si="1"/>
        <v>5.9535999999999998</v>
      </c>
      <c r="N32" s="189">
        <f>'Cost Calculation'!AS24</f>
        <v>148589.30379305524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DA-5TH-Q</v>
      </c>
      <c r="E33" s="187" t="str">
        <f>Pricing!C21</f>
        <v>M15000</v>
      </c>
      <c r="F33" s="187" t="str">
        <f>Pricing!D21</f>
        <v>SIDE HUNG DOOR</v>
      </c>
      <c r="G33" s="187" t="str">
        <f>Pricing!N21</f>
        <v>24MM</v>
      </c>
      <c r="H33" s="187" t="str">
        <f>Pricing!F21</f>
        <v>NA</v>
      </c>
      <c r="I33" s="216" t="str">
        <f>Pricing!E21</f>
        <v>NO</v>
      </c>
      <c r="J33" s="216">
        <f>Pricing!G21</f>
        <v>1068</v>
      </c>
      <c r="K33" s="216">
        <f>Pricing!H21</f>
        <v>2440</v>
      </c>
      <c r="L33" s="216">
        <f>Pricing!I21</f>
        <v>1</v>
      </c>
      <c r="M33" s="188">
        <f t="shared" si="1"/>
        <v>2.6059199999999998</v>
      </c>
      <c r="N33" s="189">
        <f>'Cost Calculation'!AS25</f>
        <v>89636.323722997011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D1A-5TH-Q</v>
      </c>
      <c r="E34" s="187" t="str">
        <f>Pricing!C22</f>
        <v>M15000</v>
      </c>
      <c r="F34" s="187" t="str">
        <f>Pricing!D22</f>
        <v>SIDE HUNG DOOR</v>
      </c>
      <c r="G34" s="187" t="str">
        <f>Pricing!N22</f>
        <v>24MM</v>
      </c>
      <c r="H34" s="187" t="str">
        <f>Pricing!F22</f>
        <v>NA</v>
      </c>
      <c r="I34" s="216" t="str">
        <f>Pricing!E22</f>
        <v>NO</v>
      </c>
      <c r="J34" s="216">
        <f>Pricing!G22</f>
        <v>992</v>
      </c>
      <c r="K34" s="216">
        <f>Pricing!H22</f>
        <v>2440</v>
      </c>
      <c r="L34" s="216">
        <f>Pricing!I22</f>
        <v>4</v>
      </c>
      <c r="M34" s="188">
        <f t="shared" si="1"/>
        <v>9.6819199999999999</v>
      </c>
      <c r="N34" s="189">
        <f>'Cost Calculation'!AS26</f>
        <v>322673.06890752021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D2A-5TH-Q</v>
      </c>
      <c r="E35" s="187" t="str">
        <f>Pricing!C23</f>
        <v>M15000</v>
      </c>
      <c r="F35" s="187" t="str">
        <f>Pricing!D23</f>
        <v>SIDE HUNG DOOR</v>
      </c>
      <c r="G35" s="187" t="str">
        <f>Pricing!N23</f>
        <v>24MM</v>
      </c>
      <c r="H35" s="187" t="str">
        <f>Pricing!F23</f>
        <v>NA</v>
      </c>
      <c r="I35" s="216" t="str">
        <f>Pricing!E23</f>
        <v>NO</v>
      </c>
      <c r="J35" s="216">
        <f>Pricing!G23</f>
        <v>840</v>
      </c>
      <c r="K35" s="216">
        <f>Pricing!H23</f>
        <v>2440</v>
      </c>
      <c r="L35" s="216">
        <f>Pricing!I23</f>
        <v>3</v>
      </c>
      <c r="M35" s="188">
        <f t="shared" si="1"/>
        <v>6.1487999999999996</v>
      </c>
      <c r="N35" s="189">
        <f>'Cost Calculation'!AS27</f>
        <v>231476.74694577439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WA1-5TH-Q</v>
      </c>
      <c r="E36" s="187" t="str">
        <f>Pricing!C24</f>
        <v>M14600</v>
      </c>
      <c r="F36" s="187" t="str">
        <f>Pricing!D24</f>
        <v>3 TRACK 2 SHUTTER SLIDING DOOR</v>
      </c>
      <c r="G36" s="187" t="str">
        <f>Pricing!N24</f>
        <v>24MM</v>
      </c>
      <c r="H36" s="187" t="str">
        <f>Pricing!F24</f>
        <v>NA</v>
      </c>
      <c r="I36" s="216" t="str">
        <f>Pricing!E24</f>
        <v>SS</v>
      </c>
      <c r="J36" s="216">
        <f>Pricing!G24</f>
        <v>3658</v>
      </c>
      <c r="K36" s="216">
        <f>Pricing!H24</f>
        <v>2440</v>
      </c>
      <c r="L36" s="216">
        <f>Pricing!I24</f>
        <v>1</v>
      </c>
      <c r="M36" s="188">
        <f t="shared" si="1"/>
        <v>8.9255200000000006</v>
      </c>
      <c r="N36" s="189">
        <f>'Cost Calculation'!AS28</f>
        <v>278439.35386848799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W1B-5TH-Q</v>
      </c>
      <c r="E37" s="187" t="str">
        <f>Pricing!C25</f>
        <v>M900</v>
      </c>
      <c r="F37" s="187" t="str">
        <f>Pricing!D25</f>
        <v>3 TRACK 2 SHUTTER SLIDING WINDOW</v>
      </c>
      <c r="G37" s="187" t="str">
        <f>Pricing!N25</f>
        <v>20MM</v>
      </c>
      <c r="H37" s="187" t="str">
        <f>Pricing!F25</f>
        <v>NA</v>
      </c>
      <c r="I37" s="216" t="str">
        <f>Pricing!E25</f>
        <v>SS</v>
      </c>
      <c r="J37" s="216">
        <f>Pricing!G25</f>
        <v>1830</v>
      </c>
      <c r="K37" s="216">
        <f>Pricing!H25</f>
        <v>1982</v>
      </c>
      <c r="L37" s="216">
        <f>Pricing!I25</f>
        <v>4</v>
      </c>
      <c r="M37" s="188">
        <f t="shared" si="1"/>
        <v>14.508240000000001</v>
      </c>
      <c r="N37" s="189">
        <f>'Cost Calculation'!AS29</f>
        <v>236377.9264225715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W2A-5TH-Q</v>
      </c>
      <c r="E38" s="187" t="str">
        <f>Pricing!C26</f>
        <v>M14600</v>
      </c>
      <c r="F38" s="187" t="str">
        <f>Pricing!D26</f>
        <v>3 TRACK 2 SHUTTER SLIDING DOOR</v>
      </c>
      <c r="G38" s="187" t="str">
        <f>Pricing!N26</f>
        <v>24MM</v>
      </c>
      <c r="H38" s="187" t="str">
        <f>Pricing!F26</f>
        <v>NA</v>
      </c>
      <c r="I38" s="216" t="str">
        <f>Pricing!E26</f>
        <v>SS</v>
      </c>
      <c r="J38" s="216">
        <f>Pricing!G26</f>
        <v>2134</v>
      </c>
      <c r="K38" s="216">
        <f>Pricing!H26</f>
        <v>2440</v>
      </c>
      <c r="L38" s="216">
        <f>Pricing!I26</f>
        <v>2</v>
      </c>
      <c r="M38" s="188">
        <f t="shared" si="1"/>
        <v>10.413919999999999</v>
      </c>
      <c r="N38" s="189">
        <f>'Cost Calculation'!AS30</f>
        <v>279675.64046390716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W2B-5TH-Q</v>
      </c>
      <c r="E39" s="187" t="str">
        <f>Pricing!C27</f>
        <v>M900</v>
      </c>
      <c r="F39" s="187" t="str">
        <f>Pricing!D27</f>
        <v>3 TRACK 2 SHUTTER SLIDING WINDOW</v>
      </c>
      <c r="G39" s="187" t="str">
        <f>Pricing!N27</f>
        <v>20MM</v>
      </c>
      <c r="H39" s="187" t="str">
        <f>Pricing!F27</f>
        <v>NA</v>
      </c>
      <c r="I39" s="216" t="str">
        <f>Pricing!E27</f>
        <v>SS</v>
      </c>
      <c r="J39" s="216">
        <f>Pricing!G27</f>
        <v>1220</v>
      </c>
      <c r="K39" s="216">
        <f>Pricing!H27</f>
        <v>1524</v>
      </c>
      <c r="L39" s="216">
        <f>Pricing!I27</f>
        <v>1</v>
      </c>
      <c r="M39" s="188">
        <f t="shared" si="1"/>
        <v>1.85928</v>
      </c>
      <c r="N39" s="189">
        <f>'Cost Calculation'!AS31</f>
        <v>40509.829695165317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VA-5TH-Q</v>
      </c>
      <c r="E40" s="187" t="str">
        <f>Pricing!C28</f>
        <v>M940</v>
      </c>
      <c r="F40" s="187" t="str">
        <f>Pricing!D28</f>
        <v>FIXED GLASS WITH GLASS LOUVERS &amp; EXHAUST FAN PROVISION</v>
      </c>
      <c r="G40" s="187" t="str">
        <f>Pricing!N28</f>
        <v>6MM (F)</v>
      </c>
      <c r="H40" s="187" t="str">
        <f>Pricing!F28</f>
        <v>NA</v>
      </c>
      <c r="I40" s="216" t="str">
        <f>Pricing!E28</f>
        <v>NO</v>
      </c>
      <c r="J40" s="216">
        <f>Pricing!G28</f>
        <v>762</v>
      </c>
      <c r="K40" s="216">
        <f>Pricing!H28</f>
        <v>610</v>
      </c>
      <c r="L40" s="216">
        <f>Pricing!I28</f>
        <v>3</v>
      </c>
      <c r="M40" s="188">
        <f t="shared" si="1"/>
        <v>1.39446</v>
      </c>
      <c r="N40" s="189">
        <f>'Cost Calculation'!AS32</f>
        <v>51582.573878632669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W3B-5TH-Q</v>
      </c>
      <c r="E41" s="187" t="str">
        <f>Pricing!C29</f>
        <v>M15000</v>
      </c>
      <c r="F41" s="187" t="str">
        <f>Pricing!D29</f>
        <v>SIDE HUNG DOOR</v>
      </c>
      <c r="G41" s="187" t="str">
        <f>Pricing!N29</f>
        <v>24MM</v>
      </c>
      <c r="H41" s="187" t="str">
        <f>Pricing!F29</f>
        <v>NA</v>
      </c>
      <c r="I41" s="216" t="str">
        <f>Pricing!E29</f>
        <v>NO</v>
      </c>
      <c r="J41" s="216">
        <f>Pricing!G29</f>
        <v>916</v>
      </c>
      <c r="K41" s="216">
        <f>Pricing!H29</f>
        <v>2744</v>
      </c>
      <c r="L41" s="216">
        <f>Pricing!I29</f>
        <v>1</v>
      </c>
      <c r="M41" s="188">
        <f t="shared" si="1"/>
        <v>2.5135040000000002</v>
      </c>
      <c r="N41" s="189">
        <f>'Cost Calculation'!AS33</f>
        <v>83459.066844983317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WA4-5TH-Q</v>
      </c>
      <c r="E42" s="187" t="str">
        <f>Pricing!C30</f>
        <v>M14600</v>
      </c>
      <c r="F42" s="187" t="str">
        <f>Pricing!D30</f>
        <v>3 TRACK 2 SHUTTER SLIDING DOOR</v>
      </c>
      <c r="G42" s="187" t="str">
        <f>Pricing!N30</f>
        <v>24MM</v>
      </c>
      <c r="H42" s="187" t="str">
        <f>Pricing!F30</f>
        <v>NA</v>
      </c>
      <c r="I42" s="216" t="str">
        <f>Pricing!E30</f>
        <v>SS</v>
      </c>
      <c r="J42" s="216">
        <f>Pricing!G30</f>
        <v>2440</v>
      </c>
      <c r="K42" s="216">
        <f>Pricing!H30</f>
        <v>2744</v>
      </c>
      <c r="L42" s="216">
        <f>Pricing!I30</f>
        <v>1</v>
      </c>
      <c r="M42" s="188">
        <f t="shared" si="1"/>
        <v>6.69536</v>
      </c>
      <c r="N42" s="189">
        <f>'Cost Calculation'!AS34</f>
        <v>160170.09813432925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50</v>
      </c>
      <c r="M116" s="191">
        <f>SUM(M16:M115)</f>
        <v>152.90275200000002</v>
      </c>
      <c r="N116" s="186"/>
      <c r="O116" s="95"/>
    </row>
    <row r="117" spans="2:15" s="94" customFormat="1" ht="30" customHeight="1" thickTop="1" thickBot="1">
      <c r="B117" s="422" t="s">
        <v>181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4387518</v>
      </c>
      <c r="O117" s="95">
        <f>N117/SUM(M116)</f>
        <v>28694.826892324341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789753</v>
      </c>
      <c r="O118" s="95">
        <f>N118/SUM(M116)</f>
        <v>5165.0672709932642</v>
      </c>
    </row>
    <row r="119" spans="2:15" s="94" customFormat="1" ht="30" customHeight="1" thickTop="1" thickBot="1">
      <c r="B119" s="422" t="s">
        <v>182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5177271</v>
      </c>
      <c r="O119" s="95">
        <f>N119/SUM(M116)</f>
        <v>33859.894163317607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2665.8144641698573</v>
      </c>
    </row>
    <row r="121" spans="2:15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207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374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470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471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139" customFormat="1" ht="30" customHeight="1">
      <c r="B128" s="425" t="s">
        <v>140</v>
      </c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  <c r="O128" s="138"/>
    </row>
    <row r="129" spans="2:14" s="93" customFormat="1" ht="24.95" customHeight="1">
      <c r="B129" s="410">
        <v>1</v>
      </c>
      <c r="C129" s="411"/>
      <c r="D129" s="412" t="s">
        <v>364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2</v>
      </c>
      <c r="C130" s="411"/>
      <c r="D130" s="412" t="s">
        <v>390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3</v>
      </c>
      <c r="C131" s="411"/>
      <c r="D131" s="414" t="s">
        <v>406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0">
        <v>4</v>
      </c>
      <c r="C132" s="411"/>
      <c r="D132" s="414" t="s">
        <v>407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0">
        <v>1</v>
      </c>
      <c r="C134" s="411"/>
      <c r="D134" s="412" t="s">
        <v>142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2</v>
      </c>
      <c r="C135" s="411"/>
      <c r="D135" s="412" t="s">
        <v>143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3</v>
      </c>
      <c r="C136" s="411"/>
      <c r="D136" s="412" t="s">
        <v>144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0">
        <v>1</v>
      </c>
      <c r="C139" s="411"/>
      <c r="D139" s="412" t="s">
        <v>147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2</v>
      </c>
      <c r="C140" s="411"/>
      <c r="D140" s="412" t="s">
        <v>403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3</v>
      </c>
      <c r="C141" s="411"/>
      <c r="D141" s="412" t="s">
        <v>148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4</v>
      </c>
      <c r="C142" s="411"/>
      <c r="D142" s="412" t="s">
        <v>149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5</v>
      </c>
      <c r="C143" s="411"/>
      <c r="D143" s="412" t="s">
        <v>150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6</v>
      </c>
      <c r="C144" s="411"/>
      <c r="D144" s="412" t="s">
        <v>151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0">
        <v>1</v>
      </c>
      <c r="C146" s="411"/>
      <c r="D146" s="412" t="s">
        <v>153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135" customHeight="1">
      <c r="B147" s="410">
        <v>2</v>
      </c>
      <c r="C147" s="411"/>
      <c r="D147" s="499" t="s">
        <v>154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0">
        <v>3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24.95" customHeight="1">
      <c r="B149" s="410">
        <v>4</v>
      </c>
      <c r="C149" s="411"/>
      <c r="D149" s="412" t="s">
        <v>156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140" customFormat="1" ht="30" customHeight="1">
      <c r="B150" s="496" t="s">
        <v>157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0">
        <v>1</v>
      </c>
      <c r="C151" s="411"/>
      <c r="D151" s="412" t="s">
        <v>158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93" customFormat="1" ht="55.9" customHeight="1">
      <c r="B152" s="410">
        <v>2</v>
      </c>
      <c r="C152" s="411"/>
      <c r="D152" s="499" t="s">
        <v>159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160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0">
        <v>1</v>
      </c>
      <c r="C154" s="411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0">
        <v>2</v>
      </c>
      <c r="C155" s="411"/>
      <c r="D155" s="474" t="s">
        <v>162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0">
        <v>3</v>
      </c>
      <c r="C156" s="411"/>
      <c r="D156" s="493" t="s">
        <v>163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0">
        <v>4</v>
      </c>
      <c r="C157" s="411"/>
      <c r="D157" s="474" t="s">
        <v>164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165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0">
        <v>1</v>
      </c>
      <c r="C159" s="411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2</v>
      </c>
      <c r="C160" s="411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3</v>
      </c>
      <c r="C161" s="411"/>
      <c r="D161" s="474" t="s">
        <v>168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0">
        <v>4</v>
      </c>
      <c r="C162" s="411"/>
      <c r="D162" s="474" t="s">
        <v>402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241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205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43680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Hari Prasad</v>
      </c>
      <c r="E3" s="519"/>
      <c r="F3" s="522" t="s">
        <v>246</v>
      </c>
      <c r="G3" s="523">
        <f>QUOTATION!N8</f>
        <v>43680</v>
      </c>
    </row>
    <row r="4" spans="3:13">
      <c r="C4" s="297" t="s">
        <v>243</v>
      </c>
      <c r="D4" s="520" t="str">
        <f>QUOTATION!M6</f>
        <v>ABPL-DE-19.20-2141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169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377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43680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14443.320000000003</v>
      </c>
      <c r="F14" s="205"/>
      <c r="G14" s="206">
        <f>E14</f>
        <v>14443.320000000003</v>
      </c>
    </row>
    <row r="15" spans="3:13">
      <c r="C15" s="194" t="s">
        <v>235</v>
      </c>
      <c r="D15" s="296">
        <f>'Changable Values'!D4</f>
        <v>83</v>
      </c>
      <c r="E15" s="199">
        <f>E14*D15</f>
        <v>1198795.5600000003</v>
      </c>
      <c r="F15" s="205"/>
      <c r="G15" s="207">
        <f>E15</f>
        <v>1198795.5600000003</v>
      </c>
    </row>
    <row r="16" spans="3:13">
      <c r="C16" s="195" t="s">
        <v>97</v>
      </c>
      <c r="D16" s="200">
        <f>'Changable Values'!D5</f>
        <v>0.1</v>
      </c>
      <c r="E16" s="199">
        <f>E15*D16</f>
        <v>119879.55600000004</v>
      </c>
      <c r="F16" s="208">
        <f>'Changable Values'!D5</f>
        <v>0.1</v>
      </c>
      <c r="G16" s="207">
        <f>G15*F16</f>
        <v>119879.55600000004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145054.26276000004</v>
      </c>
      <c r="F17" s="208">
        <f>'Changable Values'!D6</f>
        <v>0.11</v>
      </c>
      <c r="G17" s="207">
        <f>SUM(G15:G16)*F17</f>
        <v>145054.26276000004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7318.6468938000025</v>
      </c>
      <c r="F18" s="208">
        <f>'Changable Values'!D7</f>
        <v>5.0000000000000001E-3</v>
      </c>
      <c r="G18" s="207">
        <f>SUM(G15:G17)*F18</f>
        <v>7318.6468938000025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14710.480256538005</v>
      </c>
      <c r="F19" s="208">
        <f>'Changable Values'!D8</f>
        <v>0.01</v>
      </c>
      <c r="G19" s="207">
        <f>SUM(G15:G18)*F19</f>
        <v>14710.480256538005</v>
      </c>
    </row>
    <row r="20" spans="3:7">
      <c r="C20" s="195" t="s">
        <v>99</v>
      </c>
      <c r="D20" s="201"/>
      <c r="E20" s="199">
        <f>SUM(E15:E19)</f>
        <v>1485758.5059103384</v>
      </c>
      <c r="F20" s="208"/>
      <c r="G20" s="207">
        <f>SUM(G15:G19)</f>
        <v>1485758.5059103384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22286.377588655076</v>
      </c>
      <c r="F21" s="208">
        <f>'Changable Values'!D9</f>
        <v>1.4999999999999999E-2</v>
      </c>
      <c r="G21" s="207">
        <f>G20*F21</f>
        <v>22286.377588655076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417118.02497999999</v>
      </c>
      <c r="F23" s="209"/>
      <c r="G23" s="207">
        <f t="shared" si="0"/>
        <v>417118.02497999999</v>
      </c>
    </row>
    <row r="24" spans="3:7">
      <c r="C24" s="195" t="s">
        <v>230</v>
      </c>
      <c r="D24" s="198"/>
      <c r="E24" s="199">
        <f>'Cost Calculation'!AH111</f>
        <v>61881.851213114765</v>
      </c>
      <c r="F24" s="209"/>
      <c r="G24" s="207">
        <f t="shared" si="0"/>
        <v>61881.851213114765</v>
      </c>
    </row>
    <row r="25" spans="3:7">
      <c r="C25" s="196" t="s">
        <v>238</v>
      </c>
      <c r="D25" s="198"/>
      <c r="E25" s="199">
        <f>'Cost Calculation'!AJ109</f>
        <v>51705.595187999992</v>
      </c>
      <c r="F25" s="209"/>
      <c r="G25" s="207">
        <f t="shared" si="0"/>
        <v>51705.595187999992</v>
      </c>
    </row>
    <row r="26" spans="3:7">
      <c r="C26" s="196" t="s">
        <v>239</v>
      </c>
      <c r="D26" s="198"/>
      <c r="E26" s="199">
        <f>'Cost Calculation'!AK109</f>
        <v>90107.080127999987</v>
      </c>
      <c r="F26" s="209"/>
      <c r="G26" s="207">
        <f t="shared" si="0"/>
        <v>90107.080127999987</v>
      </c>
    </row>
    <row r="27" spans="3:7">
      <c r="C27" s="195" t="s">
        <v>86</v>
      </c>
      <c r="D27" s="198"/>
      <c r="E27" s="199">
        <f>'Cost Calculation'!AL109</f>
        <v>164584.52225279994</v>
      </c>
      <c r="F27" s="209"/>
      <c r="G27" s="207">
        <f t="shared" si="0"/>
        <v>164584.52225279994</v>
      </c>
    </row>
    <row r="28" spans="3:7">
      <c r="C28" s="195" t="s">
        <v>88</v>
      </c>
      <c r="D28" s="198"/>
      <c r="E28" s="199">
        <f>'Cost Calculation'!AN109</f>
        <v>131667.61780223995</v>
      </c>
      <c r="F28" s="209"/>
      <c r="G28" s="207">
        <f t="shared" si="0"/>
        <v>131667.61780223995</v>
      </c>
    </row>
    <row r="29" spans="3:7">
      <c r="C29" s="293" t="s">
        <v>380</v>
      </c>
      <c r="D29" s="294"/>
      <c r="E29" s="295">
        <f>SUM(E20:E28)</f>
        <v>2425109.575063148</v>
      </c>
      <c r="F29" s="209"/>
      <c r="G29" s="207">
        <f>SUM(G20:G21,G24)</f>
        <v>1569926.7347121083</v>
      </c>
    </row>
    <row r="30" spans="3:7">
      <c r="C30" s="293" t="s">
        <v>381</v>
      </c>
      <c r="D30" s="294"/>
      <c r="E30" s="295">
        <f>E29/E33</f>
        <v>1473.4736546722215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1962408.418390135</v>
      </c>
      <c r="F31" s="214">
        <f>'Changable Values'!D23</f>
        <v>1.25</v>
      </c>
      <c r="G31" s="207">
        <f>G29*F31</f>
        <v>1962408.4183901353</v>
      </c>
    </row>
    <row r="32" spans="3:7">
      <c r="C32" s="290" t="s">
        <v>5</v>
      </c>
      <c r="D32" s="291"/>
      <c r="E32" s="292">
        <f>E31+E29</f>
        <v>4387517.9934532829</v>
      </c>
      <c r="F32" s="205"/>
      <c r="G32" s="207">
        <f>SUM(G25:G31,G22:G23)</f>
        <v>4387517.9934532838</v>
      </c>
    </row>
    <row r="33" spans="3:7">
      <c r="C33" s="300" t="s">
        <v>231</v>
      </c>
      <c r="D33" s="301"/>
      <c r="E33" s="308">
        <f>'Cost Calculation'!K109</f>
        <v>1645.845222528</v>
      </c>
      <c r="F33" s="210"/>
      <c r="G33" s="211">
        <f>E33</f>
        <v>1645.845222528</v>
      </c>
    </row>
    <row r="34" spans="3:7">
      <c r="C34" s="302" t="s">
        <v>9</v>
      </c>
      <c r="D34" s="303"/>
      <c r="E34" s="304">
        <f>QUOTATION!L116</f>
        <v>50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2665.814460192134</v>
      </c>
      <c r="F35" s="212"/>
      <c r="G35" s="213">
        <f>G32/(G33)</f>
        <v>2665.8144601921344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2019-08-03T06:52:21Z</cp:lastPrinted>
  <dcterms:created xsi:type="dcterms:W3CDTF">2010-12-18T06:34:46Z</dcterms:created>
  <dcterms:modified xsi:type="dcterms:W3CDTF">2019-08-05T06:19:08Z</dcterms:modified>
</cp:coreProperties>
</file>