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8" i="158" l="1"/>
  <c r="Q16" i="158"/>
  <c r="Q13" i="158"/>
  <c r="Q12" i="158"/>
  <c r="Q7" i="158"/>
  <c r="Q6" i="158"/>
  <c r="Q5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AH26" i="159" s="1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4" i="160" l="1"/>
  <c r="AH22" i="159"/>
  <c r="AH30" i="159"/>
  <c r="AH38" i="159"/>
  <c r="AH46" i="159"/>
  <c r="AH54" i="159"/>
  <c r="AH9" i="159"/>
  <c r="AH31" i="159"/>
  <c r="AH37" i="159"/>
  <c r="AH56" i="159"/>
  <c r="AH24" i="159"/>
  <c r="AH29" i="159"/>
  <c r="AH32" i="159"/>
  <c r="AH40" i="159"/>
  <c r="AH45" i="159"/>
  <c r="AH50" i="159"/>
  <c r="AH53" i="159"/>
  <c r="M45" i="160"/>
  <c r="M36" i="160"/>
  <c r="AH27" i="159"/>
  <c r="AH35" i="159"/>
  <c r="AH57" i="159"/>
  <c r="M40" i="160"/>
  <c r="AH47" i="159"/>
  <c r="AH48" i="159"/>
  <c r="AH51" i="159"/>
  <c r="AH43" i="159"/>
  <c r="AH25" i="159"/>
  <c r="AH28" i="159"/>
  <c r="AH33" i="159"/>
  <c r="AH36" i="159"/>
  <c r="AH41" i="159"/>
  <c r="AH44" i="159"/>
  <c r="M34" i="160"/>
  <c r="M31" i="160"/>
  <c r="M30" i="160"/>
  <c r="M51" i="160"/>
  <c r="AH52" i="159"/>
  <c r="AH55" i="159"/>
  <c r="AH21" i="159"/>
  <c r="AH20" i="159"/>
  <c r="AH19" i="159"/>
  <c r="AH18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S81" i="159"/>
  <c r="N89" i="160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T38" i="159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<sst xmlns="http://schemas.openxmlformats.org/spreadsheetml/2006/main" count="2005" uniqueCount="478">
  <si>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</si>
  <si>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</si>
  <si>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</si>
  <si>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</si>
  <si>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</si>
  <si>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</si>
  <si>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</si>
  <si>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</si>
  <si>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</si>
  <si>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</si>
  <si>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</si>
  <si>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</si>
  <si>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</si>
  <si>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</si>
  <si>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</si>
  <si>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</si>
  <si>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</si>
  <si>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</si>
  <si>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</si>
  <si>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</si>
  <si>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</si>
  <si>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</si>
  <si>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</si>
  <si>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</si>
  <si>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</si>
  <si>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</si>
  <si>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</si>
  <si>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</si>
  <si>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</si>
  <si>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</si>
  <si>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</si>
  <si>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</si>
  <si>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</si>
  <si>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</si>
  <si>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</si>
  <si>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</si>
  <si>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</si>
  <si>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</si>
  <si>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</si>
  <si>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</si>
  <si>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</si>
  <si>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</si>
  <si>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</si>
  <si>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</si>
  <si>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</si>
  <si>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</si>
  <si>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</si>
  <si>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</si>
  <si>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</si>
  <si>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</si>
  <si>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</si>
  <si>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</si>
  <si>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</si>
  <si>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</si>
  <si>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</si>
  <si>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</si>
  <si>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</si>
  <si>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</si>
  <si>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</si>
  <si>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</si>
  <si>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</si>
  <si>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</si>
  <si>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</si>
  <si>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</si>
  <si>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</si>
  <si>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</si>
  <si>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</si>
  <si>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</si>
  <si>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</si>
  <si>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</si>
  <si>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</si>
  <si>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</si>
  <si>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</si>
  <si>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</si>
  <si>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</si>
  <si>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</si>
  <si>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</si>
  <si>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</si>
  <si>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</si>
  <si>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</si>
  <si>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</si>
  <si>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</si>
  <si>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</si>
  <si>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</si>
  <si>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</si>
  <si>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</si>
  <si>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</si>
  <si>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</si>
  <si>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</si>
  <si>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</si>
  <si>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</si>
  <si>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</si>
  <si>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</si>
  <si>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</si>
  <si>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</si>
  <si>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</si>
  <si>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</si>
  <si>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</si>
  <si>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</si>
  <si>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</si>
  <si>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</si>
  <si>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</si>
  <si>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</si>
  <si>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</si>
  <si>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</si>
  <si>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</si>
  <si>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</si>
  <si>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</si>
  <si>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</si>
  <si>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</si>
  <si>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</si>
  <si>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</si>
  <si>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</si>
  <si>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</si>
  <si>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</si>
  <si>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</si>
  <si>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</si>
  <si>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</si>
  <si>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</si>
  <si>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</si>
  <si>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</si>
  <si>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</si>
  <si>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</si>
  <si>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</si>
  <si>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</si>
  <si>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</si>
  <si>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</si>
  <si>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</si>
  <si>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</si>
  <si>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</si>
  <si>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</si>
  <si>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</si>
  <si>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</si>
  <si>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</si>
  <si>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</si>
  <si>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</si>
  <si>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</si>
  <si>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</si>
  <si>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</si>
  <si>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</si>
  <si>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</si>
  <si>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</si>
  <si>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</si>
  <si>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</si>
  <si>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</si>
  <si>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</si>
  <si>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</si>
  <si>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</si>
  <si>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</si>
  <si>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</si>
  <si>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</si>
  <si>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</si>
  <si>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</si>
  <si>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</si>
  <si>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</si>
  <si>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</si>
  <si>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</si>
  <si>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</si>
  <si>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</si>
  <si>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</si>
  <si>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</si>
  <si>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</si>
  <si>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</si>
  <si>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</si>
  <si>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</si>
  <si>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</si>
  <si>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</si>
  <si>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</si>
  <si>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</si>
  <si>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</si>
  <si>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</si>
  <si>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</si>
  <si>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</si>
  <si>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</si>
  <si>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</si>
  <si>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</si>
  <si>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</si>
  <si>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</si>
  <si>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</si>
  <si>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</si>
  <si>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</si>
  <si>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</si>
  <si>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</si>
  <si>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</si>
  <si>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</si>
  <si>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</si>
  <si>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</si>
  <si>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</si>
  <si>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</si>
  <si>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</si>
  <si>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</si>
  <si>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</si>
  <si>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</si>
  <si>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</si>
  <si>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</si>
  <si>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</si>
  <si>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</si>
  <si>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</si>
  <si>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</si>
  <si>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</si>
  <si>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</si>
  <si>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</si>
  <si>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</si>
  <si>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</si>
  <si>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</si>
  <si>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</si>
  <si>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</si>
  <si>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</si>
  <si>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</si>
  <si>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</si>
  <si>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</si>
  <si>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</si>
  <si>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</si>
  <si>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</si>
  <si>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</si>
  <si>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</si>
  <si>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</si>
  <si>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</si>
  <si>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</si>
  <si>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</si>
  <si>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</si>
  <si>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</si>
  <si>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</si>
  <si>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</si>
  <si>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</si>
  <si>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</si>
  <si>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</si>
  <si>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</si>
  <si>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</si>
  <si>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</si>
  <si>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</si>
  <si>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</si>
  <si>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</si>
  <si>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</si>
  <si>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</si>
  <si>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</si>
  <si>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</si>
  <si>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</si>
  <si>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</si>
  <si>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</si>
  <si>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</si>
  <si>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</si>
  <si>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</si>
  <si>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</si>
  <si>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</si>
  <si>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</si>
  <si>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</si>
  <si>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</si>
  <si>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</si>
  <si>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</si>
  <si>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</si>
  <si>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</si>
  <si>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</si>
  <si>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</si>
  <si>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</si>
  <si>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</si>
  <si>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</si>
  <si>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</si>
  <si>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</si>
  <si>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</si>
  <si>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</si>
  <si>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</si>
  <si>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</si>
  <si>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</si>
  <si>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</si>
  <si>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</si>
  <si>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</si>
  <si>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</si>
  <si>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</si>
  <si>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</si>
  <si>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</si>
  <si>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</si>
  <si>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</si>
  <si>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</si>
  <si>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</si>
  <si>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</si>
  <si>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</si>
  <si>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</si>
  <si>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</si>
  <si>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</si>
  <si>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</si>
  <si>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</si>
  <si>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</si>
  <si>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</si>
  <si>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</si>
  <si>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</si>
  <si>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</si>
  <si>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</si>
  <si>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</si>
  <si>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</si>
  <si>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</si>
  <si>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</si>
  <si>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</si>
  <si>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</si>
  <si>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</si>
  <si>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</si>
  <si>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</si>
  <si>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</si>
  <si>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</si>
  <si>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</si>
  <si>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</si>
  <si>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</si>
  <si>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</si>
  <si>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</si>
  <si>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</si>
  <si>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</si>
  <si>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</si>
  <si>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</si>
  <si>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</si>
  <si>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</si>
  <si>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</si>
  <si>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</si>
  <si>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</si>
  <si>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</si>
  <si>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</si>
  <si>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</si>
  <si>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</si>
  <si>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</si>
  <si>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</si>
  <si>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</si>
  <si>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</si>
  <si>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</si>
  <si>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</si>
  <si>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</si>
  <si>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</si>
  <si>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</si>
  <si>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</si>
  <si>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</si>
  <si>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</si>
  <si>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</si>
  <si>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</si>
  <si>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</si>
  <si>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</si>
  <si>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</si>
  <si>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</si>
  <si>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</si>
  <si>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</si>
  <si>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</si>
  <si>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</si>
  <si>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</si>
  <si>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</si>
  <si>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</si>
  <si>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</si>
  <si>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</si>
  <si>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</si>
  <si>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</si>
  <si>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</si>
  <si>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</si>
  <si>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</si>
  <si>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</si>
  <si>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</si>
  <si>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</si>
  <si>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</si>
  <si>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</si>
  <si>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</si>
  <si>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</si>
  <si>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</si>
  <si>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</si>
  <si>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</si>
  <si>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</si>
  <si>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</si>
  <si>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</si>
  <si>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</si>
  <si>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</si>
  <si>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</si>
  <si>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</si>
  <si>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</si>
  <si>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</si>
  <si>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</si>
  <si>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</si>
  <si>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</si>
  <si>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</si>
  <si>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</si>
  <si>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</si>
  <si>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</si>
  <si>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</si>
  <si>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</si>
  <si>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</si>
  <si>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</si>
  <si>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</si>
  <si>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</si>
  <si>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</si>
  <si>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</si>
  <si>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</si>
  <si>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</si>
  <si>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</si>
  <si>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</si>
  <si>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</si>
  <si>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</si>
  <si>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</si>
  <si>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</si>
  <si>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</si>
  <si>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</si>
  <si>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</si>
  <si>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</si>
  <si>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</si>
  <si>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</si>
  <si>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</si>
  <si>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</si>
  <si>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</si>
  <si>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</si>
  <si>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</si>
  <si>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</si>
  <si>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</si>
  <si>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</si>
  <si>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</si>
  <si>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</si>
  <si>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</si>
  <si>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</si>
  <si>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</si>
  <si>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</si>
  <si>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</si>
  <si>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</si>
  <si>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</si>
  <si>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</si>
  <si>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</si>
  <si>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</si>
  <si>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</si>
  <si>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</si>
  <si>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</si>
  <si>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</si>
  <si>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</si>
  <si>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</si>
  <si>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Ramya Satish</t>
  </si>
  <si>
    <t>Anodized</t>
  </si>
  <si>
    <t>ABPL-DE-19.20-2149</t>
  </si>
  <si>
    <t>D3-WD</t>
  </si>
  <si>
    <t>M15000</t>
  </si>
  <si>
    <t>FRENCH DOOR WITH TOP FIXED</t>
  </si>
  <si>
    <t>6MM</t>
  </si>
  <si>
    <t>NO</t>
  </si>
  <si>
    <t>08A - GF - DINING</t>
  </si>
  <si>
    <t>SD1-WD</t>
  </si>
  <si>
    <t>M14600</t>
  </si>
  <si>
    <t>3 TRACK 2 SHUTTER SLIDING DOOR</t>
  </si>
  <si>
    <t>SS</t>
  </si>
  <si>
    <t>08B - GF - GBR</t>
  </si>
  <si>
    <t>SD2-WD</t>
  </si>
  <si>
    <t>08C - FF - MBR</t>
  </si>
  <si>
    <t>SD3-WD</t>
  </si>
  <si>
    <t>08D - FF -BEDROOM 2</t>
  </si>
  <si>
    <t>GL1-WD</t>
  </si>
  <si>
    <t>M14600 &amp; M15000</t>
  </si>
  <si>
    <t>3 TRACK 3 SHUTTER SLIDING DOOR WITH TOP FIXED</t>
  </si>
  <si>
    <t>8MM &amp; 6MM</t>
  </si>
  <si>
    <t>RETRACTABLE</t>
  </si>
  <si>
    <t>08E - GF - LOUNGE</t>
  </si>
  <si>
    <t>GL2-WD</t>
  </si>
  <si>
    <t>2 SIDE HUNG WINDOWS WITH 7 FIXED</t>
  </si>
  <si>
    <t>08F - GF - LOUNGE</t>
  </si>
  <si>
    <t>W6A</t>
  </si>
  <si>
    <t>FIXED GLASS 3 NO'S</t>
  </si>
  <si>
    <t>08G - GF - DINING</t>
  </si>
  <si>
    <t>W6B</t>
  </si>
  <si>
    <t>W9A</t>
  </si>
  <si>
    <t>3 TRACK 2 SHUTTER SLIDING DOOR WITH 4 FIXED</t>
  </si>
  <si>
    <t>08I - FF - STAIRCASE</t>
  </si>
  <si>
    <t>W9B</t>
  </si>
  <si>
    <t>3 TRACK 2 SHUTTER SLIDING DOOR WITH 7 FIXED</t>
  </si>
  <si>
    <t>08J - SF - STAIRCASE</t>
  </si>
  <si>
    <t>V1</t>
  </si>
  <si>
    <t>M940</t>
  </si>
  <si>
    <t>2 FIXED GLASS WITH EXHAUST PROVISION</t>
  </si>
  <si>
    <t>6MM (F)</t>
  </si>
  <si>
    <t>GF - GUEST TOILET</t>
  </si>
  <si>
    <t>V2</t>
  </si>
  <si>
    <t>FIXED GLASS WITH EXHAUST PROVISION</t>
  </si>
  <si>
    <t>FF - BEDROOM TOILET</t>
  </si>
  <si>
    <t>V3</t>
  </si>
  <si>
    <t>M900</t>
  </si>
  <si>
    <t>3 TRACK 2 SHUTTER SLIDING WINDOW</t>
  </si>
  <si>
    <t>FF - MASTER WARDROBE</t>
  </si>
  <si>
    <t>V4</t>
  </si>
  <si>
    <t>GF - POWDER ROOM</t>
  </si>
  <si>
    <t>6mm :- 6mm Clear Toughened Glass</t>
  </si>
  <si>
    <t>8mm :- 8mm Clear Toughened Glass</t>
  </si>
  <si>
    <t>6mm :- 6mm Frosted Toughened Glass</t>
  </si>
  <si>
    <t>Transportation is extra as actuals.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</si>
</sst>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182217</xdr:colOff>
      <xdr:row>8</xdr:row>
      <xdr:rowOff>57979</xdr:rowOff>
    </xdr:from>
    <xdr:to>
      <xdr:col>6</xdr:col>
      <xdr:colOff>347870</xdr:colOff>
      <xdr:row>16</xdr:row>
      <xdr:rowOff>251426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532283"/>
          <a:ext cx="2145196" cy="2711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488673</xdr:colOff>
      <xdr:row>19</xdr:row>
      <xdr:rowOff>57979</xdr:rowOff>
    </xdr:from>
    <xdr:to>
      <xdr:col>5</xdr:col>
      <xdr:colOff>1838739</xdr:colOff>
      <xdr:row>27</xdr:row>
      <xdr:rowOff>243084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6673" y="4845327"/>
          <a:ext cx="1350066" cy="270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30</xdr:row>
      <xdr:rowOff>57978</xdr:rowOff>
    </xdr:from>
    <xdr:to>
      <xdr:col>6</xdr:col>
      <xdr:colOff>372718</xdr:colOff>
      <xdr:row>38</xdr:row>
      <xdr:rowOff>213888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8158369"/>
          <a:ext cx="2468218" cy="2673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41</xdr:row>
      <xdr:rowOff>99390</xdr:rowOff>
    </xdr:from>
    <xdr:to>
      <xdr:col>7</xdr:col>
      <xdr:colOff>8282</xdr:colOff>
      <xdr:row>49</xdr:row>
      <xdr:rowOff>225460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11512825"/>
          <a:ext cx="2418522" cy="2643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112268</xdr:colOff>
      <xdr:row>52</xdr:row>
      <xdr:rowOff>74543</xdr:rowOff>
    </xdr:from>
    <xdr:to>
      <xdr:col>10</xdr:col>
      <xdr:colOff>33130</xdr:colOff>
      <xdr:row>60</xdr:row>
      <xdr:rowOff>250775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64" y="14801021"/>
          <a:ext cx="5014666" cy="2694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265042</xdr:colOff>
      <xdr:row>63</xdr:row>
      <xdr:rowOff>49696</xdr:rowOff>
    </xdr:from>
    <xdr:to>
      <xdr:col>8</xdr:col>
      <xdr:colOff>240194</xdr:colOff>
      <xdr:row>71</xdr:row>
      <xdr:rowOff>261727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3" y="18089218"/>
          <a:ext cx="3304761" cy="2729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422413</xdr:colOff>
      <xdr:row>74</xdr:row>
      <xdr:rowOff>74543</xdr:rowOff>
    </xdr:from>
    <xdr:to>
      <xdr:col>5</xdr:col>
      <xdr:colOff>1962979</xdr:colOff>
      <xdr:row>82</xdr:row>
      <xdr:rowOff>175935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3" y="21427108"/>
          <a:ext cx="1540566" cy="261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85</xdr:row>
      <xdr:rowOff>57978</xdr:rowOff>
    </xdr:from>
    <xdr:to>
      <xdr:col>5</xdr:col>
      <xdr:colOff>1905000</xdr:colOff>
      <xdr:row>93</xdr:row>
      <xdr:rowOff>189774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6" y="24723587"/>
          <a:ext cx="1598544" cy="2649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96</xdr:row>
      <xdr:rowOff>41413</xdr:rowOff>
    </xdr:from>
    <xdr:to>
      <xdr:col>7</xdr:col>
      <xdr:colOff>115956</xdr:colOff>
      <xdr:row>104</xdr:row>
      <xdr:rowOff>252244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1" y="28020065"/>
          <a:ext cx="2923761" cy="2728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107</xdr:row>
      <xdr:rowOff>57978</xdr:rowOff>
    </xdr:from>
    <xdr:to>
      <xdr:col>6</xdr:col>
      <xdr:colOff>132522</xdr:colOff>
      <xdr:row>115</xdr:row>
      <xdr:rowOff>257477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31349674"/>
          <a:ext cx="2459935" cy="2717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119</xdr:row>
      <xdr:rowOff>173935</xdr:rowOff>
    </xdr:from>
    <xdr:to>
      <xdr:col>6</xdr:col>
      <xdr:colOff>215348</xdr:colOff>
      <xdr:row>124</xdr:row>
      <xdr:rowOff>1622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35093413"/>
          <a:ext cx="2161761" cy="1401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130</xdr:row>
      <xdr:rowOff>132521</xdr:rowOff>
    </xdr:from>
    <xdr:to>
      <xdr:col>5</xdr:col>
      <xdr:colOff>1673087</xdr:colOff>
      <xdr:row>135</xdr:row>
      <xdr:rowOff>272257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7282" y="38365043"/>
          <a:ext cx="1283805" cy="1713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57977</xdr:colOff>
      <xdr:row>141</xdr:row>
      <xdr:rowOff>298174</xdr:rowOff>
    </xdr:from>
    <xdr:to>
      <xdr:col>7</xdr:col>
      <xdr:colOff>1690</xdr:colOff>
      <xdr:row>146</xdr:row>
      <xdr:rowOff>33130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238" y="41843739"/>
          <a:ext cx="3008278" cy="1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273325</xdr:colOff>
      <xdr:row>152</xdr:row>
      <xdr:rowOff>140804</xdr:rowOff>
    </xdr:from>
    <xdr:to>
      <xdr:col>5</xdr:col>
      <xdr:colOff>1813891</xdr:colOff>
      <xdr:row>158</xdr:row>
      <xdr:rowOff>22408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5" y="44999413"/>
          <a:ext cx="1540566" cy="177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51" zoomScale="115" zoomScaleNormal="100" zoomScaleSheetLayoutView="115" workbookViewId="0">
      <selection activeCell="S14" sqref="S14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ABPL-DE-19.20-2149</v>
      </c>
      <c r="O2" s="542"/>
      <c r="P2" s="219" t="s">
        <v>257</v>
      </c>
    </row>
    <row r="3" spans="2:16">
      <c r="B3" s="218"/>
      <c r="C3" s="540" t="s">
        <v>126</v>
      </c>
      <c r="D3" s="540"/>
      <c r="E3" s="540"/>
      <c r="F3" s="542" t="str">
        <f>QUOTATION!F7</f>
        <v>Ramya Satish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43684</v>
      </c>
      <c r="O3" s="548"/>
      <c r="P3" s="219" t="s">
        <v>256</v>
      </c>
    </row>
    <row r="4" spans="2:16">
      <c r="B4" s="218"/>
      <c r="C4" s="540" t="s">
        <v>127</v>
      </c>
      <c r="D4" s="540"/>
      <c r="E4" s="540"/>
      <c r="F4" s="285" t="str">
        <f>QUOTATION!F8</f>
        <v>Bangalore</v>
      </c>
      <c r="G4" s="540"/>
      <c r="H4" s="540"/>
      <c r="I4" s="543" t="s">
        <v>180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R0</v>
      </c>
      <c r="O4" s="287">
        <f>QUOTATION!N8</f>
        <v>43684</v>
      </c>
    </row>
    <row r="5" spans="2:16">
      <c r="B5" s="218"/>
      <c r="C5" s="540" t="s">
        <v>169</v>
      </c>
      <c r="D5" s="540"/>
      <c r="E5" s="540"/>
      <c r="F5" s="542" t="str">
        <f>QUOTATION!F9</f>
        <v>Mr. Prasanth : 9591855724</v>
      </c>
      <c r="G5" s="542"/>
      <c r="H5" s="542"/>
      <c r="I5" s="542"/>
      <c r="J5" s="542"/>
      <c r="K5" s="542"/>
      <c r="L5" s="542"/>
      <c r="M5" s="284" t="s">
        <v>179</v>
      </c>
      <c r="N5" s="542" t="str">
        <f>QUOTATION!M9</f>
        <v>Bal Kumari</v>
      </c>
      <c r="O5" s="542"/>
    </row>
    <row r="6" spans="2:16">
      <c r="B6" s="218"/>
      <c r="C6" s="540" t="s">
        <v>177</v>
      </c>
      <c r="D6" s="540"/>
      <c r="E6" s="540"/>
      <c r="F6" s="285" t="str">
        <f>QUOTATION!F10</f>
        <v>Anodized</v>
      </c>
      <c r="G6" s="540"/>
      <c r="H6" s="540"/>
      <c r="I6" s="543" t="s">
        <v>178</v>
      </c>
      <c r="J6" s="543"/>
      <c r="K6" s="542" t="str">
        <f>QUOTATION!I10</f>
        <v>Silver</v>
      </c>
      <c r="L6" s="542"/>
      <c r="M6" s="320" t="s">
        <v>374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254</v>
      </c>
      <c r="D8" s="540"/>
      <c r="E8" s="286" t="str">
        <f>'BD Team'!B9</f>
        <v>D3-WD</v>
      </c>
      <c r="F8" s="288" t="s">
        <v>255</v>
      </c>
      <c r="G8" s="542" t="str">
        <f>'BD Team'!D9</f>
        <v>FRENCH DOOR WITH TOP FIXED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08A - GF - DINING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247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178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248</v>
      </c>
      <c r="M12" s="540"/>
      <c r="N12" s="551" t="s">
        <v>256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249</v>
      </c>
      <c r="M13" s="540"/>
      <c r="N13" s="542" t="str">
        <f>CONCATENATE('BD Team'!H9," X ",'BD Team'!I9)</f>
        <v>2440 X 3354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250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251</v>
      </c>
      <c r="M15" s="540"/>
      <c r="N15" s="542" t="str">
        <f>'BD Team'!C9</f>
        <v>M15000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252</v>
      </c>
      <c r="M16" s="540"/>
      <c r="N16" s="542" t="str">
        <f>'BD Team'!E9</f>
        <v>6MM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253</v>
      </c>
      <c r="M17" s="540"/>
      <c r="N17" s="542" t="str">
        <f>'BD Team'!F9</f>
        <v>NO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254</v>
      </c>
      <c r="D19" s="540"/>
      <c r="E19" s="286" t="str">
        <f>'BD Team'!B10</f>
        <v>SD1-WD</v>
      </c>
      <c r="F19" s="288" t="s">
        <v>255</v>
      </c>
      <c r="G19" s="542" t="str">
        <f>'BD Team'!D10</f>
        <v>3 TRACK 2 SHUTTER SLIDING DOOR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08B - GF - GBR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247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178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248</v>
      </c>
      <c r="M23" s="540"/>
      <c r="N23" s="545" t="s">
        <v>256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249</v>
      </c>
      <c r="M24" s="540"/>
      <c r="N24" s="542" t="str">
        <f>CONCATENATE('BD Team'!H10," X ",'BD Team'!I10)</f>
        <v>1380 X 2440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250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251</v>
      </c>
      <c r="M26" s="540"/>
      <c r="N26" s="542" t="str">
        <f>'BD Team'!C10</f>
        <v>M14600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252</v>
      </c>
      <c r="M27" s="540"/>
      <c r="N27" s="542" t="str">
        <f>'BD Team'!E10</f>
        <v>6MM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253</v>
      </c>
      <c r="M28" s="540"/>
      <c r="N28" s="542" t="str">
        <f>'BD Team'!F10</f>
        <v>SS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254</v>
      </c>
      <c r="D30" s="540"/>
      <c r="E30" s="286" t="str">
        <f>'BD Team'!B11</f>
        <v>SD2-WD</v>
      </c>
      <c r="F30" s="288" t="s">
        <v>255</v>
      </c>
      <c r="G30" s="542" t="str">
        <f>'BD Team'!D11</f>
        <v>3 TRACK 2 SHUTTER SLIDING DOOR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08C - FF - MBR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247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178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248</v>
      </c>
      <c r="M34" s="540"/>
      <c r="N34" s="545" t="s">
        <v>256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249</v>
      </c>
      <c r="M35" s="540"/>
      <c r="N35" s="542" t="str">
        <f>CONCATENATE('BD Team'!H11," X ",'BD Team'!I11)</f>
        <v>2744 X 2440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250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251</v>
      </c>
      <c r="M37" s="540"/>
      <c r="N37" s="542" t="str">
        <f>'BD Team'!C11</f>
        <v>M14600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252</v>
      </c>
      <c r="M38" s="540"/>
      <c r="N38" s="542" t="str">
        <f>'BD Team'!E11</f>
        <v>6MM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253</v>
      </c>
      <c r="M39" s="540"/>
      <c r="N39" s="542" t="str">
        <f>'BD Team'!F11</f>
        <v>SS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254</v>
      </c>
      <c r="D41" s="540"/>
      <c r="E41" s="286" t="str">
        <f>'BD Team'!B12</f>
        <v>SD3-WD</v>
      </c>
      <c r="F41" s="288" t="s">
        <v>255</v>
      </c>
      <c r="G41" s="542" t="str">
        <f>'BD Team'!D12</f>
        <v>3 TRACK 2 SHUTTER SLIDING DOOR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08D - FF -BEDROOM 2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247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178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248</v>
      </c>
      <c r="M45" s="540"/>
      <c r="N45" s="545" t="s">
        <v>256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249</v>
      </c>
      <c r="M46" s="540"/>
      <c r="N46" s="542" t="str">
        <f>CONCATENATE('BD Team'!H12," X ",'BD Team'!I12)</f>
        <v>2440 X 2134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250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251</v>
      </c>
      <c r="M48" s="540"/>
      <c r="N48" s="542" t="str">
        <f>'BD Team'!C12</f>
        <v>M14600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252</v>
      </c>
      <c r="M49" s="540"/>
      <c r="N49" s="542" t="str">
        <f>'BD Team'!E12</f>
        <v>6MM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253</v>
      </c>
      <c r="M50" s="540"/>
      <c r="N50" s="542" t="str">
        <f>'BD Team'!F12</f>
        <v>SS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254</v>
      </c>
      <c r="D52" s="540"/>
      <c r="E52" s="286" t="str">
        <f>'BD Team'!B13</f>
        <v>GL1-WD</v>
      </c>
      <c r="F52" s="288" t="s">
        <v>255</v>
      </c>
      <c r="G52" s="542" t="str">
        <f>'BD Team'!D13</f>
        <v>3 TRACK 3 SHUTTER SLIDING DOOR WITH TOP FIXED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08E - GF - LOUNGE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247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178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248</v>
      </c>
      <c r="M56" s="540"/>
      <c r="N56" s="545" t="s">
        <v>256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249</v>
      </c>
      <c r="M57" s="540"/>
      <c r="N57" s="542" t="str">
        <f>CONCATENATE('BD Team'!H13," X ",'BD Team'!I13)</f>
        <v>5488 X 3354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250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251</v>
      </c>
      <c r="M59" s="540"/>
      <c r="N59" s="542" t="str">
        <f>'BD Team'!C13</f>
        <v>M14600 &amp; M15000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252</v>
      </c>
      <c r="M60" s="540"/>
      <c r="N60" s="542" t="str">
        <f>'BD Team'!E13</f>
        <v>8MM &amp; 6MM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253</v>
      </c>
      <c r="M61" s="540"/>
      <c r="N61" s="542" t="str">
        <f>'BD Team'!F13</f>
        <v>RETRACTABLE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254</v>
      </c>
      <c r="D63" s="540"/>
      <c r="E63" s="286" t="str">
        <f>'BD Team'!B14</f>
        <v>GL2-WD</v>
      </c>
      <c r="F63" s="288" t="s">
        <v>255</v>
      </c>
      <c r="G63" s="542" t="str">
        <f>'BD Team'!D14</f>
        <v>2 SIDE HUNG WINDOWS WITH 7 FIXED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08F - GF - LOUNGE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247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178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248</v>
      </c>
      <c r="M67" s="540"/>
      <c r="N67" s="545" t="s">
        <v>256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249</v>
      </c>
      <c r="M68" s="540"/>
      <c r="N68" s="542" t="str">
        <f>CONCATENATE('BD Team'!H14," X ",'BD Team'!I14)</f>
        <v>4040 X 3252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250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251</v>
      </c>
      <c r="M70" s="540"/>
      <c r="N70" s="542" t="str">
        <f>'BD Team'!C14</f>
        <v>M15000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252</v>
      </c>
      <c r="M71" s="540"/>
      <c r="N71" s="542" t="str">
        <f>'BD Team'!E14</f>
        <v>6MM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253</v>
      </c>
      <c r="M72" s="540"/>
      <c r="N72" s="542" t="str">
        <f>'BD Team'!F14</f>
        <v>NO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254</v>
      </c>
      <c r="D74" s="540"/>
      <c r="E74" s="286" t="str">
        <f>'BD Team'!B15</f>
        <v>W6A</v>
      </c>
      <c r="F74" s="288" t="s">
        <v>255</v>
      </c>
      <c r="G74" s="542" t="str">
        <f>'BD Team'!D15</f>
        <v>FIXED GLASS 3 NO'S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 t="str">
        <f>'BD Team'!G15</f>
        <v>08G - GF - DINING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247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178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248</v>
      </c>
      <c r="M78" s="540"/>
      <c r="N78" s="545" t="s">
        <v>256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249</v>
      </c>
      <c r="M79" s="540"/>
      <c r="N79" s="542" t="str">
        <f>CONCATENATE('BD Team'!H15," X ",'BD Team'!I15)</f>
        <v>1652 X 3252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250</v>
      </c>
      <c r="M80" s="540"/>
      <c r="N80" s="541">
        <f>'BD Team'!J15</f>
        <v>1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251</v>
      </c>
      <c r="M81" s="540"/>
      <c r="N81" s="542" t="str">
        <f>'BD Team'!C15</f>
        <v>M15000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252</v>
      </c>
      <c r="M82" s="540"/>
      <c r="N82" s="542" t="str">
        <f>'BD Team'!E15</f>
        <v>6MM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253</v>
      </c>
      <c r="M83" s="540"/>
      <c r="N83" s="542" t="str">
        <f>'BD Team'!F15</f>
        <v>NO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254</v>
      </c>
      <c r="D85" s="540"/>
      <c r="E85" s="286" t="str">
        <f>'BD Team'!B16</f>
        <v>W6B</v>
      </c>
      <c r="F85" s="288" t="s">
        <v>255</v>
      </c>
      <c r="G85" s="542" t="str">
        <f>'BD Team'!D16</f>
        <v>FIXED GLASS 3 NO'S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 t="str">
        <f>'BD Team'!G16</f>
        <v>08G - GF - DINING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247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178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248</v>
      </c>
      <c r="M89" s="540"/>
      <c r="N89" s="545" t="s">
        <v>256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249</v>
      </c>
      <c r="M90" s="540"/>
      <c r="N90" s="542" t="str">
        <f>CONCATENATE('BD Team'!H16," X ",'BD Team'!I16)</f>
        <v>1702 X 3252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250</v>
      </c>
      <c r="M91" s="540"/>
      <c r="N91" s="541">
        <f>'BD Team'!J16</f>
        <v>1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251</v>
      </c>
      <c r="M92" s="540"/>
      <c r="N92" s="542" t="str">
        <f>'BD Team'!C16</f>
        <v>M15000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252</v>
      </c>
      <c r="M93" s="540"/>
      <c r="N93" s="542" t="str">
        <f>'BD Team'!E16</f>
        <v>6MM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253</v>
      </c>
      <c r="M94" s="540"/>
      <c r="N94" s="542" t="str">
        <f>'BD Team'!F16</f>
        <v>NO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254</v>
      </c>
      <c r="D96" s="540"/>
      <c r="E96" s="286" t="str">
        <f>'BD Team'!B17</f>
        <v>W9A</v>
      </c>
      <c r="F96" s="288" t="s">
        <v>255</v>
      </c>
      <c r="G96" s="542" t="str">
        <f>'BD Team'!D17</f>
        <v>3 TRACK 2 SHUTTER SLIDING DOOR WITH 4 FIXED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 t="str">
        <f>'BD Team'!G17</f>
        <v>08I - FF - STAIRCASE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247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178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248</v>
      </c>
      <c r="M100" s="540"/>
      <c r="N100" s="545" t="s">
        <v>256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249</v>
      </c>
      <c r="M101" s="540"/>
      <c r="N101" s="542" t="str">
        <f>CONCATENATE('BD Team'!H17," X ",'BD Team'!I17)</f>
        <v>2592 X 3556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250</v>
      </c>
      <c r="M102" s="540"/>
      <c r="N102" s="541">
        <f>'BD Team'!J17</f>
        <v>1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251</v>
      </c>
      <c r="M103" s="540"/>
      <c r="N103" s="542" t="str">
        <f>'BD Team'!C17</f>
        <v>M14600 &amp; M15000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252</v>
      </c>
      <c r="M104" s="540"/>
      <c r="N104" s="542" t="str">
        <f>'BD Team'!E17</f>
        <v>6MM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253</v>
      </c>
      <c r="M105" s="540"/>
      <c r="N105" s="542" t="str">
        <f>'BD Team'!F17</f>
        <v>SS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254</v>
      </c>
      <c r="D107" s="540"/>
      <c r="E107" s="286" t="str">
        <f>'BD Team'!B18</f>
        <v>W9B</v>
      </c>
      <c r="F107" s="288" t="s">
        <v>255</v>
      </c>
      <c r="G107" s="542" t="str">
        <f>'BD Team'!D18</f>
        <v>3 TRACK 2 SHUTTER SLIDING DOOR WITH 7 FIXED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 t="str">
        <f>'BD Team'!G18</f>
        <v>08J - SF - STAIRCASE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247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178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248</v>
      </c>
      <c r="M111" s="540"/>
      <c r="N111" s="545" t="s">
        <v>256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249</v>
      </c>
      <c r="M112" s="540"/>
      <c r="N112" s="542" t="str">
        <f>CONCATENATE('BD Team'!H18," X ",'BD Team'!I18)</f>
        <v>2592 X 4318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250</v>
      </c>
      <c r="M113" s="540"/>
      <c r="N113" s="541">
        <f>'BD Team'!J18</f>
        <v>1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251</v>
      </c>
      <c r="M114" s="540"/>
      <c r="N114" s="542" t="str">
        <f>'BD Team'!C18</f>
        <v>M14600 &amp; M15000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252</v>
      </c>
      <c r="M115" s="540"/>
      <c r="N115" s="542" t="str">
        <f>'BD Team'!E18</f>
        <v>6MM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253</v>
      </c>
      <c r="M116" s="540"/>
      <c r="N116" s="542" t="str">
        <f>'BD Team'!F18</f>
        <v>SS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254</v>
      </c>
      <c r="D118" s="540"/>
      <c r="E118" s="286" t="str">
        <f>'BD Team'!B19</f>
        <v>V1</v>
      </c>
      <c r="F118" s="288" t="s">
        <v>255</v>
      </c>
      <c r="G118" s="542" t="str">
        <f>'BD Team'!D19</f>
        <v>2 FIXED GLASS WITH EXHAUST PROVISION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 t="str">
        <f>'BD Team'!G19</f>
        <v>GF - GUEST TOILET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247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178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248</v>
      </c>
      <c r="M122" s="540"/>
      <c r="N122" s="545" t="s">
        <v>256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249</v>
      </c>
      <c r="M123" s="540"/>
      <c r="N123" s="542" t="str">
        <f>CONCATENATE('BD Team'!H19," X ",'BD Team'!I19)</f>
        <v>1678 X 916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250</v>
      </c>
      <c r="M124" s="540"/>
      <c r="N124" s="541">
        <f>'BD Team'!J19</f>
        <v>1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251</v>
      </c>
      <c r="M125" s="540"/>
      <c r="N125" s="542" t="str">
        <f>'BD Team'!C19</f>
        <v>M940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252</v>
      </c>
      <c r="M126" s="540"/>
      <c r="N126" s="542" t="str">
        <f>'BD Team'!E19</f>
        <v>6MM (F)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253</v>
      </c>
      <c r="M127" s="540"/>
      <c r="N127" s="542" t="str">
        <f>'BD Team'!F19</f>
        <v>NO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254</v>
      </c>
      <c r="D129" s="540"/>
      <c r="E129" s="286" t="str">
        <f>'BD Team'!B20</f>
        <v>V2</v>
      </c>
      <c r="F129" s="288" t="s">
        <v>255</v>
      </c>
      <c r="G129" s="542" t="str">
        <f>'BD Team'!D20</f>
        <v>FIXED GLASS WITH EXHAUST PROVISION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 t="str">
        <f>'BD Team'!G20</f>
        <v>FF - BEDROOM TOILET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247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178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248</v>
      </c>
      <c r="M133" s="540"/>
      <c r="N133" s="545" t="s">
        <v>256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249</v>
      </c>
      <c r="M134" s="540"/>
      <c r="N134" s="542" t="str">
        <f>CONCATENATE('BD Team'!H20," X ",'BD Team'!I20)</f>
        <v>458 X 916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250</v>
      </c>
      <c r="M135" s="540"/>
      <c r="N135" s="541">
        <f>'BD Team'!J20</f>
        <v>1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251</v>
      </c>
      <c r="M136" s="540"/>
      <c r="N136" s="542" t="str">
        <f>'BD Team'!C20</f>
        <v>M940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252</v>
      </c>
      <c r="M137" s="540"/>
      <c r="N137" s="542" t="str">
        <f>'BD Team'!E20</f>
        <v>6MM (F)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253</v>
      </c>
      <c r="M138" s="540"/>
      <c r="N138" s="542" t="str">
        <f>'BD Team'!F20</f>
        <v>NO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254</v>
      </c>
      <c r="D140" s="540"/>
      <c r="E140" s="286" t="str">
        <f>'BD Team'!B21</f>
        <v>V3</v>
      </c>
      <c r="F140" s="288" t="s">
        <v>255</v>
      </c>
      <c r="G140" s="542" t="str">
        <f>'BD Team'!D21</f>
        <v>3 TRACK 2 SHUTTER SLIDING WINDOW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 t="str">
        <f>'BD Team'!G21</f>
        <v>FF - MASTER WARDROBE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247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178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248</v>
      </c>
      <c r="M144" s="540"/>
      <c r="N144" s="545" t="s">
        <v>256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249</v>
      </c>
      <c r="M145" s="540"/>
      <c r="N145" s="542" t="str">
        <f>CONCATENATE('BD Team'!H21," X ",'BD Team'!I21)</f>
        <v>2744 X 610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250</v>
      </c>
      <c r="M146" s="540"/>
      <c r="N146" s="541">
        <f>'BD Team'!J21</f>
        <v>1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251</v>
      </c>
      <c r="M147" s="540"/>
      <c r="N147" s="542" t="str">
        <f>'BD Team'!C21</f>
        <v>M900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252</v>
      </c>
      <c r="M148" s="540"/>
      <c r="N148" s="542" t="str">
        <f>'BD Team'!E21</f>
        <v>6MM (F)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253</v>
      </c>
      <c r="M149" s="540"/>
      <c r="N149" s="542" t="str">
        <f>'BD Team'!F21</f>
        <v>SS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254</v>
      </c>
      <c r="D151" s="540"/>
      <c r="E151" s="286" t="str">
        <f>'BD Team'!B22</f>
        <v>V4</v>
      </c>
      <c r="F151" s="288" t="s">
        <v>255</v>
      </c>
      <c r="G151" s="542" t="str">
        <f>'BD Team'!D22</f>
        <v>2 FIXED GLASS WITH EXHAUST PROVISION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 t="str">
        <f>'BD Team'!G22</f>
        <v>GF - POWDER ROOM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247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178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248</v>
      </c>
      <c r="M155" s="540"/>
      <c r="N155" s="545" t="s">
        <v>256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249</v>
      </c>
      <c r="M156" s="540"/>
      <c r="N156" s="542" t="str">
        <f>CONCATENATE('BD Team'!H22," X ",'BD Team'!I22)</f>
        <v>1016 X 1220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250</v>
      </c>
      <c r="M157" s="540"/>
      <c r="N157" s="541">
        <f>'BD Team'!J22</f>
        <v>1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251</v>
      </c>
      <c r="M158" s="540"/>
      <c r="N158" s="542" t="str">
        <f>'BD Team'!C22</f>
        <v>M940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252</v>
      </c>
      <c r="M159" s="540"/>
      <c r="N159" s="542" t="str">
        <f>'BD Team'!E22</f>
        <v>6MM (F)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253</v>
      </c>
      <c r="M160" s="540"/>
      <c r="N160" s="542" t="str">
        <f>'BD Team'!F22</f>
        <v>NO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254</v>
      </c>
      <c r="D162" s="540"/>
      <c r="E162" s="286">
        <f>'BD Team'!B23</f>
        <v>0</v>
      </c>
      <c r="F162" s="288" t="s">
        <v>255</v>
      </c>
      <c r="G162" s="542">
        <f>'BD Team'!D23</f>
        <v>0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>
        <f>'BD Team'!G23</f>
        <v>0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247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178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248</v>
      </c>
      <c r="M166" s="540"/>
      <c r="N166" s="545" t="s">
        <v>256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249</v>
      </c>
      <c r="M167" s="540"/>
      <c r="N167" s="542" t="str">
        <f>CONCATENATE('BD Team'!H23," X ",'BD Team'!I23)</f>
        <v xml:space="preserve"> X 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250</v>
      </c>
      <c r="M168" s="540"/>
      <c r="N168" s="541">
        <f>'BD Team'!J23</f>
        <v>0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251</v>
      </c>
      <c r="M169" s="540"/>
      <c r="N169" s="542">
        <f>'BD Team'!C23</f>
        <v>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252</v>
      </c>
      <c r="M170" s="540"/>
      <c r="N170" s="542">
        <f>'BD Team'!E23</f>
        <v>0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253</v>
      </c>
      <c r="M171" s="540"/>
      <c r="N171" s="542">
        <f>'BD Team'!F23</f>
        <v>0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254</v>
      </c>
      <c r="D173" s="540"/>
      <c r="E173" s="286">
        <f>'BD Team'!B24</f>
        <v>0</v>
      </c>
      <c r="F173" s="288" t="s">
        <v>255</v>
      </c>
      <c r="G173" s="542">
        <f>'BD Team'!D24</f>
        <v>0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>
        <f>'BD Team'!G24</f>
        <v>0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247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178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248</v>
      </c>
      <c r="M177" s="540"/>
      <c r="N177" s="545" t="s">
        <v>256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249</v>
      </c>
      <c r="M178" s="540"/>
      <c r="N178" s="542" t="str">
        <f>CONCATENATE('BD Team'!H24," X ",'BD Team'!I24)</f>
        <v xml:space="preserve"> X 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250</v>
      </c>
      <c r="M179" s="540"/>
      <c r="N179" s="541">
        <f>'BD Team'!J24</f>
        <v>0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251</v>
      </c>
      <c r="M180" s="540"/>
      <c r="N180" s="542">
        <f>'BD Team'!C24</f>
        <v>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252</v>
      </c>
      <c r="M181" s="540"/>
      <c r="N181" s="542">
        <f>'BD Team'!E24</f>
        <v>0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253</v>
      </c>
      <c r="M182" s="540"/>
      <c r="N182" s="542">
        <f>'BD Team'!F24</f>
        <v>0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254</v>
      </c>
      <c r="D184" s="540"/>
      <c r="E184" s="286">
        <f>'BD Team'!B25</f>
        <v>0</v>
      </c>
      <c r="F184" s="288" t="s">
        <v>255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>
        <f>'BD Team'!G25</f>
        <v>0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247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178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248</v>
      </c>
      <c r="M188" s="540"/>
      <c r="N188" s="545" t="s">
        <v>256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249</v>
      </c>
      <c r="M189" s="540"/>
      <c r="N189" s="542" t="str">
        <f>CONCATENATE('BD Team'!H25," X ",'BD Team'!I25)</f>
        <v xml:space="preserve"> X 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250</v>
      </c>
      <c r="M190" s="540"/>
      <c r="N190" s="541">
        <f>'BD Team'!J25</f>
        <v>0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251</v>
      </c>
      <c r="M191" s="540"/>
      <c r="N191" s="542">
        <f>'BD Team'!C25</f>
        <v>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252</v>
      </c>
      <c r="M192" s="540"/>
      <c r="N192" s="542">
        <f>'BD Team'!E25</f>
        <v>0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253</v>
      </c>
      <c r="M193" s="540"/>
      <c r="N193" s="542">
        <f>'BD Team'!F25</f>
        <v>0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254</v>
      </c>
      <c r="D195" s="540"/>
      <c r="E195" s="286">
        <f>'BD Team'!B26</f>
        <v>0</v>
      </c>
      <c r="F195" s="288" t="s">
        <v>255</v>
      </c>
      <c r="G195" s="542">
        <f>'BD Team'!D26</f>
        <v>0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>
        <f>'BD Team'!G26</f>
        <v>0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247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178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248</v>
      </c>
      <c r="M199" s="540"/>
      <c r="N199" s="545" t="s">
        <v>256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249</v>
      </c>
      <c r="M200" s="540"/>
      <c r="N200" s="542" t="str">
        <f>CONCATENATE('BD Team'!H26," X ",'BD Team'!I26)</f>
        <v xml:space="preserve"> X 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250</v>
      </c>
      <c r="M201" s="540"/>
      <c r="N201" s="541">
        <f>'BD Team'!J26</f>
        <v>0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251</v>
      </c>
      <c r="M202" s="540"/>
      <c r="N202" s="542">
        <f>'BD Team'!C26</f>
        <v>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252</v>
      </c>
      <c r="M203" s="540"/>
      <c r="N203" s="542">
        <f>'BD Team'!E26</f>
        <v>0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253</v>
      </c>
      <c r="M204" s="540"/>
      <c r="N204" s="542">
        <f>'BD Team'!F26</f>
        <v>0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254</v>
      </c>
      <c r="D206" s="540"/>
      <c r="E206" s="286">
        <f>'BD Team'!B27</f>
        <v>0</v>
      </c>
      <c r="F206" s="288" t="s">
        <v>255</v>
      </c>
      <c r="G206" s="542">
        <f>'BD Team'!D27</f>
        <v>0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>
        <f>'BD Team'!G27</f>
        <v>0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247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178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248</v>
      </c>
      <c r="M210" s="540"/>
      <c r="N210" s="545" t="s">
        <v>256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249</v>
      </c>
      <c r="M211" s="540"/>
      <c r="N211" s="542" t="str">
        <f>CONCATENATE('BD Team'!H27," X ",'BD Team'!I27)</f>
        <v xml:space="preserve"> X 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250</v>
      </c>
      <c r="M212" s="540"/>
      <c r="N212" s="541">
        <f>'BD Team'!J27</f>
        <v>0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251</v>
      </c>
      <c r="M213" s="540"/>
      <c r="N213" s="542">
        <f>'BD Team'!C27</f>
        <v>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252</v>
      </c>
      <c r="M214" s="540"/>
      <c r="N214" s="542">
        <f>'BD Team'!E27</f>
        <v>0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253</v>
      </c>
      <c r="M215" s="540"/>
      <c r="N215" s="542">
        <f>'BD Team'!F27</f>
        <v>0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254</v>
      </c>
      <c r="D217" s="540"/>
      <c r="E217" s="286">
        <f>'BD Team'!B28</f>
        <v>0</v>
      </c>
      <c r="F217" s="288" t="s">
        <v>255</v>
      </c>
      <c r="G217" s="542">
        <f>'BD Team'!D28</f>
        <v>0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>
        <f>'BD Team'!G28</f>
        <v>0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247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178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248</v>
      </c>
      <c r="M221" s="540"/>
      <c r="N221" s="545" t="s">
        <v>256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249</v>
      </c>
      <c r="M222" s="540"/>
      <c r="N222" s="542" t="str">
        <f>CONCATENATE('BD Team'!H28," X ",'BD Team'!I28)</f>
        <v xml:space="preserve"> X 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250</v>
      </c>
      <c r="M223" s="540"/>
      <c r="N223" s="541">
        <f>'BD Team'!J28</f>
        <v>0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251</v>
      </c>
      <c r="M224" s="540"/>
      <c r="N224" s="542">
        <f>'BD Team'!C28</f>
        <v>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252</v>
      </c>
      <c r="M225" s="540"/>
      <c r="N225" s="542">
        <f>'BD Team'!E28</f>
        <v>0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253</v>
      </c>
      <c r="M226" s="540"/>
      <c r="N226" s="542">
        <f>'BD Team'!F28</f>
        <v>0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254</v>
      </c>
      <c r="D228" s="540"/>
      <c r="E228" s="286">
        <f>'BD Team'!B29</f>
        <v>0</v>
      </c>
      <c r="F228" s="288" t="s">
        <v>255</v>
      </c>
      <c r="G228" s="542">
        <f>'BD Team'!D29</f>
        <v>0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>
        <f>'BD Team'!G29</f>
        <v>0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247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178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248</v>
      </c>
      <c r="M232" s="540"/>
      <c r="N232" s="545" t="s">
        <v>256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249</v>
      </c>
      <c r="M233" s="540"/>
      <c r="N233" s="542" t="str">
        <f>CONCATENATE('BD Team'!H29," X ",'BD Team'!I29)</f>
        <v xml:space="preserve"> X 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250</v>
      </c>
      <c r="M234" s="540"/>
      <c r="N234" s="541">
        <f>'BD Team'!J29</f>
        <v>0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251</v>
      </c>
      <c r="M235" s="540"/>
      <c r="N235" s="542">
        <f>'BD Team'!C29</f>
        <v>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252</v>
      </c>
      <c r="M236" s="540"/>
      <c r="N236" s="542">
        <f>'BD Team'!E29</f>
        <v>0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253</v>
      </c>
      <c r="M237" s="540"/>
      <c r="N237" s="542">
        <f>'BD Team'!F29</f>
        <v>0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254</v>
      </c>
      <c r="D239" s="540"/>
      <c r="E239" s="286">
        <f>'BD Team'!B30</f>
        <v>0</v>
      </c>
      <c r="F239" s="288" t="s">
        <v>255</v>
      </c>
      <c r="G239" s="542">
        <f>'BD Team'!D30</f>
        <v>0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>
        <f>'BD Team'!G30</f>
        <v>0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247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178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248</v>
      </c>
      <c r="M243" s="540"/>
      <c r="N243" s="545" t="s">
        <v>256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249</v>
      </c>
      <c r="M244" s="540"/>
      <c r="N244" s="542" t="str">
        <f>CONCATENATE('BD Team'!H30," X ",'BD Team'!I30)</f>
        <v xml:space="preserve"> X 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250</v>
      </c>
      <c r="M245" s="540"/>
      <c r="N245" s="541">
        <f>'BD Team'!J30</f>
        <v>0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251</v>
      </c>
      <c r="M246" s="540"/>
      <c r="N246" s="542">
        <f>'BD Team'!C30</f>
        <v>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252</v>
      </c>
      <c r="M247" s="540"/>
      <c r="N247" s="542">
        <f>'BD Team'!E30</f>
        <v>0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253</v>
      </c>
      <c r="M248" s="540"/>
      <c r="N248" s="542">
        <f>'BD Team'!F30</f>
        <v>0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254</v>
      </c>
      <c r="D250" s="540"/>
      <c r="E250" s="286">
        <f>'BD Team'!B31</f>
        <v>0</v>
      </c>
      <c r="F250" s="288" t="s">
        <v>255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247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178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248</v>
      </c>
      <c r="M254" s="540"/>
      <c r="N254" s="545" t="s">
        <v>256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249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250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251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252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253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254</v>
      </c>
      <c r="D261" s="540"/>
      <c r="E261" s="286">
        <f>'BD Team'!B32</f>
        <v>0</v>
      </c>
      <c r="F261" s="288" t="s">
        <v>255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247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178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248</v>
      </c>
      <c r="M265" s="540"/>
      <c r="N265" s="545" t="s">
        <v>256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249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250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251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252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253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254</v>
      </c>
      <c r="D272" s="540"/>
      <c r="E272" s="286">
        <f>'BD Team'!B33</f>
        <v>0</v>
      </c>
      <c r="F272" s="288" t="s">
        <v>255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247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178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248</v>
      </c>
      <c r="M276" s="540"/>
      <c r="N276" s="545" t="s">
        <v>256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249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250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251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252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253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254</v>
      </c>
      <c r="D283" s="540"/>
      <c r="E283" s="286">
        <f>'BD Team'!B34</f>
        <v>0</v>
      </c>
      <c r="F283" s="288" t="s">
        <v>255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247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178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248</v>
      </c>
      <c r="M287" s="540"/>
      <c r="N287" s="545" t="s">
        <v>256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249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250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251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252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253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254</v>
      </c>
      <c r="D294" s="540"/>
      <c r="E294" s="286">
        <f>'BD Team'!B35</f>
        <v>0</v>
      </c>
      <c r="F294" s="288" t="s">
        <v>255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247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178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248</v>
      </c>
      <c r="M298" s="540"/>
      <c r="N298" s="545" t="s">
        <v>256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249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250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251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252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253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254</v>
      </c>
      <c r="D305" s="540"/>
      <c r="E305" s="286">
        <f>'BD Team'!B36</f>
        <v>0</v>
      </c>
      <c r="F305" s="288" t="s">
        <v>255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247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178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248</v>
      </c>
      <c r="M309" s="540"/>
      <c r="N309" s="545" t="s">
        <v>256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249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250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251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252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253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254</v>
      </c>
      <c r="D316" s="540"/>
      <c r="E316" s="286">
        <f>'BD Team'!B37</f>
        <v>0</v>
      </c>
      <c r="F316" s="288" t="s">
        <v>255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247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178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248</v>
      </c>
      <c r="M320" s="540"/>
      <c r="N320" s="545" t="s">
        <v>256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249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250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251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252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253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254</v>
      </c>
      <c r="D327" s="540"/>
      <c r="E327" s="286">
        <f>'BD Team'!B38</f>
        <v>0</v>
      </c>
      <c r="F327" s="288" t="s">
        <v>255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247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178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248</v>
      </c>
      <c r="M331" s="540"/>
      <c r="N331" s="545" t="s">
        <v>256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249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250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251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252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253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254</v>
      </c>
      <c r="D338" s="540"/>
      <c r="E338" s="286">
        <f>'BD Team'!B39</f>
        <v>0</v>
      </c>
      <c r="F338" s="288" t="s">
        <v>255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247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178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248</v>
      </c>
      <c r="M342" s="540"/>
      <c r="N342" s="545" t="s">
        <v>256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249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250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251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252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253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254</v>
      </c>
      <c r="D349" s="540"/>
      <c r="E349" s="286">
        <f>'BD Team'!B40</f>
        <v>0</v>
      </c>
      <c r="F349" s="288" t="s">
        <v>255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247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178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248</v>
      </c>
      <c r="M353" s="540"/>
      <c r="N353" s="545" t="s">
        <v>256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249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250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251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252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253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254</v>
      </c>
      <c r="D360" s="540"/>
      <c r="E360" s="286">
        <f>'BD Team'!B41</f>
        <v>0</v>
      </c>
      <c r="F360" s="288" t="s">
        <v>255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247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178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248</v>
      </c>
      <c r="M364" s="540"/>
      <c r="N364" s="545" t="s">
        <v>256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249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250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251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252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253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254</v>
      </c>
      <c r="D371" s="540"/>
      <c r="E371" s="286">
        <f>'BD Team'!B42</f>
        <v>0</v>
      </c>
      <c r="F371" s="288" t="s">
        <v>255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247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178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248</v>
      </c>
      <c r="M375" s="540"/>
      <c r="N375" s="545" t="s">
        <v>256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249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250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251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252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253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254</v>
      </c>
      <c r="D382" s="540"/>
      <c r="E382" s="286">
        <f>'BD Team'!B43</f>
        <v>0</v>
      </c>
      <c r="F382" s="288" t="s">
        <v>255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247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178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248</v>
      </c>
      <c r="M386" s="540"/>
      <c r="N386" s="545" t="s">
        <v>256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249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250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251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252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253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254</v>
      </c>
      <c r="D393" s="540"/>
      <c r="E393" s="286">
        <f>'BD Team'!B44</f>
        <v>0</v>
      </c>
      <c r="F393" s="288" t="s">
        <v>255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247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178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248</v>
      </c>
      <c r="M397" s="540"/>
      <c r="N397" s="545" t="s">
        <v>256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249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250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251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252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253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254</v>
      </c>
      <c r="D404" s="540"/>
      <c r="E404" s="286">
        <f>'BD Team'!B45</f>
        <v>0</v>
      </c>
      <c r="F404" s="288" t="s">
        <v>255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247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178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248</v>
      </c>
      <c r="M408" s="540"/>
      <c r="N408" s="545" t="s">
        <v>256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249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250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251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252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253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254</v>
      </c>
      <c r="D415" s="540"/>
      <c r="E415" s="286">
        <f>'BD Team'!B46</f>
        <v>0</v>
      </c>
      <c r="F415" s="288" t="s">
        <v>255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247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178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248</v>
      </c>
      <c r="M419" s="540"/>
      <c r="N419" s="545" t="s">
        <v>256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249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250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251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252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253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254</v>
      </c>
      <c r="D426" s="540"/>
      <c r="E426" s="286">
        <f>'BD Team'!B47</f>
        <v>0</v>
      </c>
      <c r="F426" s="288" t="s">
        <v>255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247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178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248</v>
      </c>
      <c r="M430" s="540"/>
      <c r="N430" s="545" t="s">
        <v>256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249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250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251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252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253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254</v>
      </c>
      <c r="D437" s="540"/>
      <c r="E437" s="286">
        <f>'BD Team'!B48</f>
        <v>0</v>
      </c>
      <c r="F437" s="288" t="s">
        <v>255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247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178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248</v>
      </c>
      <c r="M441" s="540"/>
      <c r="N441" s="545" t="s">
        <v>256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249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250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251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252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253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254</v>
      </c>
      <c r="D448" s="540"/>
      <c r="E448" s="286">
        <f>'BD Team'!B49</f>
        <v>0</v>
      </c>
      <c r="F448" s="288" t="s">
        <v>255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247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178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248</v>
      </c>
      <c r="M452" s="540"/>
      <c r="N452" s="545" t="s">
        <v>256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249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250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251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252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253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254</v>
      </c>
      <c r="D459" s="540"/>
      <c r="E459" s="286">
        <f>'BD Team'!B50</f>
        <v>0</v>
      </c>
      <c r="F459" s="288" t="s">
        <v>255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247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178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248</v>
      </c>
      <c r="M463" s="540"/>
      <c r="N463" s="545" t="s">
        <v>256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249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250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251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252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253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254</v>
      </c>
      <c r="D470" s="540"/>
      <c r="E470" s="286">
        <f>'BD Team'!B51</f>
        <v>0</v>
      </c>
      <c r="F470" s="288" t="s">
        <v>255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247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178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248</v>
      </c>
      <c r="M474" s="540"/>
      <c r="N474" s="545" t="s">
        <v>256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249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250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251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252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253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254</v>
      </c>
      <c r="D481" s="540"/>
      <c r="E481" s="286">
        <f>'BD Team'!B52</f>
        <v>0</v>
      </c>
      <c r="F481" s="288" t="s">
        <v>255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247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178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248</v>
      </c>
      <c r="M485" s="540"/>
      <c r="N485" s="545" t="s">
        <v>256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249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250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251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252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253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254</v>
      </c>
      <c r="D492" s="540"/>
      <c r="E492" s="286">
        <f>'BD Team'!B53</f>
        <v>0</v>
      </c>
      <c r="F492" s="288" t="s">
        <v>255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247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178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248</v>
      </c>
      <c r="M496" s="540"/>
      <c r="N496" s="545" t="s">
        <v>256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249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250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251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252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253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254</v>
      </c>
      <c r="D503" s="540"/>
      <c r="E503" s="286">
        <f>'BD Team'!B54</f>
        <v>0</v>
      </c>
      <c r="F503" s="288" t="s">
        <v>255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247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178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248</v>
      </c>
      <c r="M507" s="540"/>
      <c r="N507" s="545" t="s">
        <v>256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249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250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251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252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253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254</v>
      </c>
      <c r="D514" s="540"/>
      <c r="E514" s="286">
        <f>'BD Team'!B55</f>
        <v>0</v>
      </c>
      <c r="F514" s="288" t="s">
        <v>255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247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178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248</v>
      </c>
      <c r="M518" s="540"/>
      <c r="N518" s="545" t="s">
        <v>256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249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250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251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252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253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254</v>
      </c>
      <c r="D525" s="540"/>
      <c r="E525" s="286">
        <f>'BD Team'!B56</f>
        <v>0</v>
      </c>
      <c r="F525" s="288" t="s">
        <v>255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247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178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248</v>
      </c>
      <c r="M529" s="540"/>
      <c r="N529" s="545" t="s">
        <v>256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249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250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251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252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253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254</v>
      </c>
      <c r="D536" s="540"/>
      <c r="E536" s="286">
        <f>'BD Team'!B57</f>
        <v>0</v>
      </c>
      <c r="F536" s="288" t="s">
        <v>255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247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178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248</v>
      </c>
      <c r="M540" s="540"/>
      <c r="N540" s="545" t="s">
        <v>256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249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250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251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252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253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254</v>
      </c>
      <c r="D547" s="540"/>
      <c r="E547" s="286">
        <f>'BD Team'!B58</f>
        <v>0</v>
      </c>
      <c r="F547" s="288" t="s">
        <v>255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247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178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248</v>
      </c>
      <c r="M551" s="540"/>
      <c r="N551" s="545" t="s">
        <v>256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249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250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251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252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253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254</v>
      </c>
      <c r="D558" s="540"/>
      <c r="E558" s="289">
        <f>'BD Team'!B59</f>
        <v>0</v>
      </c>
      <c r="F558" s="288" t="s">
        <v>255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247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178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248</v>
      </c>
      <c r="M562" s="540"/>
      <c r="N562" s="545" t="s">
        <v>256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249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250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251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252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253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254</v>
      </c>
      <c r="D569" s="540"/>
      <c r="E569" s="289">
        <f>'BD Team'!B60</f>
        <v>0</v>
      </c>
      <c r="F569" s="288" t="s">
        <v>255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247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178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248</v>
      </c>
      <c r="M573" s="540"/>
      <c r="N573" s="545" t="s">
        <v>256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249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250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251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252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253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254</v>
      </c>
      <c r="D580" s="540"/>
      <c r="E580" s="289">
        <f>'BD Team'!B61</f>
        <v>0</v>
      </c>
      <c r="F580" s="288" t="s">
        <v>255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247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178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248</v>
      </c>
      <c r="M584" s="540"/>
      <c r="N584" s="545" t="s">
        <v>256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249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250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251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252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253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254</v>
      </c>
      <c r="D591" s="540"/>
      <c r="E591" s="289">
        <f>'BD Team'!B62</f>
        <v>0</v>
      </c>
      <c r="F591" s="288" t="s">
        <v>255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247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178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248</v>
      </c>
      <c r="M595" s="540"/>
      <c r="N595" s="545" t="s">
        <v>256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249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250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251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252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253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254</v>
      </c>
      <c r="D602" s="540"/>
      <c r="E602" s="289">
        <f>'BD Team'!B63</f>
        <v>0</v>
      </c>
      <c r="F602" s="288" t="s">
        <v>255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247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178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248</v>
      </c>
      <c r="M606" s="540"/>
      <c r="N606" s="545" t="s">
        <v>256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249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250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251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252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253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254</v>
      </c>
      <c r="D613" s="540"/>
      <c r="E613" s="289">
        <f>'BD Team'!B64</f>
        <v>0</v>
      </c>
      <c r="F613" s="288" t="s">
        <v>255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247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178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248</v>
      </c>
      <c r="M617" s="540"/>
      <c r="N617" s="545" t="s">
        <v>256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249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250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251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252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253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254</v>
      </c>
      <c r="D624" s="540"/>
      <c r="E624" s="289">
        <f>'BD Team'!B65</f>
        <v>0</v>
      </c>
      <c r="F624" s="288" t="s">
        <v>255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247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178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248</v>
      </c>
      <c r="M628" s="540"/>
      <c r="N628" s="545" t="s">
        <v>256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249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250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251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252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253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254</v>
      </c>
      <c r="D635" s="540"/>
      <c r="E635" s="289">
        <f>'BD Team'!B66</f>
        <v>0</v>
      </c>
      <c r="F635" s="288" t="s">
        <v>255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247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178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248</v>
      </c>
      <c r="M639" s="540"/>
      <c r="N639" s="545" t="s">
        <v>256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249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250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251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252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253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254</v>
      </c>
      <c r="D646" s="540"/>
      <c r="E646" s="289">
        <f>'BD Team'!B67</f>
        <v>0</v>
      </c>
      <c r="F646" s="288" t="s">
        <v>255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247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178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248</v>
      </c>
      <c r="M650" s="540"/>
      <c r="N650" s="545" t="s">
        <v>256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249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250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251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252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253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254</v>
      </c>
      <c r="D657" s="540"/>
      <c r="E657" s="289">
        <f>'BD Team'!B68</f>
        <v>0</v>
      </c>
      <c r="F657" s="288" t="s">
        <v>255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247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178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248</v>
      </c>
      <c r="M661" s="540"/>
      <c r="N661" s="545" t="s">
        <v>256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249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250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251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252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253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254</v>
      </c>
      <c r="D668" s="540"/>
      <c r="E668" s="289">
        <f>'BD Team'!B69</f>
        <v>0</v>
      </c>
      <c r="F668" s="288" t="s">
        <v>255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247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178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248</v>
      </c>
      <c r="M672" s="540"/>
      <c r="N672" s="545" t="s">
        <v>256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249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250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251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252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253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254</v>
      </c>
      <c r="D679" s="540"/>
      <c r="E679" s="289">
        <f>'BD Team'!B70</f>
        <v>0</v>
      </c>
      <c r="F679" s="288" t="s">
        <v>255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247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178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248</v>
      </c>
      <c r="M683" s="540"/>
      <c r="N683" s="545" t="s">
        <v>256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249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250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251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252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253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254</v>
      </c>
      <c r="D690" s="540"/>
      <c r="E690" s="289">
        <f>'BD Team'!B71</f>
        <v>0</v>
      </c>
      <c r="F690" s="288" t="s">
        <v>255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247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178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248</v>
      </c>
      <c r="M694" s="540"/>
      <c r="N694" s="545" t="s">
        <v>256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249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250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251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252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253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254</v>
      </c>
      <c r="D701" s="540"/>
      <c r="E701" s="289">
        <f>'BD Team'!B72</f>
        <v>0</v>
      </c>
      <c r="F701" s="288" t="s">
        <v>255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247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178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248</v>
      </c>
      <c r="M705" s="540"/>
      <c r="N705" s="545" t="s">
        <v>256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249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250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251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252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253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254</v>
      </c>
      <c r="D712" s="540"/>
      <c r="E712" s="289">
        <f>'BD Team'!B73</f>
        <v>0</v>
      </c>
      <c r="F712" s="288" t="s">
        <v>255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247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178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248</v>
      </c>
      <c r="M716" s="540"/>
      <c r="N716" s="545" t="s">
        <v>256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249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250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251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252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253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254</v>
      </c>
      <c r="D723" s="540"/>
      <c r="E723" s="289">
        <f>'BD Team'!B74</f>
        <v>0</v>
      </c>
      <c r="F723" s="288" t="s">
        <v>255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247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178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248</v>
      </c>
      <c r="M727" s="540"/>
      <c r="N727" s="545" t="s">
        <v>256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249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250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251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252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253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254</v>
      </c>
      <c r="D734" s="540"/>
      <c r="E734" s="289">
        <f>'BD Team'!B75</f>
        <v>0</v>
      </c>
      <c r="F734" s="288" t="s">
        <v>255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247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178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248</v>
      </c>
      <c r="M738" s="540"/>
      <c r="N738" s="545" t="s">
        <v>256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249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250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251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252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253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254</v>
      </c>
      <c r="D745" s="540"/>
      <c r="E745" s="289">
        <f>'BD Team'!B76</f>
        <v>0</v>
      </c>
      <c r="F745" s="288" t="s">
        <v>255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247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178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248</v>
      </c>
      <c r="M749" s="540"/>
      <c r="N749" s="545" t="s">
        <v>256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249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250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251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252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253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254</v>
      </c>
      <c r="D756" s="540"/>
      <c r="E756" s="289">
        <f>'BD Team'!B77</f>
        <v>0</v>
      </c>
      <c r="F756" s="288" t="s">
        <v>255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247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178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248</v>
      </c>
      <c r="M760" s="540"/>
      <c r="N760" s="545" t="s">
        <v>256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249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250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251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252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253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254</v>
      </c>
      <c r="D767" s="540"/>
      <c r="E767" s="289">
        <f>'BD Team'!B78</f>
        <v>0</v>
      </c>
      <c r="F767" s="288" t="s">
        <v>255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247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178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248</v>
      </c>
      <c r="M771" s="540"/>
      <c r="N771" s="545" t="s">
        <v>256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249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250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251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252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253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254</v>
      </c>
      <c r="D778" s="540"/>
      <c r="E778" s="289">
        <f>'BD Team'!B79</f>
        <v>0</v>
      </c>
      <c r="F778" s="288" t="s">
        <v>255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247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178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248</v>
      </c>
      <c r="M782" s="540"/>
      <c r="N782" s="545" t="s">
        <v>256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249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250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251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252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253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254</v>
      </c>
      <c r="D789" s="540"/>
      <c r="E789" s="289">
        <f>'BD Team'!B80</f>
        <v>0</v>
      </c>
      <c r="F789" s="288" t="s">
        <v>255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247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178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248</v>
      </c>
      <c r="M793" s="540"/>
      <c r="N793" s="545" t="s">
        <v>256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249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250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251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252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253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254</v>
      </c>
      <c r="D800" s="540"/>
      <c r="E800" s="289">
        <f>'BD Team'!B81</f>
        <v>0</v>
      </c>
      <c r="F800" s="288" t="s">
        <v>255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247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178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248</v>
      </c>
      <c r="M804" s="540"/>
      <c r="N804" s="545" t="s">
        <v>256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249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250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251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252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253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254</v>
      </c>
      <c r="D811" s="540"/>
      <c r="E811" s="289">
        <f>'BD Team'!B82</f>
        <v>0</v>
      </c>
      <c r="F811" s="288" t="s">
        <v>255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247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178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248</v>
      </c>
      <c r="M815" s="540"/>
      <c r="N815" s="545" t="s">
        <v>256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249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250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251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252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253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254</v>
      </c>
      <c r="D822" s="540"/>
      <c r="E822" s="289">
        <f>'BD Team'!B83</f>
        <v>0</v>
      </c>
      <c r="F822" s="288" t="s">
        <v>255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247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178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248</v>
      </c>
      <c r="M826" s="540"/>
      <c r="N826" s="545" t="s">
        <v>256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249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250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251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252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253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254</v>
      </c>
      <c r="D833" s="540"/>
      <c r="E833" s="289">
        <f>'BD Team'!B84</f>
        <v>0</v>
      </c>
      <c r="F833" s="288" t="s">
        <v>255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247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178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248</v>
      </c>
      <c r="M837" s="540"/>
      <c r="N837" s="545" t="s">
        <v>256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249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250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251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252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253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254</v>
      </c>
      <c r="D844" s="540"/>
      <c r="E844" s="289">
        <f>'BD Team'!B85</f>
        <v>0</v>
      </c>
      <c r="F844" s="288" t="s">
        <v>255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247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178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248</v>
      </c>
      <c r="M848" s="540"/>
      <c r="N848" s="545" t="s">
        <v>256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249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250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251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252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253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254</v>
      </c>
      <c r="D855" s="540"/>
      <c r="E855" s="289">
        <f>'BD Team'!B86</f>
        <v>0</v>
      </c>
      <c r="F855" s="288" t="s">
        <v>255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247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178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248</v>
      </c>
      <c r="M859" s="540"/>
      <c r="N859" s="545" t="s">
        <v>256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249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250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251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252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253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254</v>
      </c>
      <c r="D866" s="540"/>
      <c r="E866" s="289">
        <f>'BD Team'!B87</f>
        <v>0</v>
      </c>
      <c r="F866" s="288" t="s">
        <v>255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247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178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248</v>
      </c>
      <c r="M870" s="540"/>
      <c r="N870" s="545" t="s">
        <v>256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249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250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251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252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253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254</v>
      </c>
      <c r="D877" s="540"/>
      <c r="E877" s="289">
        <f>'BD Team'!B88</f>
        <v>0</v>
      </c>
      <c r="F877" s="288" t="s">
        <v>255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247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178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248</v>
      </c>
      <c r="M881" s="540"/>
      <c r="N881" s="545" t="s">
        <v>256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249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250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251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252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253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254</v>
      </c>
      <c r="D888" s="540"/>
      <c r="E888" s="289">
        <f>'BD Team'!B89</f>
        <v>0</v>
      </c>
      <c r="F888" s="288" t="s">
        <v>255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247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178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248</v>
      </c>
      <c r="M892" s="540"/>
      <c r="N892" s="545" t="s">
        <v>256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249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250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251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252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253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254</v>
      </c>
      <c r="D899" s="540"/>
      <c r="E899" s="289">
        <f>'BD Team'!B90</f>
        <v>0</v>
      </c>
      <c r="F899" s="288" t="s">
        <v>255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247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178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248</v>
      </c>
      <c r="M903" s="540"/>
      <c r="N903" s="545" t="s">
        <v>256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249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250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251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252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253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254</v>
      </c>
      <c r="D910" s="540"/>
      <c r="E910" s="289">
        <f>'BD Team'!B91</f>
        <v>0</v>
      </c>
      <c r="F910" s="288" t="s">
        <v>255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247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178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248</v>
      </c>
      <c r="M914" s="540"/>
      <c r="N914" s="545" t="s">
        <v>256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249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250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251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252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253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254</v>
      </c>
      <c r="D921" s="540"/>
      <c r="E921" s="289">
        <f>'BD Team'!B92</f>
        <v>0</v>
      </c>
      <c r="F921" s="288" t="s">
        <v>255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247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178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248</v>
      </c>
      <c r="M925" s="540"/>
      <c r="N925" s="545" t="s">
        <v>256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249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250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251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252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253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254</v>
      </c>
      <c r="D932" s="540"/>
      <c r="E932" s="289">
        <f>'BD Team'!B93</f>
        <v>0</v>
      </c>
      <c r="F932" s="288" t="s">
        <v>255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247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178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248</v>
      </c>
      <c r="M936" s="540"/>
      <c r="N936" s="545" t="s">
        <v>256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249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250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251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252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253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254</v>
      </c>
      <c r="D943" s="540"/>
      <c r="E943" s="289">
        <f>'BD Team'!B94</f>
        <v>0</v>
      </c>
      <c r="F943" s="288" t="s">
        <v>255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247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178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248</v>
      </c>
      <c r="M947" s="540"/>
      <c r="N947" s="545" t="s">
        <v>256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249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250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251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252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253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254</v>
      </c>
      <c r="D954" s="540"/>
      <c r="E954" s="289">
        <f>'BD Team'!B95</f>
        <v>0</v>
      </c>
      <c r="F954" s="288" t="s">
        <v>255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247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178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248</v>
      </c>
      <c r="M958" s="540"/>
      <c r="N958" s="545" t="s">
        <v>256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249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250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251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252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253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254</v>
      </c>
      <c r="D965" s="540"/>
      <c r="E965" s="289">
        <f>'BD Team'!B96</f>
        <v>0</v>
      </c>
      <c r="F965" s="288" t="s">
        <v>255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247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178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248</v>
      </c>
      <c r="M969" s="540"/>
      <c r="N969" s="545" t="s">
        <v>256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249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250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251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252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253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254</v>
      </c>
      <c r="D976" s="540"/>
      <c r="E976" s="289">
        <f>'BD Team'!B97</f>
        <v>0</v>
      </c>
      <c r="F976" s="288" t="s">
        <v>255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247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178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248</v>
      </c>
      <c r="M980" s="540"/>
      <c r="N980" s="545" t="s">
        <v>256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249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250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251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252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253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254</v>
      </c>
      <c r="D987" s="540"/>
      <c r="E987" s="289">
        <f>'BD Team'!B98</f>
        <v>0</v>
      </c>
      <c r="F987" s="288" t="s">
        <v>255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247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178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248</v>
      </c>
      <c r="M991" s="540"/>
      <c r="N991" s="545" t="s">
        <v>256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249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250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251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252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253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254</v>
      </c>
      <c r="D998" s="540"/>
      <c r="E998" s="289">
        <f>'BD Team'!B99</f>
        <v>0</v>
      </c>
      <c r="F998" s="288" t="s">
        <v>255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247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178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248</v>
      </c>
      <c r="M1002" s="540"/>
      <c r="N1002" s="545" t="s">
        <v>256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249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250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251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252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253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254</v>
      </c>
      <c r="D1009" s="540"/>
      <c r="E1009" s="289">
        <f>'BD Team'!B100</f>
        <v>0</v>
      </c>
      <c r="F1009" s="288" t="s">
        <v>255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247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178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248</v>
      </c>
      <c r="M1013" s="540"/>
      <c r="N1013" s="545" t="s">
        <v>256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249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250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251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252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253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254</v>
      </c>
      <c r="D1020" s="540"/>
      <c r="E1020" s="289">
        <f>'BD Team'!B101</f>
        <v>0</v>
      </c>
      <c r="F1020" s="288" t="s">
        <v>255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247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178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248</v>
      </c>
      <c r="M1024" s="540"/>
      <c r="N1024" s="545" t="s">
        <v>256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249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250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251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252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253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254</v>
      </c>
      <c r="D1031" s="540"/>
      <c r="E1031" s="289">
        <f>'BD Team'!B102</f>
        <v>0</v>
      </c>
      <c r="F1031" s="288" t="s">
        <v>255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247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178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248</v>
      </c>
      <c r="M1035" s="540"/>
      <c r="N1035" s="545" t="s">
        <v>256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249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250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251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252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253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254</v>
      </c>
      <c r="D1042" s="540"/>
      <c r="E1042" s="289">
        <f>'BD Team'!B103</f>
        <v>0</v>
      </c>
      <c r="F1042" s="288" t="s">
        <v>255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247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178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248</v>
      </c>
      <c r="M1046" s="540"/>
      <c r="N1046" s="545" t="s">
        <v>256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249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250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251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252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253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254</v>
      </c>
      <c r="D1053" s="540"/>
      <c r="E1053" s="289">
        <f>'BD Team'!B104</f>
        <v>0</v>
      </c>
      <c r="F1053" s="288" t="s">
        <v>255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247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178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248</v>
      </c>
      <c r="M1057" s="540"/>
      <c r="N1057" s="545" t="s">
        <v>256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249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250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251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252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253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254</v>
      </c>
      <c r="D1064" s="540"/>
      <c r="E1064" s="289">
        <f>'BD Team'!B105</f>
        <v>0</v>
      </c>
      <c r="F1064" s="288" t="s">
        <v>255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247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178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248</v>
      </c>
      <c r="M1068" s="540"/>
      <c r="N1068" s="545" t="s">
        <v>256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249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250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251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252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253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254</v>
      </c>
      <c r="D1075" s="540"/>
      <c r="E1075" s="289">
        <f>'BD Team'!B106</f>
        <v>0</v>
      </c>
      <c r="F1075" s="288" t="s">
        <v>255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247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178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248</v>
      </c>
      <c r="M1079" s="540"/>
      <c r="N1079" s="545" t="s">
        <v>256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249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250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251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252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253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254</v>
      </c>
      <c r="D1086" s="540"/>
      <c r="E1086" s="289">
        <f>'BD Team'!B107</f>
        <v>0</v>
      </c>
      <c r="F1086" s="288" t="s">
        <v>255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247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178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248</v>
      </c>
      <c r="M1090" s="540"/>
      <c r="N1090" s="545" t="s">
        <v>256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249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250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251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252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253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254</v>
      </c>
      <c r="D1097" s="540"/>
      <c r="E1097" s="289">
        <f>'BD Team'!B108</f>
        <v>0</v>
      </c>
      <c r="F1097" s="288" t="s">
        <v>255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247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178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248</v>
      </c>
      <c r="M1101" s="540"/>
      <c r="N1101" s="545" t="s">
        <v>256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249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250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251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252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253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453</v>
      </c>
    </row>
    <row r="5" spans="3:5">
      <c r="C5" s="236" t="s">
        <v>396</v>
      </c>
      <c r="D5" s="236" t="s">
        <v>394</v>
      </c>
      <c r="E5" s="309">
        <f>ROUND(Pricing!U104,0.1)/40</f>
        <v>13.6</v>
      </c>
    </row>
    <row r="6" spans="3:5">
      <c r="C6" s="236" t="s">
        <v>83</v>
      </c>
      <c r="D6" s="236" t="s">
        <v>393</v>
      </c>
      <c r="E6" s="309">
        <f>ROUND(Pricing!V104,0.1)</f>
        <v>28</v>
      </c>
    </row>
    <row r="7" spans="3:5">
      <c r="C7" s="236" t="s">
        <v>400</v>
      </c>
      <c r="D7" s="236" t="s">
        <v>392</v>
      </c>
      <c r="E7" s="309">
        <f>ROUND(Pricing!W104,0.1)</f>
        <v>453</v>
      </c>
    </row>
    <row r="8" spans="3:5">
      <c r="C8" s="236" t="s">
        <v>397</v>
      </c>
      <c r="D8" s="236" t="s">
        <v>392</v>
      </c>
      <c r="E8" s="309">
        <f>ROUND(Pricing!X104,0.1)</f>
        <v>906</v>
      </c>
    </row>
    <row r="9" spans="3:5">
      <c r="C9" t="s">
        <v>223</v>
      </c>
      <c r="D9" s="236" t="s">
        <v>395</v>
      </c>
      <c r="E9" s="309">
        <f>ROUND(Pricing!Y104,0.1)</f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A16" sqref="A1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D3-WD</v>
      </c>
      <c r="B2" s="318" t="str">
        <f>'BD Team'!C9</f>
        <v>M15000</v>
      </c>
      <c r="C2" s="318" t="str">
        <f>'BD Team'!D9</f>
        <v>FRENCH DOOR WITH TOP FIXED</v>
      </c>
      <c r="D2" s="318" t="str">
        <f>'BD Team'!E9</f>
        <v>6MM</v>
      </c>
      <c r="E2" s="318" t="str">
        <f>'BD Team'!G9</f>
        <v>08A - GF - DINING</v>
      </c>
      <c r="F2" s="318" t="str">
        <f>'BD Team'!F9</f>
        <v>NO</v>
      </c>
      <c r="I2" s="318">
        <f>'BD Team'!H9</f>
        <v>2440</v>
      </c>
      <c r="J2" s="318">
        <f>'BD Team'!I9</f>
        <v>3354</v>
      </c>
      <c r="K2" s="318">
        <f>'BD Team'!J9</f>
        <v>1</v>
      </c>
      <c r="L2" s="319">
        <f>'BD Team'!K9</f>
        <v>595.13</v>
      </c>
      <c r="M2" s="318">
        <f>Pricing!O4</f>
        <v>1002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SD1-WD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6MM</v>
      </c>
      <c r="E3" s="318" t="str">
        <f>'BD Team'!G10</f>
        <v>08B - GF - GBR</v>
      </c>
      <c r="F3" s="318" t="str">
        <f>'BD Team'!F10</f>
        <v>SS</v>
      </c>
      <c r="I3" s="318">
        <f>'BD Team'!H10</f>
        <v>1380</v>
      </c>
      <c r="J3" s="318">
        <f>'BD Team'!I10</f>
        <v>2440</v>
      </c>
      <c r="K3" s="318">
        <f>'BD Team'!J10</f>
        <v>1</v>
      </c>
      <c r="L3" s="319">
        <f>'BD Team'!K10</f>
        <v>437.55</v>
      </c>
      <c r="M3" s="318">
        <f>Pricing!O5</f>
        <v>1002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SD2-WD</v>
      </c>
      <c r="B4" s="318" t="str">
        <f>'BD Team'!C11</f>
        <v>M14600</v>
      </c>
      <c r="C4" s="318" t="str">
        <f>'BD Team'!D11</f>
        <v>3 TRACK 2 SHUTTER SLIDING DOOR</v>
      </c>
      <c r="D4" s="318" t="str">
        <f>'BD Team'!E11</f>
        <v>6MM</v>
      </c>
      <c r="E4" s="318" t="str">
        <f>'BD Team'!G11</f>
        <v>08C - FF - MBR</v>
      </c>
      <c r="F4" s="318" t="str">
        <f>'BD Team'!F11</f>
        <v>SS</v>
      </c>
      <c r="I4" s="318">
        <f>'BD Team'!H11</f>
        <v>2744</v>
      </c>
      <c r="J4" s="318">
        <f>'BD Team'!I11</f>
        <v>2440</v>
      </c>
      <c r="K4" s="318">
        <f>'BD Team'!J11</f>
        <v>1</v>
      </c>
      <c r="L4" s="319">
        <f>'BD Team'!K11</f>
        <v>531.52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SD3-WD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6MM</v>
      </c>
      <c r="E5" s="318" t="str">
        <f>'BD Team'!G12</f>
        <v>08D - FF -BEDROOM 2</v>
      </c>
      <c r="F5" s="318" t="str">
        <f>'BD Team'!F12</f>
        <v>SS</v>
      </c>
      <c r="I5" s="318">
        <f>'BD Team'!H12</f>
        <v>2440</v>
      </c>
      <c r="J5" s="318">
        <f>'BD Team'!I12</f>
        <v>2134</v>
      </c>
      <c r="K5" s="318">
        <f>'BD Team'!J12</f>
        <v>1</v>
      </c>
      <c r="L5" s="319">
        <f>'BD Team'!K12</f>
        <v>484.21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GL1-WD</v>
      </c>
      <c r="B6" s="318" t="str">
        <f>'BD Team'!C13</f>
        <v>M14600 &amp; M15000</v>
      </c>
      <c r="C6" s="318" t="str">
        <f>'BD Team'!D13</f>
        <v>3 TRACK 3 SHUTTER SLIDING DOOR WITH TOP FIXED</v>
      </c>
      <c r="D6" s="318" t="str">
        <f>'BD Team'!E13</f>
        <v>8MM &amp; 6MM</v>
      </c>
      <c r="E6" s="318" t="str">
        <f>'BD Team'!G13</f>
        <v>08E - GF - LOUNGE</v>
      </c>
      <c r="F6" s="318" t="str">
        <f>'BD Team'!F13</f>
        <v>RETRACTABLE</v>
      </c>
      <c r="I6" s="318">
        <f>'BD Team'!H13</f>
        <v>5488</v>
      </c>
      <c r="J6" s="318">
        <f>'BD Team'!I13</f>
        <v>3354</v>
      </c>
      <c r="K6" s="318">
        <f>'BD Team'!J13</f>
        <v>1</v>
      </c>
      <c r="L6" s="319">
        <f>'BD Team'!K13</f>
        <v>1063.78</v>
      </c>
      <c r="M6" s="318">
        <f>Pricing!O8</f>
        <v>1322</v>
      </c>
      <c r="N6" s="318">
        <f>Pricing!Q8</f>
        <v>0</v>
      </c>
      <c r="O6" s="318">
        <f>Pricing!R8</f>
        <v>4305.5999999999995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GL2-WD</v>
      </c>
      <c r="B7" s="318" t="str">
        <f>'BD Team'!C14</f>
        <v>M15000</v>
      </c>
      <c r="C7" s="318" t="str">
        <f>'BD Team'!D14</f>
        <v>2 SIDE HUNG WINDOWS WITH 7 FIXED</v>
      </c>
      <c r="D7" s="318" t="str">
        <f>'BD Team'!E14</f>
        <v>6MM</v>
      </c>
      <c r="E7" s="318" t="str">
        <f>'BD Team'!G14</f>
        <v>08F - GF - LOUNGE</v>
      </c>
      <c r="F7" s="318" t="str">
        <f>'BD Team'!F14</f>
        <v>NO</v>
      </c>
      <c r="I7" s="318">
        <f>'BD Team'!H14</f>
        <v>4040</v>
      </c>
      <c r="J7" s="318">
        <f>'BD Team'!I14</f>
        <v>3252</v>
      </c>
      <c r="K7" s="318">
        <f>'BD Team'!J14</f>
        <v>1</v>
      </c>
      <c r="L7" s="319">
        <f>'BD Team'!K14</f>
        <v>1229.26</v>
      </c>
      <c r="M7" s="318">
        <f>Pricing!O9</f>
        <v>1002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W6A</v>
      </c>
      <c r="B8" s="318" t="str">
        <f>'BD Team'!C15</f>
        <v>M15000</v>
      </c>
      <c r="C8" s="318" t="str">
        <f>'BD Team'!D15</f>
        <v>FIXED GLASS 3 NO'S</v>
      </c>
      <c r="D8" s="318" t="str">
        <f>'BD Team'!E15</f>
        <v>6MM</v>
      </c>
      <c r="E8" s="318" t="str">
        <f>'BD Team'!G15</f>
        <v>08G - GF - DINING</v>
      </c>
      <c r="F8" s="318" t="str">
        <f>'BD Team'!F15</f>
        <v>NO</v>
      </c>
      <c r="I8" s="318">
        <f>'BD Team'!H15</f>
        <v>1652</v>
      </c>
      <c r="J8" s="318">
        <f>'BD Team'!I15</f>
        <v>3252</v>
      </c>
      <c r="K8" s="318">
        <f>'BD Team'!J15</f>
        <v>1</v>
      </c>
      <c r="L8" s="319">
        <f>'BD Team'!K15</f>
        <v>184.95</v>
      </c>
      <c r="M8" s="318">
        <f>Pricing!O10</f>
        <v>1002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W6B</v>
      </c>
      <c r="B9" s="318" t="str">
        <f>'BD Team'!C16</f>
        <v>M15000</v>
      </c>
      <c r="C9" s="318" t="str">
        <f>'BD Team'!D16</f>
        <v>FIXED GLASS 3 NO'S</v>
      </c>
      <c r="D9" s="318" t="str">
        <f>'BD Team'!E16</f>
        <v>6MM</v>
      </c>
      <c r="E9" s="318" t="str">
        <f>'BD Team'!G16</f>
        <v>08G - GF - DINING</v>
      </c>
      <c r="F9" s="318" t="str">
        <f>'BD Team'!F16</f>
        <v>NO</v>
      </c>
      <c r="I9" s="318">
        <f>'BD Team'!H16</f>
        <v>1702</v>
      </c>
      <c r="J9" s="318">
        <f>'BD Team'!I16</f>
        <v>3252</v>
      </c>
      <c r="K9" s="318">
        <f>'BD Team'!J16</f>
        <v>1</v>
      </c>
      <c r="L9" s="319">
        <f>'BD Team'!K16</f>
        <v>187.8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W9A</v>
      </c>
      <c r="B10" s="318" t="str">
        <f>'BD Team'!C17</f>
        <v>M14600 &amp; M15000</v>
      </c>
      <c r="C10" s="318" t="str">
        <f>'BD Team'!D17</f>
        <v>3 TRACK 2 SHUTTER SLIDING DOOR WITH 4 FIXED</v>
      </c>
      <c r="D10" s="318" t="str">
        <f>'BD Team'!E17</f>
        <v>6MM</v>
      </c>
      <c r="E10" s="318" t="str">
        <f>'BD Team'!G17</f>
        <v>08I - FF - STAIRCASE</v>
      </c>
      <c r="F10" s="318" t="str">
        <f>'BD Team'!F17</f>
        <v>SS</v>
      </c>
      <c r="I10" s="318">
        <f>'BD Team'!H17</f>
        <v>2592</v>
      </c>
      <c r="J10" s="318">
        <f>'BD Team'!I17</f>
        <v>3556</v>
      </c>
      <c r="K10" s="318">
        <f>'BD Team'!J17</f>
        <v>1</v>
      </c>
      <c r="L10" s="319">
        <f>'BD Team'!K17</f>
        <v>856.92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W9B</v>
      </c>
      <c r="B11" s="318" t="str">
        <f>'BD Team'!C18</f>
        <v>M14600 &amp; M15000</v>
      </c>
      <c r="C11" s="318" t="str">
        <f>'BD Team'!D18</f>
        <v>3 TRACK 2 SHUTTER SLIDING DOOR WITH 7 FIXED</v>
      </c>
      <c r="D11" s="318" t="str">
        <f>'BD Team'!E18</f>
        <v>6MM</v>
      </c>
      <c r="E11" s="318" t="str">
        <f>'BD Team'!G18</f>
        <v>08J - SF - STAIRCASE</v>
      </c>
      <c r="F11" s="318" t="str">
        <f>'BD Team'!F18</f>
        <v>SS</v>
      </c>
      <c r="I11" s="318">
        <f>'BD Team'!H18</f>
        <v>2592</v>
      </c>
      <c r="J11" s="318">
        <f>'BD Team'!I18</f>
        <v>4318</v>
      </c>
      <c r="K11" s="318">
        <f>'BD Team'!J18</f>
        <v>1</v>
      </c>
      <c r="L11" s="319">
        <f>'BD Team'!K18</f>
        <v>1023.94</v>
      </c>
      <c r="M11" s="318">
        <f>Pricing!O13</f>
        <v>1002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V1</v>
      </c>
      <c r="B12" s="318" t="str">
        <f>'BD Team'!C19</f>
        <v>M940</v>
      </c>
      <c r="C12" s="318" t="str">
        <f>'BD Team'!D19</f>
        <v>2 FIXED GLASS WITH EXHAUST PROVISION</v>
      </c>
      <c r="D12" s="318" t="str">
        <f>'BD Team'!E19</f>
        <v>6MM (F)</v>
      </c>
      <c r="E12" s="318" t="str">
        <f>'BD Team'!G19</f>
        <v>GF - GUEST TOILET</v>
      </c>
      <c r="F12" s="318" t="str">
        <f>'BD Team'!F19</f>
        <v>NO</v>
      </c>
      <c r="I12" s="318">
        <f>'BD Team'!H19</f>
        <v>1678</v>
      </c>
      <c r="J12" s="318">
        <f>'BD Team'!I19</f>
        <v>916</v>
      </c>
      <c r="K12" s="318">
        <f>'BD Team'!J19</f>
        <v>1</v>
      </c>
      <c r="L12" s="319">
        <f>'BD Team'!K19</f>
        <v>78.09</v>
      </c>
      <c r="M12" s="318">
        <f>Pricing!O14</f>
        <v>2003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V2</v>
      </c>
      <c r="B13" s="318" t="str">
        <f>'BD Team'!C20</f>
        <v>M940</v>
      </c>
      <c r="C13" s="318" t="str">
        <f>'BD Team'!D20</f>
        <v>FIXED GLASS WITH EXHAUST PROVISION</v>
      </c>
      <c r="D13" s="318" t="str">
        <f>'BD Team'!E20</f>
        <v>6MM (F)</v>
      </c>
      <c r="E13" s="318" t="str">
        <f>'BD Team'!G20</f>
        <v>FF - BEDROOM TOILET</v>
      </c>
      <c r="F13" s="318" t="str">
        <f>'BD Team'!F20</f>
        <v>NO</v>
      </c>
      <c r="I13" s="318">
        <f>'BD Team'!H20</f>
        <v>458</v>
      </c>
      <c r="J13" s="318">
        <f>'BD Team'!I20</f>
        <v>916</v>
      </c>
      <c r="K13" s="318">
        <f>'BD Team'!J20</f>
        <v>1</v>
      </c>
      <c r="L13" s="319">
        <f>'BD Team'!K20</f>
        <v>36.03</v>
      </c>
      <c r="M13" s="318">
        <f>Pricing!O15</f>
        <v>2003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V3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6MM (F)</v>
      </c>
      <c r="E14" s="318" t="str">
        <f>'BD Team'!G21</f>
        <v>FF - MASTER WARDROBE</v>
      </c>
      <c r="F14" s="318" t="str">
        <f>'BD Team'!F21</f>
        <v>SS</v>
      </c>
      <c r="I14" s="318">
        <f>'BD Team'!H21</f>
        <v>2744</v>
      </c>
      <c r="J14" s="318">
        <f>'BD Team'!I21</f>
        <v>610</v>
      </c>
      <c r="K14" s="318">
        <f>'BD Team'!J21</f>
        <v>1</v>
      </c>
      <c r="L14" s="319">
        <f>'BD Team'!K21</f>
        <v>272.79000000000002</v>
      </c>
      <c r="M14" s="318">
        <f>Pricing!O16</f>
        <v>2003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V4</v>
      </c>
      <c r="B15" s="318" t="str">
        <f>'BD Team'!C22</f>
        <v>M940</v>
      </c>
      <c r="C15" s="318" t="str">
        <f>'BD Team'!D22</f>
        <v>2 FIXED GLASS WITH EXHAUST PROVISION</v>
      </c>
      <c r="D15" s="318" t="str">
        <f>'BD Team'!E22</f>
        <v>6MM (F)</v>
      </c>
      <c r="E15" s="318" t="str">
        <f>'BD Team'!G22</f>
        <v>GF - POWDER ROOM</v>
      </c>
      <c r="F15" s="318" t="str">
        <f>'BD Team'!F22</f>
        <v>NO</v>
      </c>
      <c r="I15" s="318">
        <f>'BD Team'!H22</f>
        <v>1016</v>
      </c>
      <c r="J15" s="318">
        <f>'BD Team'!I22</f>
        <v>1220</v>
      </c>
      <c r="K15" s="318">
        <f>'BD Team'!J22</f>
        <v>1</v>
      </c>
      <c r="L15" s="319">
        <f>'BD Team'!K22</f>
        <v>77.13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23" sqref="G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185</v>
      </c>
      <c r="I2" s="332"/>
      <c r="J2" s="165" t="s">
        <v>425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183</v>
      </c>
      <c r="G3" s="162" t="s">
        <v>418</v>
      </c>
      <c r="H3" s="331" t="s">
        <v>186</v>
      </c>
      <c r="I3" s="332"/>
      <c r="J3" s="166">
        <v>43684</v>
      </c>
      <c r="K3" s="167"/>
      <c r="L3" s="104" t="s">
        <v>258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366</v>
      </c>
      <c r="F4" s="135"/>
      <c r="G4" s="164"/>
      <c r="H4" s="331" t="s">
        <v>187</v>
      </c>
      <c r="I4" s="332"/>
      <c r="J4" s="165" t="s">
        <v>403</v>
      </c>
      <c r="K4" s="167"/>
      <c r="L4" s="104" t="s">
        <v>259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424</v>
      </c>
      <c r="F5" s="136" t="s">
        <v>184</v>
      </c>
      <c r="G5" s="162" t="s">
        <v>208</v>
      </c>
      <c r="H5" s="331" t="s">
        <v>375</v>
      </c>
      <c r="I5" s="332"/>
      <c r="J5" s="165"/>
      <c r="K5" s="167"/>
      <c r="L5" s="104" t="s">
        <v>260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2440</v>
      </c>
      <c r="I9" s="113">
        <v>3354</v>
      </c>
      <c r="J9" s="113">
        <v>1</v>
      </c>
      <c r="K9" s="123">
        <v>595.13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429</v>
      </c>
      <c r="F10" s="113" t="s">
        <v>435</v>
      </c>
      <c r="G10" s="113" t="s">
        <v>436</v>
      </c>
      <c r="H10" s="113">
        <v>1380</v>
      </c>
      <c r="I10" s="113">
        <v>2440</v>
      </c>
      <c r="J10" s="113">
        <v>1</v>
      </c>
      <c r="K10" s="123">
        <v>437.55</v>
      </c>
      <c r="L10" s="47" t="s">
        <v>283</v>
      </c>
    </row>
    <row r="11" spans="1:13" ht="20.100000000000001" customHeight="1">
      <c r="A11" s="113">
        <v>3</v>
      </c>
      <c r="B11" s="113" t="s">
        <v>437</v>
      </c>
      <c r="C11" s="113" t="s">
        <v>433</v>
      </c>
      <c r="D11" s="113" t="s">
        <v>434</v>
      </c>
      <c r="E11" s="113" t="s">
        <v>429</v>
      </c>
      <c r="F11" s="113" t="s">
        <v>435</v>
      </c>
      <c r="G11" s="113" t="s">
        <v>438</v>
      </c>
      <c r="H11" s="113">
        <v>2744</v>
      </c>
      <c r="I11" s="113">
        <v>2440</v>
      </c>
      <c r="J11" s="113">
        <v>1</v>
      </c>
      <c r="K11" s="123">
        <v>531.52</v>
      </c>
      <c r="L11" s="47" t="s">
        <v>282</v>
      </c>
    </row>
    <row r="12" spans="1:13" ht="20.100000000000001" customHeight="1">
      <c r="A12" s="113">
        <v>4</v>
      </c>
      <c r="B12" s="113" t="s">
        <v>439</v>
      </c>
      <c r="C12" s="113" t="s">
        <v>433</v>
      </c>
      <c r="D12" s="113" t="s">
        <v>434</v>
      </c>
      <c r="E12" s="113" t="s">
        <v>429</v>
      </c>
      <c r="F12" s="113" t="s">
        <v>435</v>
      </c>
      <c r="G12" s="113" t="s">
        <v>440</v>
      </c>
      <c r="H12" s="113">
        <v>2440</v>
      </c>
      <c r="I12" s="113">
        <v>2134</v>
      </c>
      <c r="J12" s="113">
        <v>1</v>
      </c>
      <c r="K12" s="123">
        <v>484.21</v>
      </c>
      <c r="L12" s="47" t="s">
        <v>366</v>
      </c>
    </row>
    <row r="13" spans="1:13" ht="20.100000000000001" customHeight="1">
      <c r="A13" s="113">
        <v>5</v>
      </c>
      <c r="B13" s="113" t="s">
        <v>441</v>
      </c>
      <c r="C13" s="113" t="s">
        <v>442</v>
      </c>
      <c r="D13" s="113" t="s">
        <v>443</v>
      </c>
      <c r="E13" s="113" t="s">
        <v>444</v>
      </c>
      <c r="F13" s="113" t="s">
        <v>445</v>
      </c>
      <c r="G13" s="113" t="s">
        <v>446</v>
      </c>
      <c r="H13" s="113">
        <v>5488</v>
      </c>
      <c r="I13" s="113">
        <v>3354</v>
      </c>
      <c r="J13" s="113">
        <v>1</v>
      </c>
      <c r="K13" s="123">
        <v>1063.78</v>
      </c>
      <c r="L13" s="47" t="s">
        <v>367</v>
      </c>
    </row>
    <row r="14" spans="1:13">
      <c r="A14" s="113">
        <v>6</v>
      </c>
      <c r="B14" s="113" t="s">
        <v>447</v>
      </c>
      <c r="C14" s="113" t="s">
        <v>427</v>
      </c>
      <c r="D14" s="113" t="s">
        <v>448</v>
      </c>
      <c r="E14" s="113" t="s">
        <v>429</v>
      </c>
      <c r="F14" s="113" t="s">
        <v>430</v>
      </c>
      <c r="G14" s="113" t="s">
        <v>449</v>
      </c>
      <c r="H14" s="113">
        <v>4040</v>
      </c>
      <c r="I14" s="113">
        <v>3252</v>
      </c>
      <c r="J14" s="113">
        <v>1</v>
      </c>
      <c r="K14" s="123">
        <v>1229.26</v>
      </c>
      <c r="L14" s="47" t="s">
        <v>368</v>
      </c>
    </row>
    <row r="15" spans="1:13" ht="20.100000000000001" customHeight="1">
      <c r="A15" s="113">
        <v>7</v>
      </c>
      <c r="B15" s="113" t="s">
        <v>450</v>
      </c>
      <c r="C15" s="113" t="s">
        <v>427</v>
      </c>
      <c r="D15" s="113" t="s">
        <v>451</v>
      </c>
      <c r="E15" s="113" t="s">
        <v>429</v>
      </c>
      <c r="F15" s="113" t="s">
        <v>430</v>
      </c>
      <c r="G15" s="113" t="s">
        <v>452</v>
      </c>
      <c r="H15" s="113">
        <v>1652</v>
      </c>
      <c r="I15" s="113">
        <v>3252</v>
      </c>
      <c r="J15" s="113">
        <v>1</v>
      </c>
      <c r="K15" s="123">
        <v>184.95</v>
      </c>
      <c r="L15" s="47" t="s">
        <v>369</v>
      </c>
    </row>
    <row r="16" spans="1:13" ht="20.100000000000001" customHeight="1">
      <c r="A16" s="113">
        <v>8</v>
      </c>
      <c r="B16" s="113" t="s">
        <v>453</v>
      </c>
      <c r="C16" s="113" t="s">
        <v>427</v>
      </c>
      <c r="D16" s="113" t="s">
        <v>451</v>
      </c>
      <c r="E16" s="113" t="s">
        <v>429</v>
      </c>
      <c r="F16" s="113" t="s">
        <v>430</v>
      </c>
      <c r="G16" s="113" t="s">
        <v>452</v>
      </c>
      <c r="H16" s="113">
        <v>1702</v>
      </c>
      <c r="I16" s="113">
        <v>3252</v>
      </c>
      <c r="J16" s="113">
        <v>1</v>
      </c>
      <c r="K16" s="123">
        <v>187.8</v>
      </c>
      <c r="L16" s="47" t="s">
        <v>370</v>
      </c>
    </row>
    <row r="17" spans="1:13" ht="20.100000000000001" customHeight="1">
      <c r="A17" s="113">
        <v>9</v>
      </c>
      <c r="B17" s="113" t="s">
        <v>454</v>
      </c>
      <c r="C17" s="113" t="s">
        <v>442</v>
      </c>
      <c r="D17" s="113" t="s">
        <v>455</v>
      </c>
      <c r="E17" s="113" t="s">
        <v>429</v>
      </c>
      <c r="F17" s="113" t="s">
        <v>435</v>
      </c>
      <c r="G17" s="113" t="s">
        <v>456</v>
      </c>
      <c r="H17" s="113">
        <v>2592</v>
      </c>
      <c r="I17" s="113">
        <v>3556</v>
      </c>
      <c r="J17" s="113">
        <v>1</v>
      </c>
      <c r="K17" s="123">
        <v>856.92</v>
      </c>
      <c r="L17" s="47" t="s">
        <v>371</v>
      </c>
    </row>
    <row r="18" spans="1:13" ht="20.100000000000001" customHeight="1">
      <c r="A18" s="113">
        <v>10</v>
      </c>
      <c r="B18" s="113" t="s">
        <v>457</v>
      </c>
      <c r="C18" s="113" t="s">
        <v>442</v>
      </c>
      <c r="D18" s="113" t="s">
        <v>458</v>
      </c>
      <c r="E18" s="113" t="s">
        <v>429</v>
      </c>
      <c r="F18" s="113" t="s">
        <v>435</v>
      </c>
      <c r="G18" s="113" t="s">
        <v>459</v>
      </c>
      <c r="H18" s="113">
        <v>2592</v>
      </c>
      <c r="I18" s="113">
        <v>4318</v>
      </c>
      <c r="J18" s="113">
        <v>1</v>
      </c>
      <c r="K18" s="123">
        <v>1023.94</v>
      </c>
      <c r="L18" s="47" t="s">
        <v>372</v>
      </c>
    </row>
    <row r="19" spans="1:13" ht="20.100000000000001" customHeight="1">
      <c r="A19" s="113">
        <v>11</v>
      </c>
      <c r="B19" s="113" t="s">
        <v>460</v>
      </c>
      <c r="C19" s="113" t="s">
        <v>461</v>
      </c>
      <c r="D19" s="113" t="s">
        <v>462</v>
      </c>
      <c r="E19" s="113" t="s">
        <v>463</v>
      </c>
      <c r="F19" s="113" t="s">
        <v>430</v>
      </c>
      <c r="G19" s="113" t="s">
        <v>464</v>
      </c>
      <c r="H19" s="113">
        <v>1678</v>
      </c>
      <c r="I19" s="113">
        <v>916</v>
      </c>
      <c r="J19" s="113">
        <v>1</v>
      </c>
      <c r="K19" s="123">
        <v>78.09</v>
      </c>
      <c r="L19" s="47" t="s">
        <v>373</v>
      </c>
    </row>
    <row r="20" spans="1:13">
      <c r="A20" s="113">
        <v>12</v>
      </c>
      <c r="B20" s="113" t="s">
        <v>465</v>
      </c>
      <c r="C20" s="113" t="s">
        <v>461</v>
      </c>
      <c r="D20" s="113" t="s">
        <v>466</v>
      </c>
      <c r="E20" s="113" t="s">
        <v>463</v>
      </c>
      <c r="F20" s="113" t="s">
        <v>430</v>
      </c>
      <c r="G20" s="113" t="s">
        <v>467</v>
      </c>
      <c r="H20" s="113">
        <v>458</v>
      </c>
      <c r="I20" s="113">
        <v>916</v>
      </c>
      <c r="J20" s="113">
        <v>1</v>
      </c>
      <c r="K20" s="123">
        <v>36.03</v>
      </c>
      <c r="L20" s="47" t="s">
        <v>386</v>
      </c>
    </row>
    <row r="21" spans="1:13" ht="20.100000000000001" customHeight="1">
      <c r="A21" s="113">
        <v>13</v>
      </c>
      <c r="B21" s="113" t="s">
        <v>468</v>
      </c>
      <c r="C21" s="113" t="s">
        <v>469</v>
      </c>
      <c r="D21" s="113" t="s">
        <v>470</v>
      </c>
      <c r="E21" s="113" t="s">
        <v>463</v>
      </c>
      <c r="F21" s="113" t="s">
        <v>435</v>
      </c>
      <c r="G21" s="113" t="s">
        <v>471</v>
      </c>
      <c r="H21" s="113">
        <v>2744</v>
      </c>
      <c r="I21" s="113">
        <v>610</v>
      </c>
      <c r="J21" s="113">
        <v>1</v>
      </c>
      <c r="K21" s="123">
        <v>272.79000000000002</v>
      </c>
      <c r="L21" s="47" t="s">
        <v>387</v>
      </c>
    </row>
    <row r="22" spans="1:13" ht="20.100000000000001" customHeight="1">
      <c r="A22" s="113">
        <v>14</v>
      </c>
      <c r="B22" s="113" t="s">
        <v>472</v>
      </c>
      <c r="C22" s="113" t="s">
        <v>461</v>
      </c>
      <c r="D22" s="113" t="s">
        <v>462</v>
      </c>
      <c r="E22" s="113" t="s">
        <v>463</v>
      </c>
      <c r="F22" s="113" t="s">
        <v>430</v>
      </c>
      <c r="G22" s="113" t="s">
        <v>473</v>
      </c>
      <c r="H22" s="113">
        <v>1016</v>
      </c>
      <c r="I22" s="113">
        <v>1220</v>
      </c>
      <c r="J22" s="113">
        <v>1</v>
      </c>
      <c r="K22" s="123">
        <v>77.13</v>
      </c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419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420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421</v>
      </c>
      <c r="M26" s="47" t="s">
        <v>422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05" sqref="O10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D3-WD</v>
      </c>
      <c r="C4" s="118" t="str">
        <f>'BD Team'!C9</f>
        <v>M15000</v>
      </c>
      <c r="D4" s="118" t="str">
        <f>'BD Team'!D9</f>
        <v>FRENCH DOOR WITH TOP FIXED</v>
      </c>
      <c r="E4" s="118" t="str">
        <f>'BD Team'!F9</f>
        <v>NO</v>
      </c>
      <c r="F4" s="121" t="str">
        <f>'BD Team'!G9</f>
        <v>08A - GF - DINING</v>
      </c>
      <c r="G4" s="118">
        <f>'BD Team'!H9</f>
        <v>2440</v>
      </c>
      <c r="H4" s="118">
        <f>'BD Team'!I9</f>
        <v>3354</v>
      </c>
      <c r="I4" s="118">
        <f>'BD Team'!J9</f>
        <v>1</v>
      </c>
      <c r="J4" s="103">
        <f t="shared" ref="J4:J53" si="0">G4*H4*I4*10.764/1000000</f>
        <v>88.089992640000006</v>
      </c>
      <c r="K4" s="172">
        <f>'BD Team'!K9</f>
        <v>595.13</v>
      </c>
      <c r="L4" s="171">
        <f>K4*I4</f>
        <v>595.13</v>
      </c>
      <c r="M4" s="170">
        <f>L4*'Changable Values'!$D$4</f>
        <v>49395.79</v>
      </c>
      <c r="N4" s="170" t="str">
        <f>'BD Team'!E9</f>
        <v>6MM</v>
      </c>
      <c r="O4" s="172">
        <v>1002</v>
      </c>
      <c r="P4" s="241"/>
      <c r="Q4" s="173"/>
      <c r="R4" s="185"/>
      <c r="S4" s="312"/>
      <c r="T4" s="313">
        <f>(G4+H4)*I4*2/300</f>
        <v>38.626666666666665</v>
      </c>
      <c r="U4" s="313">
        <f>SUM(G4:H4)*I4*2*4/1000</f>
        <v>46.351999999999997</v>
      </c>
      <c r="V4" s="313">
        <f>SUM(G4:H4)*I4*5*5*4/(1000*240)</f>
        <v>2.4141666666666666</v>
      </c>
      <c r="W4" s="313">
        <f>T4</f>
        <v>38.626666666666665</v>
      </c>
      <c r="X4" s="313">
        <f>W4*2</f>
        <v>77.25333333333333</v>
      </c>
      <c r="Y4" s="313">
        <f>SUM(G4:H4)*I4*4/1000</f>
        <v>23.175999999999998</v>
      </c>
    </row>
    <row r="5" spans="1:25">
      <c r="A5" s="118">
        <f>'BD Team'!A10</f>
        <v>2</v>
      </c>
      <c r="B5" s="118" t="str">
        <f>'BD Team'!B10</f>
        <v>SD1-WD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08B - GF - GBR</v>
      </c>
      <c r="G5" s="118">
        <f>'BD Team'!H10</f>
        <v>1380</v>
      </c>
      <c r="H5" s="118">
        <f>'BD Team'!I10</f>
        <v>2440</v>
      </c>
      <c r="I5" s="118">
        <f>'BD Team'!J10</f>
        <v>1</v>
      </c>
      <c r="J5" s="103">
        <f t="shared" si="0"/>
        <v>36.244540799999996</v>
      </c>
      <c r="K5" s="172">
        <f>'BD Team'!K10</f>
        <v>437.55</v>
      </c>
      <c r="L5" s="171">
        <f t="shared" ref="L5:L53" si="1">K5*I5</f>
        <v>437.55</v>
      </c>
      <c r="M5" s="170">
        <f>L5*'Changable Values'!$D$4</f>
        <v>36316.65</v>
      </c>
      <c r="N5" s="170" t="str">
        <f>'BD Team'!E10</f>
        <v>6MM</v>
      </c>
      <c r="O5" s="172">
        <v>1002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25.466666666666665</v>
      </c>
      <c r="U5" s="313">
        <f t="shared" ref="U5:U68" si="3">SUM(G5:H5)*I5*2*4/1000</f>
        <v>30.56</v>
      </c>
      <c r="V5" s="313">
        <f t="shared" ref="V5:V68" si="4">SUM(G5:H5)*I5*5*5*4/(1000*240)</f>
        <v>1.5916666666666666</v>
      </c>
      <c r="W5" s="313">
        <f t="shared" ref="W5:W68" si="5">T5</f>
        <v>25.466666666666665</v>
      </c>
      <c r="X5" s="313">
        <f t="shared" ref="X5:X68" si="6">W5*2</f>
        <v>50.93333333333333</v>
      </c>
      <c r="Y5" s="313">
        <f t="shared" ref="Y5:Y68" si="7">SUM(G5:H5)*I5*4/1000</f>
        <v>15.28</v>
      </c>
    </row>
    <row r="6" spans="1:25">
      <c r="A6" s="118">
        <f>'BD Team'!A11</f>
        <v>3</v>
      </c>
      <c r="B6" s="118" t="str">
        <f>'BD Team'!B11</f>
        <v>SD2-WD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08C - FF - MBR</v>
      </c>
      <c r="G6" s="118">
        <f>'BD Team'!H11</f>
        <v>2744</v>
      </c>
      <c r="H6" s="118">
        <f>'BD Team'!I11</f>
        <v>2440</v>
      </c>
      <c r="I6" s="118">
        <f>'BD Team'!J11</f>
        <v>1</v>
      </c>
      <c r="J6" s="103">
        <f t="shared" si="0"/>
        <v>72.068855039999988</v>
      </c>
      <c r="K6" s="172">
        <f>'BD Team'!K11</f>
        <v>531.52</v>
      </c>
      <c r="L6" s="171">
        <f t="shared" si="1"/>
        <v>531.52</v>
      </c>
      <c r="M6" s="170">
        <f>L6*'Changable Values'!$D$4</f>
        <v>44116.159999999996</v>
      </c>
      <c r="N6" s="170" t="str">
        <f>'BD Team'!E11</f>
        <v>6MM</v>
      </c>
      <c r="O6" s="172">
        <v>1002</v>
      </c>
      <c r="P6" s="241"/>
      <c r="Q6" s="173">
        <f t="shared" ref="Q6:Q7" si="8">50*10.764</f>
        <v>538.19999999999993</v>
      </c>
      <c r="R6" s="185"/>
      <c r="S6" s="312"/>
      <c r="T6" s="313">
        <f t="shared" si="2"/>
        <v>34.56</v>
      </c>
      <c r="U6" s="313">
        <f t="shared" si="3"/>
        <v>41.472000000000001</v>
      </c>
      <c r="V6" s="313">
        <f t="shared" si="4"/>
        <v>2.16</v>
      </c>
      <c r="W6" s="313">
        <f t="shared" si="5"/>
        <v>34.56</v>
      </c>
      <c r="X6" s="313">
        <f t="shared" si="6"/>
        <v>69.12</v>
      </c>
      <c r="Y6" s="313">
        <f t="shared" si="7"/>
        <v>20.736000000000001</v>
      </c>
    </row>
    <row r="7" spans="1:25">
      <c r="A7" s="118">
        <f>'BD Team'!A12</f>
        <v>4</v>
      </c>
      <c r="B7" s="118" t="str">
        <f>'BD Team'!B12</f>
        <v>SD3-WD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08D - FF -BEDROOM 2</v>
      </c>
      <c r="G7" s="118">
        <f>'BD Team'!H12</f>
        <v>2440</v>
      </c>
      <c r="H7" s="118">
        <f>'BD Team'!I12</f>
        <v>2134</v>
      </c>
      <c r="I7" s="118">
        <f>'BD Team'!J12</f>
        <v>1</v>
      </c>
      <c r="J7" s="103">
        <f t="shared" si="0"/>
        <v>56.04771744</v>
      </c>
      <c r="K7" s="172">
        <f>'BD Team'!K12</f>
        <v>484.21</v>
      </c>
      <c r="L7" s="171">
        <f t="shared" si="1"/>
        <v>484.21</v>
      </c>
      <c r="M7" s="170">
        <f>L7*'Changable Values'!$D$4</f>
        <v>40189.43</v>
      </c>
      <c r="N7" s="170" t="str">
        <f>'BD Team'!E12</f>
        <v>6MM</v>
      </c>
      <c r="O7" s="172">
        <v>1002</v>
      </c>
      <c r="P7" s="241"/>
      <c r="Q7" s="173">
        <f t="shared" si="8"/>
        <v>538.19999999999993</v>
      </c>
      <c r="R7" s="185"/>
      <c r="S7" s="312"/>
      <c r="T7" s="313">
        <f t="shared" si="2"/>
        <v>30.493333333333332</v>
      </c>
      <c r="U7" s="313">
        <f t="shared" si="3"/>
        <v>36.591999999999999</v>
      </c>
      <c r="V7" s="313">
        <f t="shared" si="4"/>
        <v>1.9058333333333333</v>
      </c>
      <c r="W7" s="313">
        <f t="shared" si="5"/>
        <v>30.493333333333332</v>
      </c>
      <c r="X7" s="313">
        <f t="shared" si="6"/>
        <v>60.986666666666665</v>
      </c>
      <c r="Y7" s="313">
        <f t="shared" si="7"/>
        <v>18.295999999999999</v>
      </c>
    </row>
    <row r="8" spans="1:25">
      <c r="A8" s="118">
        <f>'BD Team'!A13</f>
        <v>5</v>
      </c>
      <c r="B8" s="118" t="str">
        <f>'BD Team'!B13</f>
        <v>GL1-WD</v>
      </c>
      <c r="C8" s="118" t="str">
        <f>'BD Team'!C13</f>
        <v>M14600 &amp; M15000</v>
      </c>
      <c r="D8" s="118" t="str">
        <f>'BD Team'!D13</f>
        <v>3 TRACK 3 SHUTTER SLIDING DOOR WITH TOP FIXED</v>
      </c>
      <c r="E8" s="118" t="str">
        <f>'BD Team'!F13</f>
        <v>RETRACTABLE</v>
      </c>
      <c r="F8" s="121" t="str">
        <f>'BD Team'!G13</f>
        <v>08E - GF - LOUNGE</v>
      </c>
      <c r="G8" s="118">
        <f>'BD Team'!H13</f>
        <v>5488</v>
      </c>
      <c r="H8" s="118">
        <f>'BD Team'!I13</f>
        <v>3354</v>
      </c>
      <c r="I8" s="118">
        <f>'BD Team'!J13</f>
        <v>1</v>
      </c>
      <c r="J8" s="103">
        <f t="shared" si="0"/>
        <v>198.13027852799999</v>
      </c>
      <c r="K8" s="172">
        <f>'BD Team'!K13</f>
        <v>1063.78</v>
      </c>
      <c r="L8" s="171">
        <f t="shared" si="1"/>
        <v>1063.78</v>
      </c>
      <c r="M8" s="170">
        <f>L8*'Changable Values'!$D$4</f>
        <v>88293.739999999991</v>
      </c>
      <c r="N8" s="170" t="str">
        <f>'BD Team'!E13</f>
        <v>8MM &amp; 6MM</v>
      </c>
      <c r="O8" s="172">
        <v>1322</v>
      </c>
      <c r="P8" s="241"/>
      <c r="Q8" s="173"/>
      <c r="R8" s="185">
        <f>400*10.764</f>
        <v>4305.5999999999995</v>
      </c>
      <c r="S8" s="312"/>
      <c r="T8" s="313">
        <f t="shared" si="2"/>
        <v>58.946666666666665</v>
      </c>
      <c r="U8" s="313">
        <f t="shared" si="3"/>
        <v>70.736000000000004</v>
      </c>
      <c r="V8" s="313">
        <f t="shared" si="4"/>
        <v>3.6841666666666666</v>
      </c>
      <c r="W8" s="313">
        <f t="shared" si="5"/>
        <v>58.946666666666665</v>
      </c>
      <c r="X8" s="313">
        <f t="shared" si="6"/>
        <v>117.89333333333333</v>
      </c>
      <c r="Y8" s="313">
        <f t="shared" si="7"/>
        <v>35.368000000000002</v>
      </c>
    </row>
    <row r="9" spans="1:25">
      <c r="A9" s="118">
        <f>'BD Team'!A14</f>
        <v>6</v>
      </c>
      <c r="B9" s="118" t="str">
        <f>'BD Team'!B14</f>
        <v>GL2-WD</v>
      </c>
      <c r="C9" s="118" t="str">
        <f>'BD Team'!C14</f>
        <v>M15000</v>
      </c>
      <c r="D9" s="118" t="str">
        <f>'BD Team'!D14</f>
        <v>2 SIDE HUNG WINDOWS WITH 7 FIXED</v>
      </c>
      <c r="E9" s="118" t="str">
        <f>'BD Team'!F14</f>
        <v>NO</v>
      </c>
      <c r="F9" s="121" t="str">
        <f>'BD Team'!G14</f>
        <v>08F - GF - LOUNGE</v>
      </c>
      <c r="G9" s="118">
        <f>'BD Team'!H14</f>
        <v>4040</v>
      </c>
      <c r="H9" s="118">
        <f>'BD Team'!I14</f>
        <v>3252</v>
      </c>
      <c r="I9" s="118">
        <f>'BD Team'!J14</f>
        <v>1</v>
      </c>
      <c r="J9" s="103">
        <f t="shared" si="0"/>
        <v>141.41829312000002</v>
      </c>
      <c r="K9" s="172">
        <f>'BD Team'!K14</f>
        <v>1229.26</v>
      </c>
      <c r="L9" s="171">
        <f t="shared" si="1"/>
        <v>1229.26</v>
      </c>
      <c r="M9" s="170">
        <f>L9*'Changable Values'!$D$4</f>
        <v>102028.58</v>
      </c>
      <c r="N9" s="170" t="str">
        <f>'BD Team'!E14</f>
        <v>6MM</v>
      </c>
      <c r="O9" s="172">
        <v>1002</v>
      </c>
      <c r="P9" s="241"/>
      <c r="Q9" s="173"/>
      <c r="R9" s="185"/>
      <c r="S9" s="312"/>
      <c r="T9" s="313">
        <f t="shared" si="2"/>
        <v>48.613333333333337</v>
      </c>
      <c r="U9" s="313">
        <f t="shared" si="3"/>
        <v>58.335999999999999</v>
      </c>
      <c r="V9" s="313">
        <f t="shared" si="4"/>
        <v>3.0383333333333336</v>
      </c>
      <c r="W9" s="313">
        <f t="shared" si="5"/>
        <v>48.613333333333337</v>
      </c>
      <c r="X9" s="313">
        <f t="shared" si="6"/>
        <v>97.226666666666674</v>
      </c>
      <c r="Y9" s="313">
        <f t="shared" si="7"/>
        <v>29.167999999999999</v>
      </c>
    </row>
    <row r="10" spans="1:25">
      <c r="A10" s="118">
        <f>'BD Team'!A15</f>
        <v>7</v>
      </c>
      <c r="B10" s="118" t="str">
        <f>'BD Team'!B15</f>
        <v>W6A</v>
      </c>
      <c r="C10" s="118" t="str">
        <f>'BD Team'!C15</f>
        <v>M15000</v>
      </c>
      <c r="D10" s="118" t="str">
        <f>'BD Team'!D15</f>
        <v>FIXED GLASS 3 NO'S</v>
      </c>
      <c r="E10" s="118" t="str">
        <f>'BD Team'!F15</f>
        <v>NO</v>
      </c>
      <c r="F10" s="121" t="str">
        <f>'BD Team'!G15</f>
        <v>08G - GF - DINING</v>
      </c>
      <c r="G10" s="118">
        <f>'BD Team'!H15</f>
        <v>1652</v>
      </c>
      <c r="H10" s="118">
        <f>'BD Team'!I15</f>
        <v>3252</v>
      </c>
      <c r="I10" s="118">
        <f>'BD Team'!J15</f>
        <v>1</v>
      </c>
      <c r="J10" s="103">
        <f t="shared" si="0"/>
        <v>57.827480255999994</v>
      </c>
      <c r="K10" s="172">
        <f>'BD Team'!K15</f>
        <v>184.95</v>
      </c>
      <c r="L10" s="171">
        <f t="shared" si="1"/>
        <v>184.95</v>
      </c>
      <c r="M10" s="170">
        <f>L10*'Changable Values'!$D$4</f>
        <v>15350.849999999999</v>
      </c>
      <c r="N10" s="170" t="str">
        <f>'BD Team'!E15</f>
        <v>6MM</v>
      </c>
      <c r="O10" s="172">
        <v>1002</v>
      </c>
      <c r="P10" s="241"/>
      <c r="Q10" s="173"/>
      <c r="R10" s="185"/>
      <c r="S10" s="312"/>
      <c r="T10" s="313">
        <f t="shared" si="2"/>
        <v>32.693333333333335</v>
      </c>
      <c r="U10" s="313">
        <f t="shared" si="3"/>
        <v>39.231999999999999</v>
      </c>
      <c r="V10" s="313">
        <f t="shared" si="4"/>
        <v>2.0433333333333334</v>
      </c>
      <c r="W10" s="313">
        <f t="shared" si="5"/>
        <v>32.693333333333335</v>
      </c>
      <c r="X10" s="313">
        <f t="shared" si="6"/>
        <v>65.38666666666667</v>
      </c>
      <c r="Y10" s="313">
        <f t="shared" si="7"/>
        <v>19.616</v>
      </c>
    </row>
    <row r="11" spans="1:25">
      <c r="A11" s="118">
        <f>'BD Team'!A16</f>
        <v>8</v>
      </c>
      <c r="B11" s="118" t="str">
        <f>'BD Team'!B16</f>
        <v>W6B</v>
      </c>
      <c r="C11" s="118" t="str">
        <f>'BD Team'!C16</f>
        <v>M15000</v>
      </c>
      <c r="D11" s="118" t="str">
        <f>'BD Team'!D16</f>
        <v>FIXED GLASS 3 NO'S</v>
      </c>
      <c r="E11" s="118" t="str">
        <f>'BD Team'!F16</f>
        <v>NO</v>
      </c>
      <c r="F11" s="121" t="str">
        <f>'BD Team'!G16</f>
        <v>08G - GF - DINING</v>
      </c>
      <c r="G11" s="118">
        <f>'BD Team'!H16</f>
        <v>1702</v>
      </c>
      <c r="H11" s="118">
        <f>'BD Team'!I16</f>
        <v>3252</v>
      </c>
      <c r="I11" s="118">
        <f>'BD Team'!J16</f>
        <v>1</v>
      </c>
      <c r="J11" s="103">
        <f t="shared" si="0"/>
        <v>59.577706655999997</v>
      </c>
      <c r="K11" s="172">
        <f>'BD Team'!K16</f>
        <v>187.8</v>
      </c>
      <c r="L11" s="171">
        <f t="shared" si="1"/>
        <v>187.8</v>
      </c>
      <c r="M11" s="170">
        <f>L11*'Changable Values'!$D$4</f>
        <v>15587.400000000001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2"/>
        <v>33.026666666666664</v>
      </c>
      <c r="U11" s="313">
        <f t="shared" si="3"/>
        <v>39.631999999999998</v>
      </c>
      <c r="V11" s="313">
        <f t="shared" si="4"/>
        <v>2.0641666666666665</v>
      </c>
      <c r="W11" s="313">
        <f t="shared" si="5"/>
        <v>33.026666666666664</v>
      </c>
      <c r="X11" s="313">
        <f t="shared" si="6"/>
        <v>66.053333333333327</v>
      </c>
      <c r="Y11" s="313">
        <f t="shared" si="7"/>
        <v>19.815999999999999</v>
      </c>
    </row>
    <row r="12" spans="1:25">
      <c r="A12" s="118">
        <f>'BD Team'!A17</f>
        <v>9</v>
      </c>
      <c r="B12" s="118" t="str">
        <f>'BD Team'!B17</f>
        <v>W9A</v>
      </c>
      <c r="C12" s="118" t="str">
        <f>'BD Team'!C17</f>
        <v>M14600 &amp; M15000</v>
      </c>
      <c r="D12" s="118" t="str">
        <f>'BD Team'!D17</f>
        <v>3 TRACK 2 SHUTTER SLIDING DOOR WITH 4 FIXED</v>
      </c>
      <c r="E12" s="118" t="str">
        <f>'BD Team'!F17</f>
        <v>SS</v>
      </c>
      <c r="F12" s="121" t="str">
        <f>'BD Team'!G17</f>
        <v>08I - FF - STAIRCASE</v>
      </c>
      <c r="G12" s="118">
        <f>'BD Team'!H17</f>
        <v>2592</v>
      </c>
      <c r="H12" s="118">
        <f>'BD Team'!I17</f>
        <v>3556</v>
      </c>
      <c r="I12" s="118">
        <f>'BD Team'!J17</f>
        <v>1</v>
      </c>
      <c r="J12" s="103">
        <f t="shared" si="0"/>
        <v>99.213424127999986</v>
      </c>
      <c r="K12" s="172">
        <f>'BD Team'!K17</f>
        <v>856.92</v>
      </c>
      <c r="L12" s="171">
        <f t="shared" si="1"/>
        <v>856.92</v>
      </c>
      <c r="M12" s="170">
        <f>L12*'Changable Values'!$D$4</f>
        <v>71124.36</v>
      </c>
      <c r="N12" s="170" t="str">
        <f>'BD Team'!E17</f>
        <v>6MM</v>
      </c>
      <c r="O12" s="172">
        <v>1002</v>
      </c>
      <c r="P12" s="241"/>
      <c r="Q12" s="173">
        <f t="shared" ref="Q12:Q13" si="9">50*10.764</f>
        <v>538.19999999999993</v>
      </c>
      <c r="R12" s="185"/>
      <c r="S12" s="312"/>
      <c r="T12" s="313">
        <f t="shared" si="2"/>
        <v>40.986666666666665</v>
      </c>
      <c r="U12" s="313">
        <f t="shared" si="3"/>
        <v>49.183999999999997</v>
      </c>
      <c r="V12" s="313">
        <f t="shared" si="4"/>
        <v>2.5616666666666665</v>
      </c>
      <c r="W12" s="313">
        <f t="shared" si="5"/>
        <v>40.986666666666665</v>
      </c>
      <c r="X12" s="313">
        <f t="shared" si="6"/>
        <v>81.973333333333329</v>
      </c>
      <c r="Y12" s="313">
        <f t="shared" si="7"/>
        <v>24.591999999999999</v>
      </c>
    </row>
    <row r="13" spans="1:25">
      <c r="A13" s="118">
        <f>'BD Team'!A18</f>
        <v>10</v>
      </c>
      <c r="B13" s="118" t="str">
        <f>'BD Team'!B18</f>
        <v>W9B</v>
      </c>
      <c r="C13" s="118" t="str">
        <f>'BD Team'!C18</f>
        <v>M14600 &amp; M15000</v>
      </c>
      <c r="D13" s="118" t="str">
        <f>'BD Team'!D18</f>
        <v>3 TRACK 2 SHUTTER SLIDING DOOR WITH 7 FIXED</v>
      </c>
      <c r="E13" s="118" t="str">
        <f>'BD Team'!F18</f>
        <v>SS</v>
      </c>
      <c r="F13" s="121" t="str">
        <f>'BD Team'!G18</f>
        <v>08J - SF - STAIRCASE</v>
      </c>
      <c r="G13" s="118">
        <f>'BD Team'!H18</f>
        <v>2592</v>
      </c>
      <c r="H13" s="118">
        <f>'BD Team'!I18</f>
        <v>4318</v>
      </c>
      <c r="I13" s="118">
        <f>'BD Team'!J18</f>
        <v>1</v>
      </c>
      <c r="J13" s="103">
        <f t="shared" si="0"/>
        <v>120.47344358399999</v>
      </c>
      <c r="K13" s="172">
        <f>'BD Team'!K18</f>
        <v>1023.94</v>
      </c>
      <c r="L13" s="171">
        <f t="shared" si="1"/>
        <v>1023.94</v>
      </c>
      <c r="M13" s="170">
        <f>L13*'Changable Values'!$D$4</f>
        <v>84987.02</v>
      </c>
      <c r="N13" s="170" t="str">
        <f>'BD Team'!E18</f>
        <v>6MM</v>
      </c>
      <c r="O13" s="172">
        <v>1002</v>
      </c>
      <c r="P13" s="241"/>
      <c r="Q13" s="173">
        <f t="shared" si="9"/>
        <v>538.19999999999993</v>
      </c>
      <c r="R13" s="185"/>
      <c r="S13" s="312"/>
      <c r="T13" s="313">
        <f t="shared" si="2"/>
        <v>46.06666666666667</v>
      </c>
      <c r="U13" s="313">
        <f t="shared" si="3"/>
        <v>55.28</v>
      </c>
      <c r="V13" s="313">
        <f t="shared" si="4"/>
        <v>2.8791666666666669</v>
      </c>
      <c r="W13" s="313">
        <f t="shared" si="5"/>
        <v>46.06666666666667</v>
      </c>
      <c r="X13" s="313">
        <f t="shared" si="6"/>
        <v>92.13333333333334</v>
      </c>
      <c r="Y13" s="313">
        <f t="shared" si="7"/>
        <v>27.64</v>
      </c>
    </row>
    <row r="14" spans="1:25">
      <c r="A14" s="118">
        <f>'BD Team'!A19</f>
        <v>11</v>
      </c>
      <c r="B14" s="118" t="str">
        <f>'BD Team'!B19</f>
        <v>V1</v>
      </c>
      <c r="C14" s="118" t="str">
        <f>'BD Team'!C19</f>
        <v>M940</v>
      </c>
      <c r="D14" s="118" t="str">
        <f>'BD Team'!D19</f>
        <v>2 FIXED GLASS WITH EXHAUST PROVISION</v>
      </c>
      <c r="E14" s="118" t="str">
        <f>'BD Team'!F19</f>
        <v>NO</v>
      </c>
      <c r="F14" s="121" t="str">
        <f>'BD Team'!G19</f>
        <v>GF - GUEST TOILET</v>
      </c>
      <c r="G14" s="118">
        <f>'BD Team'!H19</f>
        <v>1678</v>
      </c>
      <c r="H14" s="118">
        <f>'BD Team'!I19</f>
        <v>916</v>
      </c>
      <c r="I14" s="118">
        <f>'BD Team'!J19</f>
        <v>1</v>
      </c>
      <c r="J14" s="103">
        <f t="shared" si="0"/>
        <v>16.544784671999999</v>
      </c>
      <c r="K14" s="172">
        <f>'BD Team'!K19</f>
        <v>78.09</v>
      </c>
      <c r="L14" s="171">
        <f t="shared" si="1"/>
        <v>78.09</v>
      </c>
      <c r="M14" s="170">
        <f>L14*'Changable Values'!$D$4</f>
        <v>6481.47</v>
      </c>
      <c r="N14" s="170" t="str">
        <f>'BD Team'!E19</f>
        <v>6MM (F)</v>
      </c>
      <c r="O14" s="172">
        <v>2003</v>
      </c>
      <c r="P14" s="241"/>
      <c r="Q14" s="173"/>
      <c r="R14" s="185"/>
      <c r="S14" s="312"/>
      <c r="T14" s="313">
        <f t="shared" si="2"/>
        <v>17.293333333333333</v>
      </c>
      <c r="U14" s="313">
        <f t="shared" si="3"/>
        <v>20.751999999999999</v>
      </c>
      <c r="V14" s="313">
        <f t="shared" si="4"/>
        <v>1.0808333333333333</v>
      </c>
      <c r="W14" s="313">
        <f t="shared" si="5"/>
        <v>17.293333333333333</v>
      </c>
      <c r="X14" s="313">
        <f t="shared" si="6"/>
        <v>34.586666666666666</v>
      </c>
      <c r="Y14" s="313">
        <f t="shared" si="7"/>
        <v>10.375999999999999</v>
      </c>
    </row>
    <row r="15" spans="1:25">
      <c r="A15" s="118">
        <f>'BD Team'!A20</f>
        <v>12</v>
      </c>
      <c r="B15" s="118" t="str">
        <f>'BD Team'!B20</f>
        <v>V2</v>
      </c>
      <c r="C15" s="118" t="str">
        <f>'BD Team'!C20</f>
        <v>M940</v>
      </c>
      <c r="D15" s="118" t="str">
        <f>'BD Team'!D20</f>
        <v>FIXED GLASS WITH EXHAUST PROVISION</v>
      </c>
      <c r="E15" s="118" t="str">
        <f>'BD Team'!F20</f>
        <v>NO</v>
      </c>
      <c r="F15" s="121" t="str">
        <f>'BD Team'!G20</f>
        <v>FF - BEDROOM TOILET</v>
      </c>
      <c r="G15" s="118">
        <f>'BD Team'!H20</f>
        <v>458</v>
      </c>
      <c r="H15" s="118">
        <f>'BD Team'!I20</f>
        <v>916</v>
      </c>
      <c r="I15" s="118">
        <f>'BD Team'!J20</f>
        <v>1</v>
      </c>
      <c r="J15" s="103">
        <f t="shared" si="0"/>
        <v>4.5157993919999999</v>
      </c>
      <c r="K15" s="172">
        <f>'BD Team'!K20</f>
        <v>36.03</v>
      </c>
      <c r="L15" s="171">
        <f t="shared" si="1"/>
        <v>36.03</v>
      </c>
      <c r="M15" s="170">
        <f>L15*'Changable Values'!$D$4</f>
        <v>2990.4900000000002</v>
      </c>
      <c r="N15" s="170" t="str">
        <f>'BD Team'!E20</f>
        <v>6MM (F)</v>
      </c>
      <c r="O15" s="172">
        <v>2003</v>
      </c>
      <c r="P15" s="241"/>
      <c r="Q15" s="173"/>
      <c r="R15" s="185"/>
      <c r="S15" s="312"/>
      <c r="T15" s="313">
        <f t="shared" si="2"/>
        <v>9.16</v>
      </c>
      <c r="U15" s="313">
        <f t="shared" si="3"/>
        <v>10.992000000000001</v>
      </c>
      <c r="V15" s="313">
        <f t="shared" si="4"/>
        <v>0.57250000000000001</v>
      </c>
      <c r="W15" s="313">
        <f t="shared" si="5"/>
        <v>9.16</v>
      </c>
      <c r="X15" s="313">
        <f t="shared" si="6"/>
        <v>18.32</v>
      </c>
      <c r="Y15" s="313">
        <f t="shared" si="7"/>
        <v>5.4960000000000004</v>
      </c>
    </row>
    <row r="16" spans="1:25">
      <c r="A16" s="118">
        <f>'BD Team'!A21</f>
        <v>13</v>
      </c>
      <c r="B16" s="118" t="str">
        <f>'BD Team'!B21</f>
        <v>V3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FF - MASTER WARDROBE</v>
      </c>
      <c r="G16" s="118">
        <f>'BD Team'!H21</f>
        <v>2744</v>
      </c>
      <c r="H16" s="118">
        <f>'BD Team'!I21</f>
        <v>610</v>
      </c>
      <c r="I16" s="118">
        <f>'BD Team'!J21</f>
        <v>1</v>
      </c>
      <c r="J16" s="103">
        <f t="shared" si="0"/>
        <v>18.017213759999997</v>
      </c>
      <c r="K16" s="172">
        <f>'BD Team'!K21</f>
        <v>272.79000000000002</v>
      </c>
      <c r="L16" s="171">
        <f t="shared" si="1"/>
        <v>272.79000000000002</v>
      </c>
      <c r="M16" s="170">
        <f>L16*'Changable Values'!$D$4</f>
        <v>22641.570000000003</v>
      </c>
      <c r="N16" s="170" t="str">
        <f>'BD Team'!E21</f>
        <v>6MM (F)</v>
      </c>
      <c r="O16" s="172">
        <v>2003</v>
      </c>
      <c r="P16" s="241"/>
      <c r="Q16" s="173">
        <f>50*10.764</f>
        <v>538.19999999999993</v>
      </c>
      <c r="R16" s="185"/>
      <c r="S16" s="312"/>
      <c r="T16" s="313">
        <f t="shared" si="2"/>
        <v>22.36</v>
      </c>
      <c r="U16" s="313">
        <f t="shared" si="3"/>
        <v>26.832000000000001</v>
      </c>
      <c r="V16" s="313">
        <f t="shared" si="4"/>
        <v>1.3975</v>
      </c>
      <c r="W16" s="313">
        <f t="shared" si="5"/>
        <v>22.36</v>
      </c>
      <c r="X16" s="313">
        <f t="shared" si="6"/>
        <v>44.72</v>
      </c>
      <c r="Y16" s="313">
        <f t="shared" si="7"/>
        <v>13.416</v>
      </c>
    </row>
    <row r="17" spans="1:25">
      <c r="A17" s="118">
        <f>'BD Team'!A22</f>
        <v>14</v>
      </c>
      <c r="B17" s="118" t="str">
        <f>'BD Team'!B22</f>
        <v>V4</v>
      </c>
      <c r="C17" s="118" t="str">
        <f>'BD Team'!C22</f>
        <v>M940</v>
      </c>
      <c r="D17" s="118" t="str">
        <f>'BD Team'!D22</f>
        <v>2 FIXED GLASS WITH EXHAUST PROVISION</v>
      </c>
      <c r="E17" s="118" t="str">
        <f>'BD Team'!F22</f>
        <v>NO</v>
      </c>
      <c r="F17" s="121" t="str">
        <f>'BD Team'!G22</f>
        <v>GF - POWDER ROOM</v>
      </c>
      <c r="G17" s="118">
        <f>'BD Team'!H22</f>
        <v>1016</v>
      </c>
      <c r="H17" s="118">
        <f>'BD Team'!I22</f>
        <v>1220</v>
      </c>
      <c r="I17" s="118">
        <f>'BD Team'!J22</f>
        <v>1</v>
      </c>
      <c r="J17" s="103">
        <f t="shared" si="0"/>
        <v>13.34219328</v>
      </c>
      <c r="K17" s="172">
        <f>'BD Team'!K22</f>
        <v>77.13</v>
      </c>
      <c r="L17" s="171">
        <f t="shared" si="1"/>
        <v>77.13</v>
      </c>
      <c r="M17" s="170">
        <f>L17*'Changable Values'!$D$4</f>
        <v>6401.79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2"/>
        <v>14.906666666666666</v>
      </c>
      <c r="U17" s="313">
        <f t="shared" si="3"/>
        <v>17.888000000000002</v>
      </c>
      <c r="V17" s="313">
        <f t="shared" si="4"/>
        <v>0.93166666666666664</v>
      </c>
      <c r="W17" s="313">
        <f t="shared" si="5"/>
        <v>14.906666666666666</v>
      </c>
      <c r="X17" s="313">
        <f t="shared" si="6"/>
        <v>29.813333333333333</v>
      </c>
      <c r="Y17" s="313">
        <f t="shared" si="7"/>
        <v>8.9440000000000008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7059.0999999999995</v>
      </c>
      <c r="L104" s="168">
        <f>SUM(L4:L103)</f>
        <v>7059.0999999999995</v>
      </c>
      <c r="M104" s="168">
        <f>SUM(M4:M103)</f>
        <v>585905.29999999993</v>
      </c>
      <c r="T104" s="314">
        <f t="shared" ref="T104:Y104" si="18">SUM(T4:T103)</f>
        <v>453.20000000000005</v>
      </c>
      <c r="U104" s="314">
        <f t="shared" si="18"/>
        <v>543.84</v>
      </c>
      <c r="V104" s="314">
        <f t="shared" si="18"/>
        <v>28.325000000000003</v>
      </c>
      <c r="W104" s="314">
        <f t="shared" si="18"/>
        <v>453.20000000000005</v>
      </c>
      <c r="X104" s="314">
        <f t="shared" si="18"/>
        <v>906.40000000000009</v>
      </c>
      <c r="Y104" s="314">
        <f t="shared" si="18"/>
        <v>271.92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7" sqref="D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FRENCH DOOR WITH TOP FIXED</v>
      </c>
      <c r="D8" s="131" t="str">
        <f>Pricing!B4</f>
        <v>D3-WD</v>
      </c>
      <c r="E8" s="132" t="str">
        <f>Pricing!N4</f>
        <v>6MM</v>
      </c>
      <c r="F8" s="68">
        <f>Pricing!G4</f>
        <v>2440</v>
      </c>
      <c r="G8" s="68">
        <f>Pricing!H4</f>
        <v>3354</v>
      </c>
      <c r="H8" s="100">
        <f t="shared" ref="H8:H57" si="0">(F8*G8)/1000000</f>
        <v>8.1837599999999995</v>
      </c>
      <c r="I8" s="70">
        <f>Pricing!I4</f>
        <v>1</v>
      </c>
      <c r="J8" s="69">
        <f t="shared" ref="J8" si="1">H8*I8</f>
        <v>8.1837599999999995</v>
      </c>
      <c r="K8" s="71">
        <f t="shared" ref="K8" si="2">J8*10.764</f>
        <v>88.089992639999991</v>
      </c>
      <c r="L8" s="69"/>
      <c r="M8" s="72"/>
      <c r="N8" s="72"/>
      <c r="O8" s="72">
        <f t="shared" ref="O8:O35" si="3">N8*M8*L8/1000000</f>
        <v>0</v>
      </c>
      <c r="P8" s="73">
        <f>Pricing!M4</f>
        <v>49395.79</v>
      </c>
      <c r="Q8" s="74">
        <f t="shared" ref="Q8:Q56" si="4">P8*$Q$6</f>
        <v>4939.5790000000006</v>
      </c>
      <c r="R8" s="74">
        <f t="shared" ref="R8:R56" si="5">(P8+Q8)*$R$6</f>
        <v>5976.89059</v>
      </c>
      <c r="S8" s="74">
        <f t="shared" ref="S8:S56" si="6">(P8+Q8+R8)*$S$6</f>
        <v>301.56129795000004</v>
      </c>
      <c r="T8" s="74">
        <f t="shared" ref="T8:T56" si="7">(P8+Q8+R8+S8)*$T$6</f>
        <v>606.13820887949998</v>
      </c>
      <c r="U8" s="72">
        <f t="shared" ref="U8:U56" si="8">SUM(P8:T8)</f>
        <v>61219.959096829502</v>
      </c>
      <c r="V8" s="74">
        <f t="shared" ref="V8:V56" si="9">U8*$V$6</f>
        <v>918.29938645244249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8200.12752</v>
      </c>
      <c r="AE8" s="76">
        <f>((((F8+G8)*2)/305)*I8*$AE$7)</f>
        <v>949.83606557377038</v>
      </c>
      <c r="AF8" s="342">
        <f>(((((F8*4)+(G8*4))/1000)*$AF$6*$AG$6)/300)*I8*$AF$7</f>
        <v>973.39199999999983</v>
      </c>
      <c r="AG8" s="343"/>
      <c r="AH8" s="76">
        <f>(((F8+G8))*I8/1000)*8*$AH$7</f>
        <v>34.763999999999996</v>
      </c>
      <c r="AI8" s="76">
        <f t="shared" ref="AI8:AI57" si="15">(((F8+G8)*2*I8)/1000)*2*$AI$7</f>
        <v>115.88</v>
      </c>
      <c r="AJ8" s="76">
        <f>J8*Pricing!Q4</f>
        <v>0</v>
      </c>
      <c r="AK8" s="76">
        <f>J8*Pricing!R4</f>
        <v>0</v>
      </c>
      <c r="AL8" s="76">
        <f t="shared" ref="AL8:AL39" si="16">J8*$AL$6</f>
        <v>8808.9992639999982</v>
      </c>
      <c r="AM8" s="77">
        <f t="shared" ref="AM8:AM39" si="17">$AM$6*J8</f>
        <v>0</v>
      </c>
      <c r="AN8" s="76">
        <f t="shared" ref="AN8:AN39" si="18">$AN$6*J8</f>
        <v>7047.1994111999984</v>
      </c>
      <c r="AO8" s="72">
        <f t="shared" ref="AO8:AO39" si="19">SUM(U8:V8)+SUM(AC8:AI8)-AD8</f>
        <v>64212.130548855705</v>
      </c>
      <c r="AP8" s="74">
        <f t="shared" ref="AP8:AP39" si="20">AO8*$AP$6</f>
        <v>80265.163186069636</v>
      </c>
      <c r="AQ8" s="74">
        <f t="shared" ref="AQ8:AQ56" si="21">(AO8+AP8)*$AQ$6</f>
        <v>0</v>
      </c>
      <c r="AR8" s="74">
        <f t="shared" ref="AR8:AR39" si="22">SUM(AO8:AQ8)/J8</f>
        <v>17654.145983621875</v>
      </c>
      <c r="AS8" s="72">
        <f t="shared" ref="AS8:AS39" si="23">SUM(AJ8:AQ8)+AD8+AB8</f>
        <v>168533.61993012534</v>
      </c>
      <c r="AT8" s="72">
        <f t="shared" ref="AT8:AT39" si="24">AS8/J8</f>
        <v>20593.665983621875</v>
      </c>
      <c r="AU8" s="78">
        <f t="shared" ref="AU8:AU56" si="25">AT8/10.764</f>
        <v>1913.1982519158191</v>
      </c>
      <c r="AV8" s="79">
        <f t="shared" ref="AV8:AV39" si="26">K8/$K$109</f>
        <v>8.9749302580091769E-2</v>
      </c>
      <c r="AW8" s="80">
        <f t="shared" ref="AW8:AW39" si="27">(U8+V8)/(J8*10.764)</f>
        <v>705.39520575537131</v>
      </c>
      <c r="AX8" s="81">
        <f t="shared" ref="AX8:AX39" si="28">SUM(W8:AN8,AP8)/(J8*10.764)</f>
        <v>1207.8030461604476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SD1-WD</v>
      </c>
      <c r="E9" s="132" t="str">
        <f>Pricing!N5</f>
        <v>6MM</v>
      </c>
      <c r="F9" s="68">
        <f>Pricing!G5</f>
        <v>1380</v>
      </c>
      <c r="G9" s="68">
        <f>Pricing!H5</f>
        <v>2440</v>
      </c>
      <c r="H9" s="100">
        <f t="shared" si="0"/>
        <v>3.3672</v>
      </c>
      <c r="I9" s="70">
        <f>Pricing!I5</f>
        <v>1</v>
      </c>
      <c r="J9" s="69">
        <f t="shared" ref="J9:J58" si="30">H9*I9</f>
        <v>3.3672</v>
      </c>
      <c r="K9" s="71">
        <f t="shared" ref="K9:K58" si="31">J9*10.764</f>
        <v>36.244540799999996</v>
      </c>
      <c r="L9" s="69"/>
      <c r="M9" s="72"/>
      <c r="N9" s="72"/>
      <c r="O9" s="72">
        <f t="shared" si="3"/>
        <v>0</v>
      </c>
      <c r="P9" s="73">
        <f>Pricing!M5</f>
        <v>36316.65</v>
      </c>
      <c r="Q9" s="74">
        <f t="shared" ref="Q9:Q14" si="32">P9*$Q$6</f>
        <v>3631.6650000000004</v>
      </c>
      <c r="R9" s="74">
        <f t="shared" ref="R9:R14" si="33">(P9+Q9)*$R$6</f>
        <v>4394.3146500000003</v>
      </c>
      <c r="S9" s="74">
        <f t="shared" ref="S9:S14" si="34">(P9+Q9+R9)*$S$6</f>
        <v>221.71314825000002</v>
      </c>
      <c r="T9" s="74">
        <f t="shared" ref="T9:T14" si="35">(P9+Q9+R9+S9)*$T$6</f>
        <v>445.64342798249999</v>
      </c>
      <c r="U9" s="72">
        <f t="shared" ref="U9:U14" si="36">SUM(P9:T9)</f>
        <v>45009.986226232497</v>
      </c>
      <c r="V9" s="74">
        <f t="shared" ref="V9:V14" si="37">U9*$V$6</f>
        <v>675.14979339348747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3373.9344000000001</v>
      </c>
      <c r="AE9" s="76">
        <f t="shared" ref="AE9:AE57" si="43">((((F9+G9)*2)/305)*I9*$AE$7)</f>
        <v>626.22950819672133</v>
      </c>
      <c r="AF9" s="342">
        <f t="shared" ref="AF9:AF57" si="44">(((((F9*4)+(G9*4))/1000)*$AF$6*$AG$6)/300)*I9*$AF$7</f>
        <v>641.75999999999988</v>
      </c>
      <c r="AG9" s="343"/>
      <c r="AH9" s="76">
        <f t="shared" ref="AH9:AH72" si="45">(((F9+G9))*I9/1000)*8*$AH$7</f>
        <v>22.919999999999998</v>
      </c>
      <c r="AI9" s="76">
        <f t="shared" si="15"/>
        <v>76.399999999999991</v>
      </c>
      <c r="AJ9" s="76">
        <f>J9*Pricing!Q5</f>
        <v>1812.2270399999998</v>
      </c>
      <c r="AK9" s="76">
        <f>J9*Pricing!R5</f>
        <v>0</v>
      </c>
      <c r="AL9" s="76">
        <f t="shared" si="16"/>
        <v>3624.4540799999995</v>
      </c>
      <c r="AM9" s="77">
        <f t="shared" si="17"/>
        <v>0</v>
      </c>
      <c r="AN9" s="76">
        <f t="shared" si="18"/>
        <v>2899.5632639999994</v>
      </c>
      <c r="AO9" s="72">
        <f t="shared" si="19"/>
        <v>47052.445527822711</v>
      </c>
      <c r="AP9" s="74">
        <f t="shared" si="20"/>
        <v>58815.556909778388</v>
      </c>
      <c r="AQ9" s="74">
        <f t="shared" ref="AQ9:AQ14" si="46">(AO9+AP9)*$AQ$6</f>
        <v>0</v>
      </c>
      <c r="AR9" s="74">
        <f t="shared" si="22"/>
        <v>31440.960571870128</v>
      </c>
      <c r="AS9" s="72">
        <f t="shared" si="23"/>
        <v>117578.18122160109</v>
      </c>
      <c r="AT9" s="72">
        <f t="shared" si="24"/>
        <v>34918.680571870129</v>
      </c>
      <c r="AU9" s="78">
        <f t="shared" ref="AU9:AU14" si="47">AT9/10.764</f>
        <v>3244.0245793264708</v>
      </c>
      <c r="AV9" s="79">
        <f t="shared" si="26"/>
        <v>3.6927262242256002E-2</v>
      </c>
      <c r="AW9" s="80">
        <f t="shared" si="27"/>
        <v>1260.4694392934891</v>
      </c>
      <c r="AX9" s="81">
        <f t="shared" si="28"/>
        <v>1983.5551400329816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SD2-WD</v>
      </c>
      <c r="E10" s="132" t="str">
        <f>Pricing!N6</f>
        <v>6MM</v>
      </c>
      <c r="F10" s="68">
        <f>Pricing!G6</f>
        <v>2744</v>
      </c>
      <c r="G10" s="68">
        <f>Pricing!H6</f>
        <v>2440</v>
      </c>
      <c r="H10" s="100">
        <f t="shared" si="0"/>
        <v>6.69536</v>
      </c>
      <c r="I10" s="70">
        <f>Pricing!I6</f>
        <v>1</v>
      </c>
      <c r="J10" s="69">
        <f t="shared" si="30"/>
        <v>6.69536</v>
      </c>
      <c r="K10" s="71">
        <f t="shared" si="31"/>
        <v>72.068855039999988</v>
      </c>
      <c r="L10" s="69"/>
      <c r="M10" s="72"/>
      <c r="N10" s="72"/>
      <c r="O10" s="72">
        <f t="shared" si="3"/>
        <v>0</v>
      </c>
      <c r="P10" s="73">
        <f>Pricing!M6</f>
        <v>44116.159999999996</v>
      </c>
      <c r="Q10" s="74">
        <f t="shared" si="32"/>
        <v>4411.616</v>
      </c>
      <c r="R10" s="74">
        <f t="shared" si="33"/>
        <v>5338.0553599999994</v>
      </c>
      <c r="S10" s="74">
        <f t="shared" si="34"/>
        <v>269.32915679999996</v>
      </c>
      <c r="T10" s="74">
        <f t="shared" si="35"/>
        <v>541.35160516799999</v>
      </c>
      <c r="U10" s="72">
        <f t="shared" si="36"/>
        <v>54676.512121967993</v>
      </c>
      <c r="V10" s="74">
        <f t="shared" si="37"/>
        <v>820.14768182951991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6708.75072</v>
      </c>
      <c r="AE10" s="76">
        <f t="shared" si="43"/>
        <v>849.83606557377038</v>
      </c>
      <c r="AF10" s="342">
        <f t="shared" si="44"/>
        <v>870.91199999999992</v>
      </c>
      <c r="AG10" s="343"/>
      <c r="AH10" s="76">
        <f t="shared" si="45"/>
        <v>31.103999999999999</v>
      </c>
      <c r="AI10" s="76">
        <f t="shared" si="15"/>
        <v>103.68</v>
      </c>
      <c r="AJ10" s="76">
        <f>J10*Pricing!Q6</f>
        <v>3603.4427519999995</v>
      </c>
      <c r="AK10" s="76">
        <f>J10*Pricing!R6</f>
        <v>0</v>
      </c>
      <c r="AL10" s="76">
        <f t="shared" si="16"/>
        <v>7206.8855039999989</v>
      </c>
      <c r="AM10" s="77">
        <f t="shared" si="17"/>
        <v>0</v>
      </c>
      <c r="AN10" s="76">
        <f t="shared" si="18"/>
        <v>5765.5084031999995</v>
      </c>
      <c r="AO10" s="72">
        <f t="shared" si="19"/>
        <v>57352.19186937128</v>
      </c>
      <c r="AP10" s="74">
        <f t="shared" si="20"/>
        <v>71690.2398367141</v>
      </c>
      <c r="AQ10" s="74">
        <f t="shared" si="46"/>
        <v>0</v>
      </c>
      <c r="AR10" s="74">
        <f t="shared" si="22"/>
        <v>19273.411990704812</v>
      </c>
      <c r="AS10" s="72">
        <f t="shared" si="23"/>
        <v>152327.01908528537</v>
      </c>
      <c r="AT10" s="72">
        <f t="shared" si="24"/>
        <v>22751.131990704813</v>
      </c>
      <c r="AU10" s="78">
        <f t="shared" si="47"/>
        <v>2113.6317345508005</v>
      </c>
      <c r="AV10" s="79">
        <f t="shared" si="26"/>
        <v>7.3426382313587293E-2</v>
      </c>
      <c r="AW10" s="80">
        <f t="shared" si="27"/>
        <v>770.05052699942996</v>
      </c>
      <c r="AX10" s="81">
        <f t="shared" si="28"/>
        <v>1343.5812075513707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SD3-WD</v>
      </c>
      <c r="E11" s="132" t="str">
        <f>Pricing!N7</f>
        <v>6MM</v>
      </c>
      <c r="F11" s="68">
        <f>Pricing!G7</f>
        <v>2440</v>
      </c>
      <c r="G11" s="68">
        <f>Pricing!H7</f>
        <v>2134</v>
      </c>
      <c r="H11" s="100">
        <f t="shared" si="0"/>
        <v>5.2069599999999996</v>
      </c>
      <c r="I11" s="70">
        <f>Pricing!I7</f>
        <v>1</v>
      </c>
      <c r="J11" s="69">
        <f t="shared" si="30"/>
        <v>5.2069599999999996</v>
      </c>
      <c r="K11" s="71">
        <f t="shared" si="31"/>
        <v>56.047717439999992</v>
      </c>
      <c r="L11" s="69"/>
      <c r="M11" s="72"/>
      <c r="N11" s="72"/>
      <c r="O11" s="72">
        <f t="shared" si="3"/>
        <v>0</v>
      </c>
      <c r="P11" s="73">
        <f>Pricing!M7</f>
        <v>40189.43</v>
      </c>
      <c r="Q11" s="74">
        <f t="shared" si="32"/>
        <v>4018.9430000000002</v>
      </c>
      <c r="R11" s="74">
        <f t="shared" si="33"/>
        <v>4862.9210300000004</v>
      </c>
      <c r="S11" s="74">
        <f t="shared" si="34"/>
        <v>245.35647014999998</v>
      </c>
      <c r="T11" s="74">
        <f t="shared" si="35"/>
        <v>493.16650500149996</v>
      </c>
      <c r="U11" s="72">
        <f t="shared" si="36"/>
        <v>49809.817005151497</v>
      </c>
      <c r="V11" s="74">
        <f t="shared" si="37"/>
        <v>747.14725507727246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5217.37392</v>
      </c>
      <c r="AE11" s="76">
        <f t="shared" si="43"/>
        <v>749.8360655737705</v>
      </c>
      <c r="AF11" s="342">
        <f t="shared" si="44"/>
        <v>768.4319999999999</v>
      </c>
      <c r="AG11" s="343"/>
      <c r="AH11" s="76">
        <f t="shared" si="45"/>
        <v>27.443999999999999</v>
      </c>
      <c r="AI11" s="76">
        <f t="shared" si="15"/>
        <v>91.47999999999999</v>
      </c>
      <c r="AJ11" s="76">
        <f>J11*Pricing!Q7</f>
        <v>2802.3858719999994</v>
      </c>
      <c r="AK11" s="76">
        <f>J11*Pricing!R7</f>
        <v>0</v>
      </c>
      <c r="AL11" s="76">
        <f t="shared" si="16"/>
        <v>5604.7717439999988</v>
      </c>
      <c r="AM11" s="77">
        <f t="shared" si="17"/>
        <v>0</v>
      </c>
      <c r="AN11" s="76">
        <f t="shared" si="18"/>
        <v>4483.8173951999988</v>
      </c>
      <c r="AO11" s="72">
        <f t="shared" si="19"/>
        <v>52194.156325802542</v>
      </c>
      <c r="AP11" s="74">
        <f t="shared" si="20"/>
        <v>65242.695407253181</v>
      </c>
      <c r="AQ11" s="74">
        <f t="shared" si="46"/>
        <v>0</v>
      </c>
      <c r="AR11" s="74">
        <f t="shared" si="22"/>
        <v>22553.822524670006</v>
      </c>
      <c r="AS11" s="72">
        <f t="shared" si="23"/>
        <v>135545.20066425574</v>
      </c>
      <c r="AT11" s="72">
        <f t="shared" si="24"/>
        <v>26031.542524670011</v>
      </c>
      <c r="AU11" s="78">
        <f t="shared" si="47"/>
        <v>2418.3893092409894</v>
      </c>
      <c r="AV11" s="79">
        <f t="shared" si="26"/>
        <v>5.7103462047082831E-2</v>
      </c>
      <c r="AW11" s="80">
        <f t="shared" si="27"/>
        <v>902.03431235805158</v>
      </c>
      <c r="AX11" s="81">
        <f t="shared" si="28"/>
        <v>1516.3549968829375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3 SHUTTER SLIDING DOOR WITH TOP FIXED</v>
      </c>
      <c r="D12" s="131" t="str">
        <f>Pricing!B8</f>
        <v>GL1-WD</v>
      </c>
      <c r="E12" s="132" t="str">
        <f>Pricing!N8</f>
        <v>8MM &amp; 6MM</v>
      </c>
      <c r="F12" s="68">
        <f>Pricing!G8</f>
        <v>5488</v>
      </c>
      <c r="G12" s="68">
        <f>Pricing!H8</f>
        <v>3354</v>
      </c>
      <c r="H12" s="100">
        <f t="shared" si="0"/>
        <v>18.406752000000001</v>
      </c>
      <c r="I12" s="70">
        <f>Pricing!I8</f>
        <v>1</v>
      </c>
      <c r="J12" s="69">
        <f t="shared" si="30"/>
        <v>18.406752000000001</v>
      </c>
      <c r="K12" s="71">
        <f t="shared" si="31"/>
        <v>198.13027852799999</v>
      </c>
      <c r="L12" s="69"/>
      <c r="M12" s="72"/>
      <c r="N12" s="72"/>
      <c r="O12" s="72">
        <f t="shared" si="3"/>
        <v>0</v>
      </c>
      <c r="P12" s="73">
        <f>Pricing!M8</f>
        <v>88293.739999999991</v>
      </c>
      <c r="Q12" s="74">
        <f t="shared" si="32"/>
        <v>8829.3739999999998</v>
      </c>
      <c r="R12" s="74">
        <f t="shared" si="33"/>
        <v>10683.542539999999</v>
      </c>
      <c r="S12" s="74">
        <f t="shared" si="34"/>
        <v>539.03328269999997</v>
      </c>
      <c r="T12" s="74">
        <f t="shared" si="35"/>
        <v>1083.4568982269998</v>
      </c>
      <c r="U12" s="72">
        <f t="shared" si="36"/>
        <v>109429.14672092698</v>
      </c>
      <c r="V12" s="74">
        <f t="shared" si="37"/>
        <v>1641.4372008139046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24333.726144</v>
      </c>
      <c r="AE12" s="76">
        <f t="shared" si="43"/>
        <v>1449.5081967213114</v>
      </c>
      <c r="AF12" s="342">
        <f t="shared" si="44"/>
        <v>1485.4559999999999</v>
      </c>
      <c r="AG12" s="343"/>
      <c r="AH12" s="76">
        <f t="shared" si="45"/>
        <v>53.052000000000007</v>
      </c>
      <c r="AI12" s="76">
        <f t="shared" si="15"/>
        <v>176.84</v>
      </c>
      <c r="AJ12" s="76">
        <f>J12*Pricing!Q8</f>
        <v>0</v>
      </c>
      <c r="AK12" s="76">
        <f>J12*Pricing!R8</f>
        <v>79252.111411199992</v>
      </c>
      <c r="AL12" s="76">
        <f t="shared" si="16"/>
        <v>19813.027852799998</v>
      </c>
      <c r="AM12" s="77">
        <f t="shared" si="17"/>
        <v>0</v>
      </c>
      <c r="AN12" s="76">
        <f t="shared" si="18"/>
        <v>15850.422282239999</v>
      </c>
      <c r="AO12" s="72">
        <f t="shared" si="19"/>
        <v>114235.44011846218</v>
      </c>
      <c r="AP12" s="74">
        <f t="shared" si="20"/>
        <v>142794.30014807772</v>
      </c>
      <c r="AQ12" s="74">
        <f t="shared" si="46"/>
        <v>0</v>
      </c>
      <c r="AR12" s="74">
        <f t="shared" si="22"/>
        <v>13963.883485067865</v>
      </c>
      <c r="AS12" s="72">
        <f t="shared" si="23"/>
        <v>396279.02795677993</v>
      </c>
      <c r="AT12" s="72">
        <f t="shared" si="24"/>
        <v>21529.003485067868</v>
      </c>
      <c r="AU12" s="78">
        <f t="shared" si="47"/>
        <v>2000.0932260375203</v>
      </c>
      <c r="AV12" s="79">
        <f t="shared" si="26"/>
        <v>0.20186236580309166</v>
      </c>
      <c r="AW12" s="80">
        <f t="shared" si="27"/>
        <v>560.59368990411156</v>
      </c>
      <c r="AX12" s="81">
        <f t="shared" si="28"/>
        <v>1439.4995361334086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WINDOWS WITH 7 FIXED</v>
      </c>
      <c r="D13" s="131" t="str">
        <f>Pricing!B9</f>
        <v>GL2-WD</v>
      </c>
      <c r="E13" s="132" t="str">
        <f>Pricing!N9</f>
        <v>6MM</v>
      </c>
      <c r="F13" s="68">
        <f>Pricing!G9</f>
        <v>4040</v>
      </c>
      <c r="G13" s="68">
        <f>Pricing!H9</f>
        <v>3252</v>
      </c>
      <c r="H13" s="100">
        <f t="shared" si="0"/>
        <v>13.13808</v>
      </c>
      <c r="I13" s="70">
        <f>Pricing!I9</f>
        <v>1</v>
      </c>
      <c r="J13" s="69">
        <f t="shared" si="30"/>
        <v>13.13808</v>
      </c>
      <c r="K13" s="71">
        <f t="shared" si="31"/>
        <v>141.41829311999999</v>
      </c>
      <c r="L13" s="69"/>
      <c r="M13" s="72"/>
      <c r="N13" s="72"/>
      <c r="O13" s="72">
        <f t="shared" si="3"/>
        <v>0</v>
      </c>
      <c r="P13" s="73">
        <f>Pricing!M9</f>
        <v>102028.58</v>
      </c>
      <c r="Q13" s="74">
        <f t="shared" si="32"/>
        <v>10202.858</v>
      </c>
      <c r="R13" s="74">
        <f t="shared" si="33"/>
        <v>12345.45818</v>
      </c>
      <c r="S13" s="74">
        <f t="shared" si="34"/>
        <v>622.88448089999997</v>
      </c>
      <c r="T13" s="74">
        <f t="shared" si="35"/>
        <v>1251.997806609</v>
      </c>
      <c r="U13" s="72">
        <f t="shared" si="36"/>
        <v>126451.77846750899</v>
      </c>
      <c r="V13" s="74">
        <f t="shared" si="37"/>
        <v>1896.7766770126348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13164.356160000001</v>
      </c>
      <c r="AE13" s="76">
        <f t="shared" si="43"/>
        <v>1195.4098360655739</v>
      </c>
      <c r="AF13" s="342">
        <f t="shared" si="44"/>
        <v>1225.0559999999998</v>
      </c>
      <c r="AG13" s="343"/>
      <c r="AH13" s="76">
        <f t="shared" si="45"/>
        <v>43.751999999999995</v>
      </c>
      <c r="AI13" s="76">
        <f t="shared" si="15"/>
        <v>145.84</v>
      </c>
      <c r="AJ13" s="76">
        <f>J13*Pricing!Q9</f>
        <v>0</v>
      </c>
      <c r="AK13" s="76">
        <f>J13*Pricing!R9</f>
        <v>0</v>
      </c>
      <c r="AL13" s="76">
        <f t="shared" si="16"/>
        <v>14141.829311999998</v>
      </c>
      <c r="AM13" s="77">
        <f t="shared" si="17"/>
        <v>0</v>
      </c>
      <c r="AN13" s="76">
        <f t="shared" si="18"/>
        <v>11313.463449599998</v>
      </c>
      <c r="AO13" s="72">
        <f t="shared" si="19"/>
        <v>130958.6129805872</v>
      </c>
      <c r="AP13" s="74">
        <f t="shared" si="20"/>
        <v>163698.266225734</v>
      </c>
      <c r="AQ13" s="74">
        <f t="shared" si="46"/>
        <v>0</v>
      </c>
      <c r="AR13" s="74">
        <f t="shared" si="22"/>
        <v>22427.697137353494</v>
      </c>
      <c r="AS13" s="72">
        <f t="shared" si="23"/>
        <v>333276.52812792122</v>
      </c>
      <c r="AT13" s="72">
        <f t="shared" si="24"/>
        <v>25367.217137353495</v>
      </c>
      <c r="AU13" s="78">
        <f t="shared" si="47"/>
        <v>2356.6719748563264</v>
      </c>
      <c r="AV13" s="79">
        <f t="shared" si="26"/>
        <v>0.14408212328336267</v>
      </c>
      <c r="AW13" s="80">
        <f t="shared" si="27"/>
        <v>907.58099474169103</v>
      </c>
      <c r="AX13" s="81">
        <f t="shared" si="28"/>
        <v>1449.0909801146354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3 NO'S</v>
      </c>
      <c r="D14" s="131" t="str">
        <f>Pricing!B10</f>
        <v>W6A</v>
      </c>
      <c r="E14" s="132" t="str">
        <f>Pricing!N10</f>
        <v>6MM</v>
      </c>
      <c r="F14" s="68">
        <f>Pricing!G10</f>
        <v>1652</v>
      </c>
      <c r="G14" s="68">
        <f>Pricing!H10</f>
        <v>3252</v>
      </c>
      <c r="H14" s="100">
        <f t="shared" si="0"/>
        <v>5.3723039999999997</v>
      </c>
      <c r="I14" s="70">
        <f>Pricing!I10</f>
        <v>1</v>
      </c>
      <c r="J14" s="69">
        <f t="shared" si="30"/>
        <v>5.3723039999999997</v>
      </c>
      <c r="K14" s="71">
        <f t="shared" si="31"/>
        <v>57.827480255999994</v>
      </c>
      <c r="L14" s="69"/>
      <c r="M14" s="72"/>
      <c r="N14" s="72"/>
      <c r="O14" s="72">
        <f t="shared" si="3"/>
        <v>0</v>
      </c>
      <c r="P14" s="73">
        <f>Pricing!M10</f>
        <v>15350.849999999999</v>
      </c>
      <c r="Q14" s="74">
        <f t="shared" si="32"/>
        <v>1535.085</v>
      </c>
      <c r="R14" s="74">
        <f t="shared" si="33"/>
        <v>1857.4528499999997</v>
      </c>
      <c r="S14" s="74">
        <f t="shared" si="34"/>
        <v>93.716939249999996</v>
      </c>
      <c r="T14" s="74">
        <f t="shared" si="35"/>
        <v>188.3710478925</v>
      </c>
      <c r="U14" s="72">
        <f t="shared" si="36"/>
        <v>19025.475837142498</v>
      </c>
      <c r="V14" s="74">
        <f t="shared" si="37"/>
        <v>285.38213755713747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5383.0486080000001</v>
      </c>
      <c r="AE14" s="76">
        <f t="shared" si="43"/>
        <v>803.93442622950818</v>
      </c>
      <c r="AF14" s="342">
        <f t="shared" si="44"/>
        <v>823.87199999999984</v>
      </c>
      <c r="AG14" s="343"/>
      <c r="AH14" s="76">
        <f t="shared" si="45"/>
        <v>29.423999999999999</v>
      </c>
      <c r="AI14" s="76">
        <f t="shared" si="15"/>
        <v>98.08</v>
      </c>
      <c r="AJ14" s="76">
        <f>J14*Pricing!Q10</f>
        <v>0</v>
      </c>
      <c r="AK14" s="76">
        <f>J14*Pricing!R10</f>
        <v>0</v>
      </c>
      <c r="AL14" s="76">
        <f t="shared" si="16"/>
        <v>5782.748025599999</v>
      </c>
      <c r="AM14" s="77">
        <f t="shared" si="17"/>
        <v>0</v>
      </c>
      <c r="AN14" s="76">
        <f t="shared" si="18"/>
        <v>4626.1984204799992</v>
      </c>
      <c r="AO14" s="72">
        <f t="shared" si="19"/>
        <v>21066.168400929142</v>
      </c>
      <c r="AP14" s="74">
        <f t="shared" si="20"/>
        <v>26332.710501161426</v>
      </c>
      <c r="AQ14" s="74">
        <f t="shared" si="46"/>
        <v>0</v>
      </c>
      <c r="AR14" s="74">
        <f t="shared" si="22"/>
        <v>8822.8214378952816</v>
      </c>
      <c r="AS14" s="72">
        <f t="shared" si="23"/>
        <v>63190.873956170559</v>
      </c>
      <c r="AT14" s="72">
        <f t="shared" si="24"/>
        <v>11762.34143789528</v>
      </c>
      <c r="AU14" s="78">
        <f t="shared" si="47"/>
        <v>1092.7481826361279</v>
      </c>
      <c r="AV14" s="79">
        <f t="shared" si="26"/>
        <v>5.8916749421810674E-2</v>
      </c>
      <c r="AW14" s="80">
        <f t="shared" si="27"/>
        <v>333.93912183638685</v>
      </c>
      <c r="AX14" s="81">
        <f t="shared" si="28"/>
        <v>758.80906079974125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3 NO'S</v>
      </c>
      <c r="D15" s="131" t="str">
        <f>Pricing!B11</f>
        <v>W6B</v>
      </c>
      <c r="E15" s="132" t="str">
        <f>Pricing!N11</f>
        <v>6MM</v>
      </c>
      <c r="F15" s="68">
        <f>Pricing!G11</f>
        <v>1702</v>
      </c>
      <c r="G15" s="68">
        <f>Pricing!H11</f>
        <v>3252</v>
      </c>
      <c r="H15" s="100">
        <f t="shared" si="0"/>
        <v>5.534904</v>
      </c>
      <c r="I15" s="70">
        <f>Pricing!I11</f>
        <v>1</v>
      </c>
      <c r="J15" s="69">
        <f t="shared" si="30"/>
        <v>5.534904</v>
      </c>
      <c r="K15" s="71">
        <f t="shared" si="31"/>
        <v>59.577706655999997</v>
      </c>
      <c r="L15" s="69"/>
      <c r="M15" s="72"/>
      <c r="N15" s="72"/>
      <c r="O15" s="72">
        <f t="shared" si="3"/>
        <v>0</v>
      </c>
      <c r="P15" s="73">
        <f>Pricing!M11</f>
        <v>15587.400000000001</v>
      </c>
      <c r="Q15" s="74">
        <f t="shared" si="4"/>
        <v>1558.7400000000002</v>
      </c>
      <c r="R15" s="74">
        <f t="shared" si="5"/>
        <v>1886.0754000000004</v>
      </c>
      <c r="S15" s="74">
        <f t="shared" si="6"/>
        <v>95.16107700000002</v>
      </c>
      <c r="T15" s="74">
        <f t="shared" si="7"/>
        <v>191.27376477000007</v>
      </c>
      <c r="U15" s="72">
        <f t="shared" si="8"/>
        <v>19318.650241770007</v>
      </c>
      <c r="V15" s="74">
        <f t="shared" si="9"/>
        <v>289.77975362655008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5545.9738079999997</v>
      </c>
      <c r="AE15" s="76">
        <f t="shared" si="43"/>
        <v>812.13114754098365</v>
      </c>
      <c r="AF15" s="342">
        <f t="shared" si="44"/>
        <v>832.27200000000005</v>
      </c>
      <c r="AG15" s="343"/>
      <c r="AH15" s="76">
        <f t="shared" si="45"/>
        <v>29.723999999999997</v>
      </c>
      <c r="AI15" s="76">
        <f t="shared" ref="AI15:AI20" si="49">(((F15+G15)*2*I15)/1000)*2*$AI$7</f>
        <v>99.08</v>
      </c>
      <c r="AJ15" s="76">
        <f>J15*Pricing!Q11</f>
        <v>0</v>
      </c>
      <c r="AK15" s="76">
        <f>J15*Pricing!R11</f>
        <v>0</v>
      </c>
      <c r="AL15" s="76">
        <f t="shared" si="16"/>
        <v>5957.7706655999991</v>
      </c>
      <c r="AM15" s="77">
        <f t="shared" si="17"/>
        <v>0</v>
      </c>
      <c r="AN15" s="76">
        <f t="shared" si="18"/>
        <v>4766.2165324799998</v>
      </c>
      <c r="AO15" s="72">
        <f t="shared" si="19"/>
        <v>21381.637142937539</v>
      </c>
      <c r="AP15" s="74">
        <f t="shared" si="20"/>
        <v>26727.046428671925</v>
      </c>
      <c r="AQ15" s="74">
        <f t="shared" si="21"/>
        <v>0</v>
      </c>
      <c r="AR15" s="74">
        <f t="shared" si="22"/>
        <v>8691.8731691840476</v>
      </c>
      <c r="AS15" s="72">
        <f t="shared" si="23"/>
        <v>64378.644577689462</v>
      </c>
      <c r="AT15" s="72">
        <f t="shared" si="24"/>
        <v>11631.393169184048</v>
      </c>
      <c r="AU15" s="78">
        <f t="shared" si="25"/>
        <v>1080.5827916373141</v>
      </c>
      <c r="AV15" s="79">
        <f t="shared" si="26"/>
        <v>6.0699944016901798E-2</v>
      </c>
      <c r="AW15" s="80">
        <f t="shared" si="27"/>
        <v>329.12361176664757</v>
      </c>
      <c r="AX15" s="81">
        <f t="shared" si="28"/>
        <v>751.4591798706665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 WITH 4 FIXED</v>
      </c>
      <c r="D16" s="131" t="str">
        <f>Pricing!B12</f>
        <v>W9A</v>
      </c>
      <c r="E16" s="132" t="str">
        <f>Pricing!N12</f>
        <v>6MM</v>
      </c>
      <c r="F16" s="68">
        <f>Pricing!G12</f>
        <v>2592</v>
      </c>
      <c r="G16" s="68">
        <f>Pricing!H12</f>
        <v>3556</v>
      </c>
      <c r="H16" s="100">
        <f t="shared" si="0"/>
        <v>9.2171520000000005</v>
      </c>
      <c r="I16" s="70">
        <f>Pricing!I12</f>
        <v>1</v>
      </c>
      <c r="J16" s="69">
        <f t="shared" si="30"/>
        <v>9.2171520000000005</v>
      </c>
      <c r="K16" s="71">
        <f t="shared" si="31"/>
        <v>99.213424128</v>
      </c>
      <c r="L16" s="69"/>
      <c r="M16" s="72"/>
      <c r="N16" s="72"/>
      <c r="O16" s="72">
        <f t="shared" si="3"/>
        <v>0</v>
      </c>
      <c r="P16" s="73">
        <f>Pricing!M12</f>
        <v>71124.36</v>
      </c>
      <c r="Q16" s="74">
        <f t="shared" si="4"/>
        <v>7112.4360000000006</v>
      </c>
      <c r="R16" s="74">
        <f t="shared" si="5"/>
        <v>8606.0475600000009</v>
      </c>
      <c r="S16" s="74">
        <f t="shared" si="6"/>
        <v>434.21421780000003</v>
      </c>
      <c r="T16" s="74">
        <f t="shared" si="7"/>
        <v>872.77057777800019</v>
      </c>
      <c r="U16" s="72">
        <f t="shared" si="8"/>
        <v>88149.828355578022</v>
      </c>
      <c r="V16" s="74">
        <f t="shared" si="9"/>
        <v>1322.2474253336702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9235.5863040000004</v>
      </c>
      <c r="AE16" s="76">
        <f t="shared" si="43"/>
        <v>1007.8688524590165</v>
      </c>
      <c r="AF16" s="342">
        <f t="shared" si="44"/>
        <v>1032.8639999999998</v>
      </c>
      <c r="AG16" s="343"/>
      <c r="AH16" s="76">
        <f t="shared" si="45"/>
        <v>36.887999999999998</v>
      </c>
      <c r="AI16" s="76">
        <f t="shared" si="49"/>
        <v>122.96</v>
      </c>
      <c r="AJ16" s="76">
        <f>J16*Pricing!Q12</f>
        <v>4960.6712063999994</v>
      </c>
      <c r="AK16" s="76">
        <f>J16*Pricing!R12</f>
        <v>0</v>
      </c>
      <c r="AL16" s="76">
        <f t="shared" si="16"/>
        <v>9921.3424127999988</v>
      </c>
      <c r="AM16" s="77">
        <f t="shared" si="17"/>
        <v>0</v>
      </c>
      <c r="AN16" s="76">
        <f t="shared" si="18"/>
        <v>7937.0739302399998</v>
      </c>
      <c r="AO16" s="72">
        <f t="shared" si="19"/>
        <v>91672.656633370716</v>
      </c>
      <c r="AP16" s="74">
        <f t="shared" si="20"/>
        <v>114590.8207917134</v>
      </c>
      <c r="AQ16" s="74">
        <f t="shared" si="21"/>
        <v>0</v>
      </c>
      <c r="AR16" s="74">
        <f t="shared" si="22"/>
        <v>22378.22240808051</v>
      </c>
      <c r="AS16" s="72">
        <f t="shared" si="23"/>
        <v>238318.15127852411</v>
      </c>
      <c r="AT16" s="72">
        <f t="shared" si="24"/>
        <v>25855.942408080511</v>
      </c>
      <c r="AU16" s="78">
        <f t="shared" si="25"/>
        <v>2402.0756603567925</v>
      </c>
      <c r="AV16" s="79">
        <f t="shared" si="26"/>
        <v>0.10108226093808935</v>
      </c>
      <c r="AW16" s="80">
        <f t="shared" si="27"/>
        <v>901.81421080154917</v>
      </c>
      <c r="AX16" s="81">
        <f t="shared" si="28"/>
        <v>1500.2614495552432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 WITH 7 FIXED</v>
      </c>
      <c r="D17" s="131" t="str">
        <f>Pricing!B13</f>
        <v>W9B</v>
      </c>
      <c r="E17" s="132" t="str">
        <f>Pricing!N13</f>
        <v>6MM</v>
      </c>
      <c r="F17" s="68">
        <f>Pricing!G13</f>
        <v>2592</v>
      </c>
      <c r="G17" s="68">
        <f>Pricing!H13</f>
        <v>4318</v>
      </c>
      <c r="H17" s="100">
        <f t="shared" si="0"/>
        <v>11.192256</v>
      </c>
      <c r="I17" s="70">
        <f>Pricing!I13</f>
        <v>1</v>
      </c>
      <c r="J17" s="69">
        <f t="shared" si="30"/>
        <v>11.192256</v>
      </c>
      <c r="K17" s="71">
        <f t="shared" si="31"/>
        <v>120.47344358399999</v>
      </c>
      <c r="L17" s="69"/>
      <c r="M17" s="72"/>
      <c r="N17" s="72"/>
      <c r="O17" s="72">
        <f t="shared" si="3"/>
        <v>0</v>
      </c>
      <c r="P17" s="73">
        <f>Pricing!M13</f>
        <v>84987.02</v>
      </c>
      <c r="Q17" s="74">
        <f t="shared" si="4"/>
        <v>8498.7020000000011</v>
      </c>
      <c r="R17" s="74">
        <f t="shared" si="5"/>
        <v>10283.42942</v>
      </c>
      <c r="S17" s="74">
        <f t="shared" si="6"/>
        <v>518.84575710000001</v>
      </c>
      <c r="T17" s="74">
        <f t="shared" si="7"/>
        <v>1042.8799717710001</v>
      </c>
      <c r="U17" s="72">
        <f t="shared" si="8"/>
        <v>105330.87714887102</v>
      </c>
      <c r="V17" s="74">
        <f t="shared" si="9"/>
        <v>1579.9631572330652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11214.640512</v>
      </c>
      <c r="AE17" s="76">
        <f t="shared" si="43"/>
        <v>1132.7868852459017</v>
      </c>
      <c r="AF17" s="342">
        <f t="shared" si="44"/>
        <v>1160.8799999999999</v>
      </c>
      <c r="AG17" s="343"/>
      <c r="AH17" s="76">
        <f t="shared" si="45"/>
        <v>41.46</v>
      </c>
      <c r="AI17" s="76">
        <f t="shared" si="49"/>
        <v>138.19999999999999</v>
      </c>
      <c r="AJ17" s="76">
        <f>J17*Pricing!Q13</f>
        <v>6023.6721791999998</v>
      </c>
      <c r="AK17" s="76">
        <f>J17*Pricing!R13</f>
        <v>0</v>
      </c>
      <c r="AL17" s="76">
        <f t="shared" si="16"/>
        <v>12047.3443584</v>
      </c>
      <c r="AM17" s="77">
        <f t="shared" si="17"/>
        <v>0</v>
      </c>
      <c r="AN17" s="76">
        <f t="shared" si="18"/>
        <v>9637.8754867199987</v>
      </c>
      <c r="AO17" s="72">
        <f t="shared" si="19"/>
        <v>109384.16719134999</v>
      </c>
      <c r="AP17" s="74">
        <f t="shared" si="20"/>
        <v>136730.20898918749</v>
      </c>
      <c r="AQ17" s="74">
        <f t="shared" si="21"/>
        <v>0</v>
      </c>
      <c r="AR17" s="74">
        <f t="shared" si="22"/>
        <v>21989.702181627857</v>
      </c>
      <c r="AS17" s="72">
        <f t="shared" si="23"/>
        <v>285037.90871685749</v>
      </c>
      <c r="AT17" s="72">
        <f t="shared" si="24"/>
        <v>25467.422181627859</v>
      </c>
      <c r="AU17" s="78">
        <f t="shared" si="25"/>
        <v>2365.9812506157432</v>
      </c>
      <c r="AV17" s="79">
        <f t="shared" si="26"/>
        <v>0.12274274542482277</v>
      </c>
      <c r="AW17" s="80">
        <f t="shared" si="27"/>
        <v>887.42246528016449</v>
      </c>
      <c r="AX17" s="81">
        <f t="shared" si="28"/>
        <v>1478.5587853355787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2 FIXED GLASS WITH EXHAUST PROVISION</v>
      </c>
      <c r="D18" s="131" t="str">
        <f>Pricing!B14</f>
        <v>V1</v>
      </c>
      <c r="E18" s="132" t="str">
        <f>Pricing!N14</f>
        <v>6MM (F)</v>
      </c>
      <c r="F18" s="68">
        <f>Pricing!G14</f>
        <v>1678</v>
      </c>
      <c r="G18" s="68">
        <f>Pricing!H14</f>
        <v>916</v>
      </c>
      <c r="H18" s="100">
        <f t="shared" si="0"/>
        <v>1.537048</v>
      </c>
      <c r="I18" s="70">
        <f>Pricing!I14</f>
        <v>1</v>
      </c>
      <c r="J18" s="69">
        <f t="shared" si="30"/>
        <v>1.537048</v>
      </c>
      <c r="K18" s="71">
        <f t="shared" si="31"/>
        <v>16.544784671999999</v>
      </c>
      <c r="L18" s="69"/>
      <c r="M18" s="72"/>
      <c r="N18" s="72"/>
      <c r="O18" s="72">
        <f t="shared" si="3"/>
        <v>0</v>
      </c>
      <c r="P18" s="73">
        <f>Pricing!M14</f>
        <v>6481.47</v>
      </c>
      <c r="Q18" s="74">
        <f t="shared" si="4"/>
        <v>648.14700000000005</v>
      </c>
      <c r="R18" s="74">
        <f t="shared" si="5"/>
        <v>784.25787000000003</v>
      </c>
      <c r="S18" s="74">
        <f t="shared" si="6"/>
        <v>39.569374350000004</v>
      </c>
      <c r="T18" s="74">
        <f t="shared" si="7"/>
        <v>79.534442443499998</v>
      </c>
      <c r="U18" s="72">
        <f t="shared" si="8"/>
        <v>8032.9786867934999</v>
      </c>
      <c r="V18" s="74">
        <f t="shared" si="9"/>
        <v>120.49468030190249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3078.707144</v>
      </c>
      <c r="AE18" s="76">
        <f t="shared" si="43"/>
        <v>425.24590163934431</v>
      </c>
      <c r="AF18" s="342">
        <f t="shared" si="44"/>
        <v>435.79200000000003</v>
      </c>
      <c r="AG18" s="343"/>
      <c r="AH18" s="76">
        <f t="shared" si="45"/>
        <v>15.564</v>
      </c>
      <c r="AI18" s="76">
        <f t="shared" si="49"/>
        <v>51.879999999999995</v>
      </c>
      <c r="AJ18" s="76">
        <f>J18*Pricing!Q14</f>
        <v>0</v>
      </c>
      <c r="AK18" s="76">
        <f>J18*Pricing!R14</f>
        <v>0</v>
      </c>
      <c r="AL18" s="76">
        <f t="shared" si="16"/>
        <v>1654.4784671999998</v>
      </c>
      <c r="AM18" s="77">
        <f t="shared" si="17"/>
        <v>0</v>
      </c>
      <c r="AN18" s="76">
        <f t="shared" si="18"/>
        <v>1323.5827737599998</v>
      </c>
      <c r="AO18" s="72">
        <f t="shared" si="19"/>
        <v>9081.9552687347459</v>
      </c>
      <c r="AP18" s="74">
        <f t="shared" si="20"/>
        <v>11352.444085918432</v>
      </c>
      <c r="AQ18" s="74">
        <f t="shared" si="21"/>
        <v>0</v>
      </c>
      <c r="AR18" s="74">
        <f t="shared" si="22"/>
        <v>13294.574635699848</v>
      </c>
      <c r="AS18" s="72">
        <f t="shared" si="23"/>
        <v>26491.167739613178</v>
      </c>
      <c r="AT18" s="72">
        <f t="shared" si="24"/>
        <v>17235.094635699847</v>
      </c>
      <c r="AU18" s="78">
        <f t="shared" si="25"/>
        <v>1601.1793604329105</v>
      </c>
      <c r="AV18" s="79">
        <f t="shared" si="26"/>
        <v>1.6856431033183388E-2</v>
      </c>
      <c r="AW18" s="80">
        <f t="shared" si="27"/>
        <v>492.8122987840481</v>
      </c>
      <c r="AX18" s="81">
        <f t="shared" si="28"/>
        <v>1108.3670616488625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WITH EXHAUST PROVISION</v>
      </c>
      <c r="D19" s="131" t="str">
        <f>Pricing!B15</f>
        <v>V2</v>
      </c>
      <c r="E19" s="132" t="str">
        <f>Pricing!N15</f>
        <v>6MM (F)</v>
      </c>
      <c r="F19" s="68">
        <f>Pricing!G15</f>
        <v>458</v>
      </c>
      <c r="G19" s="68">
        <f>Pricing!H15</f>
        <v>916</v>
      </c>
      <c r="H19" s="100">
        <f t="shared" si="0"/>
        <v>0.41952800000000001</v>
      </c>
      <c r="I19" s="70">
        <f>Pricing!I15</f>
        <v>1</v>
      </c>
      <c r="J19" s="69">
        <f t="shared" si="30"/>
        <v>0.41952800000000001</v>
      </c>
      <c r="K19" s="71">
        <f t="shared" si="31"/>
        <v>4.5157993919999999</v>
      </c>
      <c r="L19" s="69"/>
      <c r="M19" s="72"/>
      <c r="N19" s="72"/>
      <c r="O19" s="72">
        <f t="shared" si="3"/>
        <v>0</v>
      </c>
      <c r="P19" s="73">
        <f>Pricing!M15</f>
        <v>2990.4900000000002</v>
      </c>
      <c r="Q19" s="74">
        <f t="shared" si="4"/>
        <v>299.04900000000004</v>
      </c>
      <c r="R19" s="74">
        <f t="shared" si="5"/>
        <v>361.84929000000005</v>
      </c>
      <c r="S19" s="74">
        <f t="shared" si="6"/>
        <v>18.256941450000003</v>
      </c>
      <c r="T19" s="74">
        <f t="shared" si="7"/>
        <v>36.6964523145</v>
      </c>
      <c r="U19" s="72">
        <f t="shared" si="8"/>
        <v>3706.3416837645004</v>
      </c>
      <c r="V19" s="74">
        <f t="shared" si="9"/>
        <v>55.595125256467504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840.31458399999997</v>
      </c>
      <c r="AE19" s="76">
        <f t="shared" si="43"/>
        <v>225.24590163934425</v>
      </c>
      <c r="AF19" s="342">
        <f t="shared" si="44"/>
        <v>230.83199999999999</v>
      </c>
      <c r="AG19" s="343"/>
      <c r="AH19" s="76">
        <f t="shared" si="45"/>
        <v>8.2439999999999998</v>
      </c>
      <c r="AI19" s="76">
        <f t="shared" si="49"/>
        <v>27.480000000000004</v>
      </c>
      <c r="AJ19" s="76">
        <f>J19*Pricing!Q15</f>
        <v>0</v>
      </c>
      <c r="AK19" s="76">
        <f>J19*Pricing!R15</f>
        <v>0</v>
      </c>
      <c r="AL19" s="76">
        <f t="shared" si="16"/>
        <v>451.57993919999996</v>
      </c>
      <c r="AM19" s="77">
        <f t="shared" si="17"/>
        <v>0</v>
      </c>
      <c r="AN19" s="76">
        <f t="shared" si="18"/>
        <v>361.26395135999996</v>
      </c>
      <c r="AO19" s="72">
        <f t="shared" si="19"/>
        <v>4253.7387106603119</v>
      </c>
      <c r="AP19" s="74">
        <f t="shared" si="20"/>
        <v>5317.1733883253901</v>
      </c>
      <c r="AQ19" s="74">
        <f t="shared" si="21"/>
        <v>0</v>
      </c>
      <c r="AR19" s="74">
        <f t="shared" si="22"/>
        <v>22813.52400551501</v>
      </c>
      <c r="AS19" s="72">
        <f t="shared" si="23"/>
        <v>11224.070573545701</v>
      </c>
      <c r="AT19" s="72">
        <f t="shared" si="24"/>
        <v>26754.04400551501</v>
      </c>
      <c r="AU19" s="78">
        <f t="shared" si="25"/>
        <v>2485.5113345889085</v>
      </c>
      <c r="AV19" s="79">
        <f t="shared" si="26"/>
        <v>4.6008613904636427E-3</v>
      </c>
      <c r="AW19" s="80">
        <f t="shared" si="27"/>
        <v>833.06110003147103</v>
      </c>
      <c r="AX19" s="81">
        <f t="shared" si="28"/>
        <v>1652.4502345574376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V3</v>
      </c>
      <c r="E20" s="132" t="str">
        <f>Pricing!N16</f>
        <v>6MM (F)</v>
      </c>
      <c r="F20" s="68">
        <f>Pricing!G16</f>
        <v>2744</v>
      </c>
      <c r="G20" s="68">
        <f>Pricing!H16</f>
        <v>610</v>
      </c>
      <c r="H20" s="100">
        <f t="shared" si="0"/>
        <v>1.67384</v>
      </c>
      <c r="I20" s="70">
        <f>Pricing!I16</f>
        <v>1</v>
      </c>
      <c r="J20" s="69">
        <f t="shared" si="30"/>
        <v>1.67384</v>
      </c>
      <c r="K20" s="71">
        <f t="shared" si="31"/>
        <v>18.017213759999997</v>
      </c>
      <c r="L20" s="69"/>
      <c r="M20" s="72"/>
      <c r="N20" s="72"/>
      <c r="O20" s="72">
        <f t="shared" si="3"/>
        <v>0</v>
      </c>
      <c r="P20" s="73">
        <f>Pricing!M16</f>
        <v>22641.570000000003</v>
      </c>
      <c r="Q20" s="74">
        <f t="shared" si="4"/>
        <v>2264.1570000000006</v>
      </c>
      <c r="R20" s="74">
        <f t="shared" si="5"/>
        <v>2739.6299700000004</v>
      </c>
      <c r="S20" s="74">
        <f t="shared" si="6"/>
        <v>138.22678485000003</v>
      </c>
      <c r="T20" s="74">
        <f t="shared" si="7"/>
        <v>277.83583754850008</v>
      </c>
      <c r="U20" s="72">
        <f t="shared" si="8"/>
        <v>28061.419592398506</v>
      </c>
      <c r="V20" s="74">
        <f t="shared" si="9"/>
        <v>420.9212938859776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3352.7015200000001</v>
      </c>
      <c r="AE20" s="76">
        <f t="shared" si="43"/>
        <v>549.8360655737705</v>
      </c>
      <c r="AF20" s="342">
        <f t="shared" si="44"/>
        <v>563.47200000000009</v>
      </c>
      <c r="AG20" s="343"/>
      <c r="AH20" s="76">
        <f t="shared" si="45"/>
        <v>20.124000000000002</v>
      </c>
      <c r="AI20" s="76">
        <f t="shared" si="49"/>
        <v>67.08</v>
      </c>
      <c r="AJ20" s="76">
        <f>J20*Pricing!Q16</f>
        <v>900.86068799999987</v>
      </c>
      <c r="AK20" s="76">
        <f>J20*Pricing!R16</f>
        <v>0</v>
      </c>
      <c r="AL20" s="76">
        <f t="shared" si="16"/>
        <v>1801.7213759999997</v>
      </c>
      <c r="AM20" s="77">
        <f t="shared" si="17"/>
        <v>0</v>
      </c>
      <c r="AN20" s="76">
        <f t="shared" si="18"/>
        <v>1441.3771007999999</v>
      </c>
      <c r="AO20" s="72">
        <f t="shared" si="19"/>
        <v>29682.852951858255</v>
      </c>
      <c r="AP20" s="74">
        <f t="shared" si="20"/>
        <v>37103.566189822821</v>
      </c>
      <c r="AQ20" s="74">
        <f t="shared" si="21"/>
        <v>0</v>
      </c>
      <c r="AR20" s="74">
        <f t="shared" si="22"/>
        <v>39900.12136266374</v>
      </c>
      <c r="AS20" s="72">
        <f t="shared" si="23"/>
        <v>74283.079826481087</v>
      </c>
      <c r="AT20" s="72">
        <f t="shared" si="24"/>
        <v>44378.841362663748</v>
      </c>
      <c r="AU20" s="78">
        <f t="shared" si="25"/>
        <v>4122.8949612285169</v>
      </c>
      <c r="AV20" s="79">
        <f t="shared" si="26"/>
        <v>1.8356595578396823E-2</v>
      </c>
      <c r="AW20" s="80">
        <f t="shared" si="27"/>
        <v>1580.8404820904166</v>
      </c>
      <c r="AX20" s="81">
        <f t="shared" si="28"/>
        <v>2542.0544791380994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2 FIXED GLASS WITH EXHAUST PROVISION</v>
      </c>
      <c r="D21" s="131" t="str">
        <f>Pricing!B17</f>
        <v>V4</v>
      </c>
      <c r="E21" s="132" t="str">
        <f>Pricing!N17</f>
        <v>6MM (F)</v>
      </c>
      <c r="F21" s="68">
        <f>Pricing!G17</f>
        <v>1016</v>
      </c>
      <c r="G21" s="68">
        <f>Pricing!H17</f>
        <v>1220</v>
      </c>
      <c r="H21" s="100">
        <f t="shared" si="0"/>
        <v>1.23952</v>
      </c>
      <c r="I21" s="70">
        <f>Pricing!I17</f>
        <v>1</v>
      </c>
      <c r="J21" s="69">
        <f t="shared" si="30"/>
        <v>1.23952</v>
      </c>
      <c r="K21" s="71">
        <f t="shared" si="31"/>
        <v>13.342193279999998</v>
      </c>
      <c r="L21" s="69"/>
      <c r="M21" s="72"/>
      <c r="N21" s="72"/>
      <c r="O21" s="72">
        <f t="shared" si="3"/>
        <v>0</v>
      </c>
      <c r="P21" s="73">
        <f>Pricing!M17</f>
        <v>6401.79</v>
      </c>
      <c r="Q21" s="74">
        <f t="shared" ref="Q21:Q26" si="50">P21*$Q$6</f>
        <v>640.17900000000009</v>
      </c>
      <c r="R21" s="74">
        <f t="shared" ref="R21:R26" si="51">(P21+Q21)*$R$6</f>
        <v>774.61658999999997</v>
      </c>
      <c r="S21" s="74">
        <f t="shared" ref="S21:S26" si="52">(P21+Q21+R21)*$S$6</f>
        <v>39.082927949999998</v>
      </c>
      <c r="T21" s="74">
        <f t="shared" ref="T21:T26" si="53">(P21+Q21+R21+S21)*$T$6</f>
        <v>78.556685179500008</v>
      </c>
      <c r="U21" s="72">
        <f t="shared" ref="U21:U26" si="54">SUM(P21:T21)</f>
        <v>7934.2252031295002</v>
      </c>
      <c r="V21" s="74">
        <f t="shared" ref="V21:V26" si="55">U21*$V$6</f>
        <v>119.01337804694249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2482.7585599999998</v>
      </c>
      <c r="AE21" s="76">
        <f t="shared" si="43"/>
        <v>366.55737704918033</v>
      </c>
      <c r="AF21" s="342">
        <f t="shared" si="44"/>
        <v>375.64800000000008</v>
      </c>
      <c r="AG21" s="343"/>
      <c r="AH21" s="76">
        <f t="shared" si="45"/>
        <v>13.416</v>
      </c>
      <c r="AI21" s="76">
        <f t="shared" si="15"/>
        <v>44.720000000000006</v>
      </c>
      <c r="AJ21" s="76">
        <f>J21*Pricing!Q17</f>
        <v>0</v>
      </c>
      <c r="AK21" s="76">
        <f>J21*Pricing!R17</f>
        <v>0</v>
      </c>
      <c r="AL21" s="76">
        <f t="shared" si="16"/>
        <v>1334.2193279999997</v>
      </c>
      <c r="AM21" s="77">
        <f t="shared" si="17"/>
        <v>0</v>
      </c>
      <c r="AN21" s="76">
        <f t="shared" si="18"/>
        <v>1067.3754623999998</v>
      </c>
      <c r="AO21" s="72">
        <f t="shared" si="19"/>
        <v>8853.5799582256222</v>
      </c>
      <c r="AP21" s="74">
        <f t="shared" si="20"/>
        <v>11066.974947782028</v>
      </c>
      <c r="AQ21" s="74">
        <f t="shared" ref="AQ21:AQ26" si="61">(AO21+AP21)*$AQ$6</f>
        <v>0</v>
      </c>
      <c r="AR21" s="74">
        <f t="shared" si="22"/>
        <v>16071.18473764655</v>
      </c>
      <c r="AS21" s="72">
        <f t="shared" si="23"/>
        <v>24804.908256407649</v>
      </c>
      <c r="AT21" s="72">
        <f t="shared" si="24"/>
        <v>20011.704737646549</v>
      </c>
      <c r="AU21" s="78">
        <f t="shared" ref="AU21:AU26" si="62">AT21/10.764</f>
        <v>1859.1327329660489</v>
      </c>
      <c r="AV21" s="79">
        <f t="shared" si="26"/>
        <v>1.3593513926859457E-2</v>
      </c>
      <c r="AW21" s="80">
        <f t="shared" si="27"/>
        <v>603.59180924535701</v>
      </c>
      <c r="AX21" s="81">
        <f t="shared" si="28"/>
        <v>1255.5409237206918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91.184663999999998</v>
      </c>
      <c r="I109" s="87">
        <f>SUM(I8:I108)</f>
        <v>14</v>
      </c>
      <c r="J109" s="88">
        <f>SUM(J8:J108)</f>
        <v>91.184663999999998</v>
      </c>
      <c r="K109" s="89">
        <f>SUM(K8:K108)</f>
        <v>981.51172329599979</v>
      </c>
      <c r="L109" s="88">
        <f>SUM(L8:L8)</f>
        <v>0</v>
      </c>
      <c r="M109" s="88"/>
      <c r="N109" s="88"/>
      <c r="O109" s="88"/>
      <c r="P109" s="87">
        <f>SUM(P8:P108)</f>
        <v>585905.29999999993</v>
      </c>
      <c r="Q109" s="88">
        <f t="shared" ref="Q109:AE109" si="156">SUM(Q8:Q108)</f>
        <v>58590.53</v>
      </c>
      <c r="R109" s="88">
        <f t="shared" si="156"/>
        <v>70894.541299999997</v>
      </c>
      <c r="S109" s="88">
        <f t="shared" si="156"/>
        <v>3576.9518564999998</v>
      </c>
      <c r="T109" s="88">
        <f t="shared" si="156"/>
        <v>7189.6732315650006</v>
      </c>
      <c r="U109" s="88">
        <f t="shared" si="156"/>
        <v>726156.99638806493</v>
      </c>
      <c r="V109" s="88">
        <f t="shared" si="156"/>
        <v>10892.354945820976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102131.99990400001</v>
      </c>
      <c r="AE109" s="88">
        <f t="shared" si="156"/>
        <v>11144.262295081968</v>
      </c>
      <c r="AF109" s="353">
        <f>SUM(AF8:AG108)</f>
        <v>11420.639999999998</v>
      </c>
      <c r="AG109" s="354"/>
      <c r="AH109" s="88">
        <f t="shared" ref="AH109:AQ109" si="157">SUM(AH8:AH108)</f>
        <v>407.88000000000005</v>
      </c>
      <c r="AI109" s="88">
        <f t="shared" si="157"/>
        <v>1359.6000000000001</v>
      </c>
      <c r="AJ109" s="88">
        <f t="shared" ref="AJ109" si="158">SUM(AJ8:AJ108)</f>
        <v>20103.259737599998</v>
      </c>
      <c r="AK109" s="88">
        <f t="shared" si="157"/>
        <v>79252.111411199992</v>
      </c>
      <c r="AL109" s="88">
        <f t="shared" si="157"/>
        <v>98151.172329599998</v>
      </c>
      <c r="AM109" s="88">
        <f t="shared" si="157"/>
        <v>0</v>
      </c>
      <c r="AN109" s="88">
        <f t="shared" si="157"/>
        <v>78520.93786368001</v>
      </c>
      <c r="AO109" s="88">
        <f t="shared" si="157"/>
        <v>761381.73362896789</v>
      </c>
      <c r="AP109" s="88">
        <f t="shared" si="157"/>
        <v>951727.16703620995</v>
      </c>
      <c r="AQ109" s="88">
        <f t="shared" si="157"/>
        <v>0</v>
      </c>
      <c r="AR109" s="88"/>
      <c r="AS109" s="87">
        <f>SUM(AS8:AS108)</f>
        <v>2091268.3819112582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11420.639999999998</v>
      </c>
      <c r="AW110" s="84"/>
    </row>
    <row r="111" spans="2:54">
      <c r="AF111" s="174"/>
      <c r="AG111" s="174"/>
      <c r="AH111" s="174">
        <f>SUM(AE109:AI109,AC109)</f>
        <v>24332.382295081963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26" sqref="O2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8" style="122" customWidth="1"/>
    <col min="6" max="6" width="51.140625" style="122" customWidth="1"/>
    <col min="7" max="7" width="18.7109375" style="122" customWidth="1"/>
    <col min="8" max="8" width="29.71093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ABPL-DE-19.20-2149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Ramya Satish</v>
      </c>
      <c r="G7" s="434"/>
      <c r="H7" s="434"/>
      <c r="I7" s="434"/>
      <c r="J7" s="435"/>
      <c r="K7" s="501" t="s">
        <v>104</v>
      </c>
      <c r="L7" s="494"/>
      <c r="M7" s="499">
        <f>'BD Team'!J3</f>
        <v>43684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Bangalore</v>
      </c>
      <c r="G8" s="485" t="s">
        <v>180</v>
      </c>
      <c r="H8" s="486"/>
      <c r="I8" s="434" t="str">
        <f>'BD Team'!G3</f>
        <v>1.5Kpa</v>
      </c>
      <c r="J8" s="435"/>
      <c r="K8" s="501" t="s">
        <v>105</v>
      </c>
      <c r="L8" s="494"/>
      <c r="M8" s="178" t="s">
        <v>365</v>
      </c>
      <c r="N8" s="179">
        <v>43684</v>
      </c>
    </row>
    <row r="9" spans="2:15" ht="24.95" customHeight="1">
      <c r="B9" s="493" t="s">
        <v>169</v>
      </c>
      <c r="C9" s="494"/>
      <c r="D9" s="494"/>
      <c r="E9" s="494"/>
      <c r="F9" s="434" t="str">
        <f>'BD Team'!E4</f>
        <v>Mr. Prasanth : 9591855724</v>
      </c>
      <c r="G9" s="434"/>
      <c r="H9" s="434"/>
      <c r="I9" s="434"/>
      <c r="J9" s="435"/>
      <c r="K9" s="501" t="s">
        <v>179</v>
      </c>
      <c r="L9" s="494"/>
      <c r="M9" s="475" t="str">
        <f>'BD Team'!J4</f>
        <v>Bal Kumari</v>
      </c>
      <c r="N9" s="476"/>
    </row>
    <row r="10" spans="2:15" ht="27.75" customHeight="1" thickBot="1">
      <c r="B10" s="495" t="s">
        <v>177</v>
      </c>
      <c r="C10" s="496"/>
      <c r="D10" s="496"/>
      <c r="E10" s="496"/>
      <c r="F10" s="217" t="str">
        <f>'BD Team'!E5</f>
        <v>Anodized</v>
      </c>
      <c r="G10" s="506" t="s">
        <v>178</v>
      </c>
      <c r="H10" s="507"/>
      <c r="I10" s="504" t="str">
        <f>'BD Team'!G5</f>
        <v>Silver</v>
      </c>
      <c r="J10" s="505"/>
      <c r="K10" s="502" t="s">
        <v>374</v>
      </c>
      <c r="L10" s="503"/>
      <c r="M10" s="497">
        <f>'BD Team'!J5</f>
        <v>0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170</v>
      </c>
      <c r="C13" s="488"/>
      <c r="D13" s="491" t="s">
        <v>171</v>
      </c>
      <c r="E13" s="491" t="s">
        <v>172</v>
      </c>
      <c r="F13" s="491" t="s">
        <v>37</v>
      </c>
      <c r="G13" s="489" t="s">
        <v>63</v>
      </c>
      <c r="H13" s="489" t="s">
        <v>210</v>
      </c>
      <c r="I13" s="489" t="s">
        <v>209</v>
      </c>
      <c r="J13" s="490" t="s">
        <v>173</v>
      </c>
      <c r="K13" s="490" t="s">
        <v>174</v>
      </c>
      <c r="L13" s="488" t="s">
        <v>211</v>
      </c>
      <c r="M13" s="490" t="s">
        <v>175</v>
      </c>
      <c r="N13" s="492" t="s">
        <v>176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2">
        <f>Pricing!A4</f>
        <v>1</v>
      </c>
      <c r="C16" s="413"/>
      <c r="D16" s="187" t="str">
        <f>Pricing!B4</f>
        <v>D3-WD</v>
      </c>
      <c r="E16" s="187" t="str">
        <f>Pricing!C4</f>
        <v>M15000</v>
      </c>
      <c r="F16" s="187" t="str">
        <f>Pricing!D4</f>
        <v>FRENCH DOOR WITH TOP FIXED</v>
      </c>
      <c r="G16" s="187" t="str">
        <f>Pricing!N4</f>
        <v>6MM</v>
      </c>
      <c r="H16" s="187" t="str">
        <f>Pricing!F4</f>
        <v>08A - GF - DINING</v>
      </c>
      <c r="I16" s="216" t="str">
        <f>Pricing!E4</f>
        <v>NO</v>
      </c>
      <c r="J16" s="216">
        <f>Pricing!G4</f>
        <v>2440</v>
      </c>
      <c r="K16" s="216">
        <f>Pricing!H4</f>
        <v>3354</v>
      </c>
      <c r="L16" s="216">
        <f>Pricing!I4</f>
        <v>1</v>
      </c>
      <c r="M16" s="188">
        <f t="shared" ref="M16:M24" si="0">J16*K16*L16/1000000</f>
        <v>8.1837599999999995</v>
      </c>
      <c r="N16" s="189">
        <f>'Cost Calculation'!AS8</f>
        <v>168533.61993012534</v>
      </c>
      <c r="O16" s="95"/>
    </row>
    <row r="17" spans="2:15" s="94" customFormat="1" ht="49.9" customHeight="1" thickTop="1" thickBot="1">
      <c r="B17" s="412">
        <f>Pricing!A5</f>
        <v>2</v>
      </c>
      <c r="C17" s="413"/>
      <c r="D17" s="187" t="str">
        <f>Pricing!B5</f>
        <v>SD1-WD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6MM</v>
      </c>
      <c r="H17" s="187" t="str">
        <f>Pricing!F5</f>
        <v>08B - GF - GBR</v>
      </c>
      <c r="I17" s="216" t="str">
        <f>Pricing!E5</f>
        <v>SS</v>
      </c>
      <c r="J17" s="216">
        <f>Pricing!G5</f>
        <v>1380</v>
      </c>
      <c r="K17" s="216">
        <f>Pricing!H5</f>
        <v>2440</v>
      </c>
      <c r="L17" s="216">
        <f>Pricing!I5</f>
        <v>1</v>
      </c>
      <c r="M17" s="188">
        <f t="shared" si="0"/>
        <v>3.3672</v>
      </c>
      <c r="N17" s="189">
        <f>'Cost Calculation'!AS9</f>
        <v>117578.18122160109</v>
      </c>
      <c r="O17" s="95"/>
    </row>
    <row r="18" spans="2:15" s="94" customFormat="1" ht="49.9" customHeight="1" thickTop="1" thickBot="1">
      <c r="B18" s="412">
        <f>Pricing!A6</f>
        <v>3</v>
      </c>
      <c r="C18" s="413"/>
      <c r="D18" s="187" t="str">
        <f>Pricing!B6</f>
        <v>SD2-WD</v>
      </c>
      <c r="E18" s="187" t="str">
        <f>Pricing!C6</f>
        <v>M14600</v>
      </c>
      <c r="F18" s="187" t="str">
        <f>Pricing!D6</f>
        <v>3 TRACK 2 SHUTTER SLIDING DOOR</v>
      </c>
      <c r="G18" s="187" t="str">
        <f>Pricing!N6</f>
        <v>6MM</v>
      </c>
      <c r="H18" s="187" t="str">
        <f>Pricing!F6</f>
        <v>08C - FF - MBR</v>
      </c>
      <c r="I18" s="216" t="str">
        <f>Pricing!E6</f>
        <v>SS</v>
      </c>
      <c r="J18" s="216">
        <f>Pricing!G6</f>
        <v>2744</v>
      </c>
      <c r="K18" s="216">
        <f>Pricing!H6</f>
        <v>2440</v>
      </c>
      <c r="L18" s="216">
        <f>Pricing!I6</f>
        <v>1</v>
      </c>
      <c r="M18" s="188">
        <f t="shared" si="0"/>
        <v>6.69536</v>
      </c>
      <c r="N18" s="189">
        <f>'Cost Calculation'!AS10</f>
        <v>152327.01908528537</v>
      </c>
      <c r="O18" s="95"/>
    </row>
    <row r="19" spans="2:15" s="94" customFormat="1" ht="49.9" customHeight="1" thickTop="1" thickBot="1">
      <c r="B19" s="412">
        <f>Pricing!A7</f>
        <v>4</v>
      </c>
      <c r="C19" s="413"/>
      <c r="D19" s="187" t="str">
        <f>Pricing!B7</f>
        <v>SD3-WD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6MM</v>
      </c>
      <c r="H19" s="187" t="str">
        <f>Pricing!F7</f>
        <v>08D - FF -BEDROOM 2</v>
      </c>
      <c r="I19" s="216" t="str">
        <f>Pricing!E7</f>
        <v>SS</v>
      </c>
      <c r="J19" s="216">
        <f>Pricing!G7</f>
        <v>2440</v>
      </c>
      <c r="K19" s="216">
        <f>Pricing!H7</f>
        <v>2134</v>
      </c>
      <c r="L19" s="216">
        <f>Pricing!I7</f>
        <v>1</v>
      </c>
      <c r="M19" s="188">
        <f t="shared" si="0"/>
        <v>5.2069599999999996</v>
      </c>
      <c r="N19" s="189">
        <f>'Cost Calculation'!AS11</f>
        <v>135545.20066425574</v>
      </c>
      <c r="O19" s="95"/>
    </row>
    <row r="20" spans="2:15" s="94" customFormat="1" ht="49.9" customHeight="1" thickTop="1" thickBot="1">
      <c r="B20" s="412">
        <f>Pricing!A8</f>
        <v>5</v>
      </c>
      <c r="C20" s="413"/>
      <c r="D20" s="187" t="str">
        <f>Pricing!B8</f>
        <v>GL1-WD</v>
      </c>
      <c r="E20" s="187" t="str">
        <f>Pricing!C8</f>
        <v>M14600 &amp; M15000</v>
      </c>
      <c r="F20" s="187" t="str">
        <f>Pricing!D8</f>
        <v>3 TRACK 3 SHUTTER SLIDING DOOR WITH TOP FIXED</v>
      </c>
      <c r="G20" s="187" t="str">
        <f>Pricing!N8</f>
        <v>8MM &amp; 6MM</v>
      </c>
      <c r="H20" s="187" t="str">
        <f>Pricing!F8</f>
        <v>08E - GF - LOUNGE</v>
      </c>
      <c r="I20" s="216" t="str">
        <f>Pricing!E8</f>
        <v>RETRACTABLE</v>
      </c>
      <c r="J20" s="216">
        <f>Pricing!G8</f>
        <v>5488</v>
      </c>
      <c r="K20" s="216">
        <f>Pricing!H8</f>
        <v>3354</v>
      </c>
      <c r="L20" s="216">
        <f>Pricing!I8</f>
        <v>1</v>
      </c>
      <c r="M20" s="188">
        <f t="shared" si="0"/>
        <v>18.406752000000001</v>
      </c>
      <c r="N20" s="189">
        <f>'Cost Calculation'!AS12</f>
        <v>396279.02795677993</v>
      </c>
      <c r="O20" s="95"/>
    </row>
    <row r="21" spans="2:15" s="94" customFormat="1" ht="49.9" customHeight="1" thickTop="1" thickBot="1">
      <c r="B21" s="412">
        <f>Pricing!A9</f>
        <v>6</v>
      </c>
      <c r="C21" s="413"/>
      <c r="D21" s="187" t="str">
        <f>Pricing!B9</f>
        <v>GL2-WD</v>
      </c>
      <c r="E21" s="187" t="str">
        <f>Pricing!C9</f>
        <v>M15000</v>
      </c>
      <c r="F21" s="187" t="str">
        <f>Pricing!D9</f>
        <v>2 SIDE HUNG WINDOWS WITH 7 FIXED</v>
      </c>
      <c r="G21" s="187" t="str">
        <f>Pricing!N9</f>
        <v>6MM</v>
      </c>
      <c r="H21" s="187" t="str">
        <f>Pricing!F9</f>
        <v>08F - GF - LOUNGE</v>
      </c>
      <c r="I21" s="216" t="str">
        <f>Pricing!E9</f>
        <v>NO</v>
      </c>
      <c r="J21" s="216">
        <f>Pricing!G9</f>
        <v>4040</v>
      </c>
      <c r="K21" s="216">
        <f>Pricing!H9</f>
        <v>3252</v>
      </c>
      <c r="L21" s="216">
        <f>Pricing!I9</f>
        <v>1</v>
      </c>
      <c r="M21" s="188">
        <f t="shared" si="0"/>
        <v>13.13808</v>
      </c>
      <c r="N21" s="189">
        <f>'Cost Calculation'!AS13</f>
        <v>333276.52812792122</v>
      </c>
      <c r="O21" s="95"/>
    </row>
    <row r="22" spans="2:15" s="94" customFormat="1" ht="49.9" customHeight="1" thickTop="1" thickBot="1">
      <c r="B22" s="412">
        <f>Pricing!A10</f>
        <v>7</v>
      </c>
      <c r="C22" s="413"/>
      <c r="D22" s="187" t="str">
        <f>Pricing!B10</f>
        <v>W6A</v>
      </c>
      <c r="E22" s="187" t="str">
        <f>Pricing!C10</f>
        <v>M15000</v>
      </c>
      <c r="F22" s="187" t="str">
        <f>Pricing!D10</f>
        <v>FIXED GLASS 3 NO'S</v>
      </c>
      <c r="G22" s="187" t="str">
        <f>Pricing!N10</f>
        <v>6MM</v>
      </c>
      <c r="H22" s="187" t="str">
        <f>Pricing!F10</f>
        <v>08G - GF - DINING</v>
      </c>
      <c r="I22" s="216" t="str">
        <f>Pricing!E10</f>
        <v>NO</v>
      </c>
      <c r="J22" s="216">
        <f>Pricing!G10</f>
        <v>1652</v>
      </c>
      <c r="K22" s="216">
        <f>Pricing!H10</f>
        <v>3252</v>
      </c>
      <c r="L22" s="216">
        <f>Pricing!I10</f>
        <v>1</v>
      </c>
      <c r="M22" s="188">
        <f t="shared" si="0"/>
        <v>5.3723039999999997</v>
      </c>
      <c r="N22" s="189">
        <f>'Cost Calculation'!AS14</f>
        <v>63190.873956170559</v>
      </c>
      <c r="O22" s="95"/>
    </row>
    <row r="23" spans="2:15" s="94" customFormat="1" ht="49.9" customHeight="1" thickTop="1" thickBot="1">
      <c r="B23" s="412">
        <f>Pricing!A11</f>
        <v>8</v>
      </c>
      <c r="C23" s="413"/>
      <c r="D23" s="187" t="str">
        <f>Pricing!B11</f>
        <v>W6B</v>
      </c>
      <c r="E23" s="187" t="str">
        <f>Pricing!C11</f>
        <v>M15000</v>
      </c>
      <c r="F23" s="187" t="str">
        <f>Pricing!D11</f>
        <v>FIXED GLASS 3 NO'S</v>
      </c>
      <c r="G23" s="187" t="str">
        <f>Pricing!N11</f>
        <v>6MM</v>
      </c>
      <c r="H23" s="187" t="str">
        <f>Pricing!F11</f>
        <v>08G - GF - DINING</v>
      </c>
      <c r="I23" s="216" t="str">
        <f>Pricing!E11</f>
        <v>NO</v>
      </c>
      <c r="J23" s="216">
        <f>Pricing!G11</f>
        <v>1702</v>
      </c>
      <c r="K23" s="216">
        <f>Pricing!H11</f>
        <v>3252</v>
      </c>
      <c r="L23" s="216">
        <f>Pricing!I11</f>
        <v>1</v>
      </c>
      <c r="M23" s="188">
        <f t="shared" si="0"/>
        <v>5.534904</v>
      </c>
      <c r="N23" s="189">
        <f>'Cost Calculation'!AS15</f>
        <v>64378.644577689462</v>
      </c>
      <c r="O23" s="95"/>
    </row>
    <row r="24" spans="2:15" s="94" customFormat="1" ht="49.9" customHeight="1" thickTop="1" thickBot="1">
      <c r="B24" s="412">
        <f>Pricing!A12</f>
        <v>9</v>
      </c>
      <c r="C24" s="413"/>
      <c r="D24" s="187" t="str">
        <f>Pricing!B12</f>
        <v>W9A</v>
      </c>
      <c r="E24" s="187" t="str">
        <f>Pricing!C12</f>
        <v>M14600 &amp; M15000</v>
      </c>
      <c r="F24" s="187" t="str">
        <f>Pricing!D12</f>
        <v>3 TRACK 2 SHUTTER SLIDING DOOR WITH 4 FIXED</v>
      </c>
      <c r="G24" s="187" t="str">
        <f>Pricing!N12</f>
        <v>6MM</v>
      </c>
      <c r="H24" s="187" t="str">
        <f>Pricing!F12</f>
        <v>08I - FF - STAIRCASE</v>
      </c>
      <c r="I24" s="216" t="str">
        <f>Pricing!E12</f>
        <v>SS</v>
      </c>
      <c r="J24" s="216">
        <f>Pricing!G12</f>
        <v>2592</v>
      </c>
      <c r="K24" s="216">
        <f>Pricing!H12</f>
        <v>3556</v>
      </c>
      <c r="L24" s="216">
        <f>Pricing!I12</f>
        <v>1</v>
      </c>
      <c r="M24" s="188">
        <f t="shared" si="0"/>
        <v>9.2171520000000005</v>
      </c>
      <c r="N24" s="189">
        <f>'Cost Calculation'!AS16</f>
        <v>238318.15127852411</v>
      </c>
      <c r="O24" s="95"/>
    </row>
    <row r="25" spans="2:15" s="94" customFormat="1" ht="49.9" customHeight="1" thickTop="1" thickBot="1">
      <c r="B25" s="412">
        <f>Pricing!A13</f>
        <v>10</v>
      </c>
      <c r="C25" s="413"/>
      <c r="D25" s="187" t="str">
        <f>Pricing!B13</f>
        <v>W9B</v>
      </c>
      <c r="E25" s="187" t="str">
        <f>Pricing!C13</f>
        <v>M14600 &amp; M15000</v>
      </c>
      <c r="F25" s="187" t="str">
        <f>Pricing!D13</f>
        <v>3 TRACK 2 SHUTTER SLIDING DOOR WITH 7 FIXED</v>
      </c>
      <c r="G25" s="187" t="str">
        <f>Pricing!N13</f>
        <v>6MM</v>
      </c>
      <c r="H25" s="187" t="str">
        <f>Pricing!F13</f>
        <v>08J - SF - STAIRCASE</v>
      </c>
      <c r="I25" s="216" t="str">
        <f>Pricing!E13</f>
        <v>SS</v>
      </c>
      <c r="J25" s="216">
        <f>Pricing!G13</f>
        <v>2592</v>
      </c>
      <c r="K25" s="216">
        <f>Pricing!H13</f>
        <v>4318</v>
      </c>
      <c r="L25" s="216">
        <f>Pricing!I13</f>
        <v>1</v>
      </c>
      <c r="M25" s="188">
        <f t="shared" ref="M25:M42" si="1">J25*K25*L25/1000000</f>
        <v>11.192256</v>
      </c>
      <c r="N25" s="189">
        <f>'Cost Calculation'!AS17</f>
        <v>285037.90871685749</v>
      </c>
      <c r="O25" s="95"/>
    </row>
    <row r="26" spans="2:15" s="94" customFormat="1" ht="49.9" customHeight="1" thickTop="1" thickBot="1">
      <c r="B26" s="412">
        <f>Pricing!A14</f>
        <v>11</v>
      </c>
      <c r="C26" s="413"/>
      <c r="D26" s="187" t="str">
        <f>Pricing!B14</f>
        <v>V1</v>
      </c>
      <c r="E26" s="187" t="str">
        <f>Pricing!C14</f>
        <v>M940</v>
      </c>
      <c r="F26" s="187" t="str">
        <f>Pricing!D14</f>
        <v>2 FIXED GLASS WITH EXHAUST PROVISION</v>
      </c>
      <c r="G26" s="187" t="str">
        <f>Pricing!N14</f>
        <v>6MM (F)</v>
      </c>
      <c r="H26" s="187" t="str">
        <f>Pricing!F14</f>
        <v>GF - GUEST TOILET</v>
      </c>
      <c r="I26" s="216" t="str">
        <f>Pricing!E14</f>
        <v>NO</v>
      </c>
      <c r="J26" s="216">
        <f>Pricing!G14</f>
        <v>1678</v>
      </c>
      <c r="K26" s="216">
        <f>Pricing!H14</f>
        <v>916</v>
      </c>
      <c r="L26" s="216">
        <f>Pricing!I14</f>
        <v>1</v>
      </c>
      <c r="M26" s="188">
        <f t="shared" si="1"/>
        <v>1.537048</v>
      </c>
      <c r="N26" s="189">
        <f>'Cost Calculation'!AS18</f>
        <v>26491.167739613178</v>
      </c>
      <c r="O26" s="95"/>
    </row>
    <row r="27" spans="2:15" s="94" customFormat="1" ht="49.9" customHeight="1" thickTop="1" thickBot="1">
      <c r="B27" s="412">
        <f>Pricing!A15</f>
        <v>12</v>
      </c>
      <c r="C27" s="413"/>
      <c r="D27" s="187" t="str">
        <f>Pricing!B15</f>
        <v>V2</v>
      </c>
      <c r="E27" s="187" t="str">
        <f>Pricing!C15</f>
        <v>M940</v>
      </c>
      <c r="F27" s="187" t="str">
        <f>Pricing!D15</f>
        <v>FIXED GLASS WITH EXHAUST PROVISION</v>
      </c>
      <c r="G27" s="187" t="str">
        <f>Pricing!N15</f>
        <v>6MM (F)</v>
      </c>
      <c r="H27" s="187" t="str">
        <f>Pricing!F15</f>
        <v>FF - BEDROOM TOILET</v>
      </c>
      <c r="I27" s="216" t="str">
        <f>Pricing!E15</f>
        <v>NO</v>
      </c>
      <c r="J27" s="216">
        <f>Pricing!G15</f>
        <v>458</v>
      </c>
      <c r="K27" s="216">
        <f>Pricing!H15</f>
        <v>916</v>
      </c>
      <c r="L27" s="216">
        <f>Pricing!I15</f>
        <v>1</v>
      </c>
      <c r="M27" s="188">
        <f t="shared" si="1"/>
        <v>0.41952800000000001</v>
      </c>
      <c r="N27" s="189">
        <f>'Cost Calculation'!AS19</f>
        <v>11224.070573545701</v>
      </c>
      <c r="O27" s="95"/>
    </row>
    <row r="28" spans="2:15" s="94" customFormat="1" ht="49.9" customHeight="1" thickTop="1" thickBot="1">
      <c r="B28" s="412">
        <f>Pricing!A16</f>
        <v>13</v>
      </c>
      <c r="C28" s="413"/>
      <c r="D28" s="187" t="str">
        <f>Pricing!B16</f>
        <v>V3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6MM (F)</v>
      </c>
      <c r="H28" s="187" t="str">
        <f>Pricing!F16</f>
        <v>FF - MASTER WARDROBE</v>
      </c>
      <c r="I28" s="216" t="str">
        <f>Pricing!E16</f>
        <v>SS</v>
      </c>
      <c r="J28" s="216">
        <f>Pricing!G16</f>
        <v>2744</v>
      </c>
      <c r="K28" s="216">
        <f>Pricing!H16</f>
        <v>610</v>
      </c>
      <c r="L28" s="216">
        <f>Pricing!I16</f>
        <v>1</v>
      </c>
      <c r="M28" s="188">
        <f t="shared" si="1"/>
        <v>1.67384</v>
      </c>
      <c r="N28" s="189">
        <f>'Cost Calculation'!AS20</f>
        <v>74283.079826481087</v>
      </c>
      <c r="O28" s="95"/>
    </row>
    <row r="29" spans="2:15" s="94" customFormat="1" ht="49.9" customHeight="1" thickTop="1" thickBot="1">
      <c r="B29" s="412">
        <f>Pricing!A17</f>
        <v>14</v>
      </c>
      <c r="C29" s="413"/>
      <c r="D29" s="187" t="str">
        <f>Pricing!B17</f>
        <v>V4</v>
      </c>
      <c r="E29" s="187" t="str">
        <f>Pricing!C17</f>
        <v>M940</v>
      </c>
      <c r="F29" s="187" t="str">
        <f>Pricing!D17</f>
        <v>2 FIXED GLASS WITH EXHAUST PROVISION</v>
      </c>
      <c r="G29" s="187" t="str">
        <f>Pricing!N17</f>
        <v>6MM (F)</v>
      </c>
      <c r="H29" s="187" t="str">
        <f>Pricing!F17</f>
        <v>GF - POWDER ROOM</v>
      </c>
      <c r="I29" s="216" t="str">
        <f>Pricing!E17</f>
        <v>NO</v>
      </c>
      <c r="J29" s="216">
        <f>Pricing!G17</f>
        <v>1016</v>
      </c>
      <c r="K29" s="216">
        <f>Pricing!H17</f>
        <v>1220</v>
      </c>
      <c r="L29" s="216">
        <f>Pricing!I17</f>
        <v>1</v>
      </c>
      <c r="M29" s="188">
        <f t="shared" si="1"/>
        <v>1.23952</v>
      </c>
      <c r="N29" s="189">
        <f>'Cost Calculation'!AS21</f>
        <v>24804.908256407649</v>
      </c>
      <c r="O29" s="95"/>
    </row>
    <row r="30" spans="2:15" s="94" customFormat="1" ht="49.9" hidden="1" customHeight="1" thickTop="1" thickBot="1">
      <c r="B30" s="412">
        <f>Pricing!A18</f>
        <v>15</v>
      </c>
      <c r="C30" s="413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2">
        <f>Pricing!A19</f>
        <v>16</v>
      </c>
      <c r="C31" s="413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2">
        <f>Pricing!A20</f>
        <v>17</v>
      </c>
      <c r="C32" s="413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2">
        <f>Pricing!A21</f>
        <v>18</v>
      </c>
      <c r="C33" s="413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2">
        <f>Pricing!A22</f>
        <v>19</v>
      </c>
      <c r="C34" s="413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2">
        <f>Pricing!A23</f>
        <v>20</v>
      </c>
      <c r="C35" s="413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2">
        <f>Pricing!A24</f>
        <v>21</v>
      </c>
      <c r="C36" s="413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2">
        <f>Pricing!A25</f>
        <v>22</v>
      </c>
      <c r="C37" s="413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2">
        <f>Pricing!A26</f>
        <v>23</v>
      </c>
      <c r="C38" s="413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2">
        <f>Pricing!A27</f>
        <v>24</v>
      </c>
      <c r="C39" s="413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2">
        <f>Pricing!A28</f>
        <v>25</v>
      </c>
      <c r="C40" s="413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2">
        <f>Pricing!A29</f>
        <v>26</v>
      </c>
      <c r="C41" s="413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2">
        <f>Pricing!A30</f>
        <v>27</v>
      </c>
      <c r="C42" s="413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2">
        <f>Pricing!A31</f>
        <v>28</v>
      </c>
      <c r="C43" s="413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2">
        <f>Pricing!A32</f>
        <v>29</v>
      </c>
      <c r="C44" s="413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2">
        <f>Pricing!A33</f>
        <v>30</v>
      </c>
      <c r="C45" s="413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2">
        <f>Pricing!A34</f>
        <v>31</v>
      </c>
      <c r="C46" s="413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2">
        <f>Pricing!A35</f>
        <v>32</v>
      </c>
      <c r="C47" s="413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2">
        <f>Pricing!A36</f>
        <v>33</v>
      </c>
      <c r="C48" s="413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2">
        <f>Pricing!A37</f>
        <v>34</v>
      </c>
      <c r="C49" s="413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2">
        <f>Pricing!A38</f>
        <v>35</v>
      </c>
      <c r="C50" s="413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2">
        <f>Pricing!A39</f>
        <v>36</v>
      </c>
      <c r="C51" s="413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2">
        <f>Pricing!A40</f>
        <v>37</v>
      </c>
      <c r="C52" s="413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2">
        <f>Pricing!A41</f>
        <v>38</v>
      </c>
      <c r="C53" s="413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2">
        <f>Pricing!A42</f>
        <v>39</v>
      </c>
      <c r="C54" s="413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2">
        <f>Pricing!A43</f>
        <v>40</v>
      </c>
      <c r="C55" s="413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2">
        <f>Pricing!A44</f>
        <v>41</v>
      </c>
      <c r="C56" s="413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2">
        <f>Pricing!A45</f>
        <v>42</v>
      </c>
      <c r="C57" s="413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2">
        <f>Pricing!A46</f>
        <v>43</v>
      </c>
      <c r="C58" s="413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2">
        <f>Pricing!A47</f>
        <v>44</v>
      </c>
      <c r="C59" s="413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2">
        <f>Pricing!A48</f>
        <v>45</v>
      </c>
      <c r="C60" s="413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2">
        <f>Pricing!A49</f>
        <v>46</v>
      </c>
      <c r="C61" s="413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2">
        <f>Pricing!A50</f>
        <v>47</v>
      </c>
      <c r="C62" s="413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2">
        <f>Pricing!A51</f>
        <v>48</v>
      </c>
      <c r="C63" s="413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2">
        <f>Pricing!A52</f>
        <v>49</v>
      </c>
      <c r="C64" s="413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2">
        <f>Pricing!A53</f>
        <v>50</v>
      </c>
      <c r="C65" s="413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2">
        <f>Pricing!A54</f>
        <v>51</v>
      </c>
      <c r="C66" s="413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2">
        <f>Pricing!A55</f>
        <v>52</v>
      </c>
      <c r="C67" s="413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2">
        <f>Pricing!A56</f>
        <v>53</v>
      </c>
      <c r="C68" s="413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2">
        <f>Pricing!A57</f>
        <v>54</v>
      </c>
      <c r="C69" s="413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2">
        <f>Pricing!A58</f>
        <v>55</v>
      </c>
      <c r="C70" s="413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2">
        <f>Pricing!A59</f>
        <v>56</v>
      </c>
      <c r="C71" s="413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2">
        <f>Pricing!A60</f>
        <v>57</v>
      </c>
      <c r="C72" s="413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2">
        <f>Pricing!A61</f>
        <v>58</v>
      </c>
      <c r="C73" s="413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2">
        <f>Pricing!A62</f>
        <v>59</v>
      </c>
      <c r="C74" s="413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2">
        <f>Pricing!A63</f>
        <v>60</v>
      </c>
      <c r="C75" s="413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2">
        <f>Pricing!A64</f>
        <v>61</v>
      </c>
      <c r="C76" s="413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2">
        <f>Pricing!A65</f>
        <v>62</v>
      </c>
      <c r="C77" s="413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2">
        <f>Pricing!A66</f>
        <v>63</v>
      </c>
      <c r="C78" s="413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2">
        <f>Pricing!A67</f>
        <v>64</v>
      </c>
      <c r="C79" s="413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2">
        <f>Pricing!A68</f>
        <v>65</v>
      </c>
      <c r="C80" s="413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2">
        <f>Pricing!A69</f>
        <v>66</v>
      </c>
      <c r="C81" s="413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2">
        <f>Pricing!A70</f>
        <v>67</v>
      </c>
      <c r="C82" s="413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2">
        <f>Pricing!A71</f>
        <v>68</v>
      </c>
      <c r="C83" s="413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2">
        <f>Pricing!A72</f>
        <v>69</v>
      </c>
      <c r="C84" s="413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2">
        <f>Pricing!A73</f>
        <v>70</v>
      </c>
      <c r="C85" s="413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2">
        <f>Pricing!A74</f>
        <v>71</v>
      </c>
      <c r="C86" s="413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2">
        <f>Pricing!A75</f>
        <v>72</v>
      </c>
      <c r="C87" s="413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2">
        <f>Pricing!A76</f>
        <v>73</v>
      </c>
      <c r="C88" s="413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2">
        <f>Pricing!A77</f>
        <v>74</v>
      </c>
      <c r="C89" s="413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2">
        <f>Pricing!A78</f>
        <v>75</v>
      </c>
      <c r="C90" s="413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2">
        <f>Pricing!A79</f>
        <v>76</v>
      </c>
      <c r="C91" s="413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2">
        <f>Pricing!A80</f>
        <v>77</v>
      </c>
      <c r="C92" s="413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2">
        <f>Pricing!A81</f>
        <v>78</v>
      </c>
      <c r="C93" s="413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2">
        <f>Pricing!A82</f>
        <v>79</v>
      </c>
      <c r="C94" s="413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2">
        <f>Pricing!A83</f>
        <v>80</v>
      </c>
      <c r="C95" s="413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2">
        <f>Pricing!A84</f>
        <v>81</v>
      </c>
      <c r="C96" s="413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2">
        <f>Pricing!A85</f>
        <v>82</v>
      </c>
      <c r="C97" s="413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2">
        <f>Pricing!A86</f>
        <v>83</v>
      </c>
      <c r="C98" s="413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2">
        <f>Pricing!A87</f>
        <v>84</v>
      </c>
      <c r="C99" s="413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2">
        <f>Pricing!A88</f>
        <v>85</v>
      </c>
      <c r="C100" s="413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2">
        <f>Pricing!A89</f>
        <v>86</v>
      </c>
      <c r="C101" s="413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2">
        <f>Pricing!A90</f>
        <v>87</v>
      </c>
      <c r="C102" s="413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2">
        <f>Pricing!A91</f>
        <v>88</v>
      </c>
      <c r="C103" s="413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2">
        <f>Pricing!A92</f>
        <v>89</v>
      </c>
      <c r="C104" s="413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2">
        <f>Pricing!A93</f>
        <v>90</v>
      </c>
      <c r="C105" s="413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2">
        <f>Pricing!A94</f>
        <v>91</v>
      </c>
      <c r="C106" s="413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2">
        <f>Pricing!A95</f>
        <v>92</v>
      </c>
      <c r="C107" s="413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2">
        <f>Pricing!A96</f>
        <v>93</v>
      </c>
      <c r="C108" s="413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2">
        <f>Pricing!A97</f>
        <v>94</v>
      </c>
      <c r="C109" s="413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2">
        <f>Pricing!A98</f>
        <v>95</v>
      </c>
      <c r="C110" s="413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2">
        <f>Pricing!A99</f>
        <v>96</v>
      </c>
      <c r="C111" s="413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2">
        <f>Pricing!A100</f>
        <v>97</v>
      </c>
      <c r="C112" s="413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2">
        <f>Pricing!A101</f>
        <v>98</v>
      </c>
      <c r="C113" s="413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2">
        <f>Pricing!A102</f>
        <v>99</v>
      </c>
      <c r="C114" s="413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2">
        <f>Pricing!A103</f>
        <v>100</v>
      </c>
      <c r="C115" s="413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14</v>
      </c>
      <c r="M116" s="191">
        <f>SUM(M16:M115)</f>
        <v>91.184663999999998</v>
      </c>
      <c r="N116" s="186"/>
      <c r="O116" s="95"/>
    </row>
    <row r="117" spans="2:15" s="94" customFormat="1" ht="30" customHeight="1" thickTop="1" thickBot="1">
      <c r="B117" s="511" t="s">
        <v>181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2091268</v>
      </c>
      <c r="O117" s="95">
        <f>N117/SUM(M116)</f>
        <v>22934.426780362977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376428</v>
      </c>
      <c r="O118" s="95">
        <f>N118/SUM(M116)</f>
        <v>4128.1941884437938</v>
      </c>
    </row>
    <row r="119" spans="2:15" s="94" customFormat="1" ht="30" customHeight="1" thickTop="1" thickBot="1">
      <c r="B119" s="511" t="s">
        <v>182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2467696</v>
      </c>
      <c r="O119" s="95">
        <f>N119/SUM(M116)</f>
        <v>27062.620968806772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2130.6602360054794</v>
      </c>
    </row>
    <row r="121" spans="2:15" s="139" customFormat="1" ht="30" customHeight="1" thickTop="1">
      <c r="B121" s="479" t="s">
        <v>237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4">
        <v>1</v>
      </c>
      <c r="C122" s="415"/>
      <c r="D122" s="439" t="s">
        <v>477</v>
      </c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207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4">
        <v>1</v>
      </c>
      <c r="C125" s="415"/>
      <c r="D125" s="410" t="s">
        <v>474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4">
        <v>2</v>
      </c>
      <c r="C126" s="415"/>
      <c r="D126" s="410" t="s">
        <v>475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4">
        <v>3</v>
      </c>
      <c r="C127" s="415"/>
      <c r="D127" s="410" t="s">
        <v>476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4">
        <v>1</v>
      </c>
      <c r="C129" s="415"/>
      <c r="D129" s="410" t="s">
        <v>364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4">
        <v>2</v>
      </c>
      <c r="C130" s="415"/>
      <c r="D130" s="410" t="s">
        <v>389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4">
        <v>3</v>
      </c>
      <c r="C131" s="415"/>
      <c r="D131" s="439" t="s">
        <v>405</v>
      </c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</row>
    <row r="132" spans="2:14" s="93" customFormat="1" ht="24.95" customHeight="1">
      <c r="B132" s="414">
        <v>4</v>
      </c>
      <c r="C132" s="415"/>
      <c r="D132" s="439" t="s">
        <v>406</v>
      </c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</row>
    <row r="133" spans="2:14" s="139" customFormat="1" ht="30" customHeight="1">
      <c r="B133" s="416" t="s">
        <v>141</v>
      </c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8"/>
    </row>
    <row r="134" spans="2:14" s="93" customFormat="1" ht="24.95" customHeight="1">
      <c r="B134" s="414">
        <v>1</v>
      </c>
      <c r="C134" s="415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4">
        <v>2</v>
      </c>
      <c r="C135" s="415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4">
        <v>3</v>
      </c>
      <c r="C136" s="415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16" t="s">
        <v>145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</row>
    <row r="138" spans="2:14" s="139" customFormat="1" ht="30" customHeight="1">
      <c r="B138" s="436" t="s">
        <v>146</v>
      </c>
      <c r="C138" s="437"/>
      <c r="D138" s="437"/>
      <c r="E138" s="437"/>
      <c r="F138" s="437"/>
      <c r="G138" s="437"/>
      <c r="H138" s="437"/>
      <c r="I138" s="437"/>
      <c r="J138" s="437"/>
      <c r="K138" s="437"/>
      <c r="L138" s="437"/>
      <c r="M138" s="437"/>
      <c r="N138" s="438"/>
    </row>
    <row r="139" spans="2:14" s="93" customFormat="1" ht="24.95" customHeight="1">
      <c r="B139" s="414">
        <v>1</v>
      </c>
      <c r="C139" s="415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4">
        <v>2</v>
      </c>
      <c r="C140" s="415"/>
      <c r="D140" s="410" t="s">
        <v>402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4">
        <v>3</v>
      </c>
      <c r="C141" s="415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4">
        <v>4</v>
      </c>
      <c r="C142" s="415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4">
        <v>5</v>
      </c>
      <c r="C143" s="415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4">
        <v>6</v>
      </c>
      <c r="C144" s="415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16" t="s">
        <v>152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4">
        <v>1</v>
      </c>
      <c r="C146" s="415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4">
        <v>2</v>
      </c>
      <c r="C147" s="415"/>
      <c r="D147" s="422" t="s">
        <v>154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93" customFormat="1" ht="24.95" customHeight="1">
      <c r="B148" s="414">
        <v>3</v>
      </c>
      <c r="C148" s="415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4">
        <v>4</v>
      </c>
      <c r="C149" s="415"/>
      <c r="D149" s="410" t="s">
        <v>156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16" t="s">
        <v>157</v>
      </c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8"/>
    </row>
    <row r="151" spans="2:14" s="93" customFormat="1" ht="24.95" customHeight="1">
      <c r="B151" s="414">
        <v>1</v>
      </c>
      <c r="C151" s="415"/>
      <c r="D151" s="410" t="s">
        <v>158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4">
        <v>2</v>
      </c>
      <c r="C152" s="415"/>
      <c r="D152" s="422" t="s">
        <v>159</v>
      </c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</row>
    <row r="153" spans="2:14" s="140" customFormat="1" ht="30" customHeight="1">
      <c r="B153" s="416" t="s">
        <v>160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4">
        <v>1</v>
      </c>
      <c r="C154" s="415"/>
      <c r="D154" s="441" t="s">
        <v>161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24.95" customHeight="1">
      <c r="B155" s="414">
        <v>2</v>
      </c>
      <c r="C155" s="415"/>
      <c r="D155" s="441" t="s">
        <v>162</v>
      </c>
      <c r="E155" s="441"/>
      <c r="F155" s="441"/>
      <c r="G155" s="441"/>
      <c r="H155" s="441"/>
      <c r="I155" s="441"/>
      <c r="J155" s="441"/>
      <c r="K155" s="441"/>
      <c r="L155" s="441"/>
      <c r="M155" s="441"/>
      <c r="N155" s="442"/>
    </row>
    <row r="156" spans="2:14" s="93" customFormat="1" ht="49.9" customHeight="1">
      <c r="B156" s="414">
        <v>3</v>
      </c>
      <c r="C156" s="415"/>
      <c r="D156" s="446" t="s">
        <v>163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</row>
    <row r="157" spans="2:14" s="93" customFormat="1" ht="24.95" customHeight="1">
      <c r="B157" s="414">
        <v>4</v>
      </c>
      <c r="C157" s="415"/>
      <c r="D157" s="441" t="s">
        <v>164</v>
      </c>
      <c r="E157" s="441"/>
      <c r="F157" s="441"/>
      <c r="G157" s="441"/>
      <c r="H157" s="441"/>
      <c r="I157" s="441"/>
      <c r="J157" s="441"/>
      <c r="K157" s="441"/>
      <c r="L157" s="441"/>
      <c r="M157" s="441"/>
      <c r="N157" s="442"/>
    </row>
    <row r="158" spans="2:14" s="140" customFormat="1" ht="30" customHeight="1">
      <c r="B158" s="416" t="s">
        <v>165</v>
      </c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8"/>
    </row>
    <row r="159" spans="2:14" s="93" customFormat="1" ht="24.95" customHeight="1">
      <c r="B159" s="414">
        <v>1</v>
      </c>
      <c r="C159" s="415"/>
      <c r="D159" s="441" t="s">
        <v>166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4">
        <v>2</v>
      </c>
      <c r="C160" s="415"/>
      <c r="D160" s="441" t="s">
        <v>167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4">
        <v>3</v>
      </c>
      <c r="C161" s="415"/>
      <c r="D161" s="441" t="s">
        <v>168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14">
        <v>4</v>
      </c>
      <c r="C162" s="415"/>
      <c r="D162" s="441" t="s">
        <v>401</v>
      </c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3" t="s">
        <v>240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24.95" customHeight="1">
      <c r="B164" s="443" t="s">
        <v>241</v>
      </c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5"/>
    </row>
    <row r="165" spans="2:14" s="93" customFormat="1" ht="41.25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9.950000000000003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41.25" customHeigh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9.950000000000003" customHeight="1" thickBot="1">
      <c r="B168" s="467"/>
      <c r="C168" s="468"/>
      <c r="D168" s="468"/>
      <c r="E168" s="468"/>
      <c r="F168" s="468"/>
      <c r="G168" s="468"/>
      <c r="H168" s="468"/>
      <c r="I168" s="468"/>
      <c r="J168" s="468"/>
      <c r="K168" s="468"/>
      <c r="L168" s="468"/>
      <c r="M168" s="468"/>
      <c r="N168" s="469"/>
    </row>
    <row r="169" spans="2:14" s="93" customFormat="1" ht="30" customHeight="1" thickTop="1">
      <c r="B169" s="451" t="s">
        <v>110</v>
      </c>
      <c r="C169" s="452"/>
      <c r="D169" s="452"/>
      <c r="E169" s="455"/>
      <c r="F169" s="456"/>
      <c r="G169" s="456"/>
      <c r="H169" s="456"/>
      <c r="I169" s="456"/>
      <c r="J169" s="456"/>
      <c r="K169" s="456"/>
      <c r="L169" s="457"/>
      <c r="M169" s="452" t="s">
        <v>205</v>
      </c>
      <c r="N169" s="453"/>
    </row>
    <row r="170" spans="2:14" s="93" customFormat="1" ht="33" customHeight="1" thickBot="1">
      <c r="B170" s="454" t="s">
        <v>107</v>
      </c>
      <c r="C170" s="449"/>
      <c r="D170" s="449"/>
      <c r="E170" s="458"/>
      <c r="F170" s="459"/>
      <c r="G170" s="459"/>
      <c r="H170" s="459"/>
      <c r="I170" s="459"/>
      <c r="J170" s="459"/>
      <c r="K170" s="459"/>
      <c r="L170" s="460"/>
      <c r="M170" s="449" t="s">
        <v>108</v>
      </c>
      <c r="N170" s="450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43684</v>
      </c>
      <c r="F2" s="518" t="s">
        <v>245</v>
      </c>
      <c r="G2" s="518"/>
    </row>
    <row r="3" spans="3:13">
      <c r="C3" s="297" t="s">
        <v>126</v>
      </c>
      <c r="D3" s="519" t="str">
        <f>QUOTATION!F7</f>
        <v>Ramya Satish</v>
      </c>
      <c r="E3" s="519"/>
      <c r="F3" s="522" t="s">
        <v>246</v>
      </c>
      <c r="G3" s="523">
        <f>QUOTATION!N8</f>
        <v>43684</v>
      </c>
    </row>
    <row r="4" spans="3:13">
      <c r="C4" s="297" t="s">
        <v>243</v>
      </c>
      <c r="D4" s="520" t="str">
        <f>QUOTATION!M6</f>
        <v>ABPL-DE-19.20-2149</v>
      </c>
      <c r="E4" s="520"/>
      <c r="F4" s="522"/>
      <c r="G4" s="524"/>
    </row>
    <row r="5" spans="3:13">
      <c r="C5" s="297" t="s">
        <v>127</v>
      </c>
      <c r="D5" s="519" t="str">
        <f>QUOTATION!F8</f>
        <v>Bangalore</v>
      </c>
      <c r="E5" s="519"/>
      <c r="F5" s="522"/>
      <c r="G5" s="524"/>
    </row>
    <row r="6" spans="3:13">
      <c r="C6" s="297" t="s">
        <v>169</v>
      </c>
      <c r="D6" s="519" t="str">
        <f>QUOTATION!F9</f>
        <v>Mr. Prasanth : 9591855724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43684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7059.0999999999995</v>
      </c>
      <c r="F14" s="205"/>
      <c r="G14" s="206">
        <f>E14</f>
        <v>7059.0999999999995</v>
      </c>
    </row>
    <row r="15" spans="3:13">
      <c r="C15" s="194" t="s">
        <v>235</v>
      </c>
      <c r="D15" s="296">
        <f>'Changable Values'!D4</f>
        <v>83</v>
      </c>
      <c r="E15" s="199">
        <f>E14*D15</f>
        <v>585905.29999999993</v>
      </c>
      <c r="F15" s="205"/>
      <c r="G15" s="207">
        <f>E15</f>
        <v>585905.29999999993</v>
      </c>
    </row>
    <row r="16" spans="3:13">
      <c r="C16" s="195" t="s">
        <v>97</v>
      </c>
      <c r="D16" s="200">
        <f>'Changable Values'!D5</f>
        <v>0.1</v>
      </c>
      <c r="E16" s="199">
        <f>E15*D16</f>
        <v>58590.53</v>
      </c>
      <c r="F16" s="208">
        <f>'Changable Values'!D5</f>
        <v>0.1</v>
      </c>
      <c r="G16" s="207">
        <f>G15*F16</f>
        <v>58590.53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70894.541299999997</v>
      </c>
      <c r="F17" s="208">
        <f>'Changable Values'!D6</f>
        <v>0.11</v>
      </c>
      <c r="G17" s="207">
        <f>SUM(G15:G16)*F17</f>
        <v>70894.541299999997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3576.9518564999998</v>
      </c>
      <c r="F18" s="208">
        <f>'Changable Values'!D7</f>
        <v>5.0000000000000001E-3</v>
      </c>
      <c r="G18" s="207">
        <f>SUM(G15:G17)*F18</f>
        <v>3576.9518564999998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7189.6732315650006</v>
      </c>
      <c r="F19" s="208">
        <f>'Changable Values'!D8</f>
        <v>0.01</v>
      </c>
      <c r="G19" s="207">
        <f>SUM(G15:G18)*F19</f>
        <v>7189.6732315650006</v>
      </c>
    </row>
    <row r="20" spans="3:7">
      <c r="C20" s="195" t="s">
        <v>99</v>
      </c>
      <c r="D20" s="201"/>
      <c r="E20" s="199">
        <f>SUM(E15:E19)</f>
        <v>726156.99638806505</v>
      </c>
      <c r="F20" s="208"/>
      <c r="G20" s="207">
        <f>SUM(G15:G19)</f>
        <v>726156.99638806505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10892.354945820975</v>
      </c>
      <c r="F21" s="208">
        <f>'Changable Values'!D9</f>
        <v>1.4999999999999999E-2</v>
      </c>
      <c r="G21" s="207">
        <f>G20*F21</f>
        <v>10892.354945820975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102131.99990400001</v>
      </c>
      <c r="F23" s="209"/>
      <c r="G23" s="207">
        <f t="shared" si="0"/>
        <v>102131.99990400001</v>
      </c>
    </row>
    <row r="24" spans="3:7">
      <c r="C24" s="195" t="s">
        <v>230</v>
      </c>
      <c r="D24" s="198"/>
      <c r="E24" s="199">
        <f>'Cost Calculation'!AH111</f>
        <v>24332.382295081963</v>
      </c>
      <c r="F24" s="209"/>
      <c r="G24" s="207">
        <f t="shared" si="0"/>
        <v>24332.382295081963</v>
      </c>
    </row>
    <row r="25" spans="3:7">
      <c r="C25" s="196" t="s">
        <v>238</v>
      </c>
      <c r="D25" s="198"/>
      <c r="E25" s="199">
        <f>'Cost Calculation'!AJ109</f>
        <v>20103.259737599998</v>
      </c>
      <c r="F25" s="209"/>
      <c r="G25" s="207">
        <f t="shared" si="0"/>
        <v>20103.259737599998</v>
      </c>
    </row>
    <row r="26" spans="3:7">
      <c r="C26" s="196" t="s">
        <v>239</v>
      </c>
      <c r="D26" s="198"/>
      <c r="E26" s="199">
        <f>'Cost Calculation'!AK109</f>
        <v>79252.111411199992</v>
      </c>
      <c r="F26" s="209"/>
      <c r="G26" s="207">
        <f t="shared" si="0"/>
        <v>79252.111411199992</v>
      </c>
    </row>
    <row r="27" spans="3:7">
      <c r="C27" s="195" t="s">
        <v>86</v>
      </c>
      <c r="D27" s="198"/>
      <c r="E27" s="199">
        <f>'Cost Calculation'!AL109</f>
        <v>98151.172329599998</v>
      </c>
      <c r="F27" s="209"/>
      <c r="G27" s="207">
        <f t="shared" si="0"/>
        <v>98151.172329599998</v>
      </c>
    </row>
    <row r="28" spans="3:7">
      <c r="C28" s="195" t="s">
        <v>88</v>
      </c>
      <c r="D28" s="198"/>
      <c r="E28" s="199">
        <f>'Cost Calculation'!AN109</f>
        <v>78520.93786368001</v>
      </c>
      <c r="F28" s="209"/>
      <c r="G28" s="207">
        <f t="shared" si="0"/>
        <v>78520.93786368001</v>
      </c>
    </row>
    <row r="29" spans="3:7">
      <c r="C29" s="293" t="s">
        <v>379</v>
      </c>
      <c r="D29" s="294"/>
      <c r="E29" s="295">
        <f>SUM(E20:E28)</f>
        <v>1139541.214875048</v>
      </c>
      <c r="F29" s="209"/>
      <c r="G29" s="207">
        <f>SUM(G20:G21,G24)</f>
        <v>761381.73362896801</v>
      </c>
    </row>
    <row r="30" spans="3:7">
      <c r="C30" s="293" t="s">
        <v>380</v>
      </c>
      <c r="D30" s="294"/>
      <c r="E30" s="295">
        <f>E29/E33</f>
        <v>1161.0062191090003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951727.16703620995</v>
      </c>
      <c r="F31" s="214">
        <f>'Changable Values'!D23</f>
        <v>1.25</v>
      </c>
      <c r="G31" s="207">
        <f>G29*F31</f>
        <v>951727.16703620995</v>
      </c>
    </row>
    <row r="32" spans="3:7">
      <c r="C32" s="290" t="s">
        <v>5</v>
      </c>
      <c r="D32" s="291"/>
      <c r="E32" s="292">
        <f>E31+E29</f>
        <v>2091268.381911258</v>
      </c>
      <c r="F32" s="205"/>
      <c r="G32" s="207">
        <f>SUM(G25:G31,G22:G23)</f>
        <v>2091268.381911258</v>
      </c>
    </row>
    <row r="33" spans="3:7">
      <c r="C33" s="300" t="s">
        <v>231</v>
      </c>
      <c r="D33" s="301"/>
      <c r="E33" s="308">
        <f>'Cost Calculation'!K109</f>
        <v>981.51172329599979</v>
      </c>
      <c r="F33" s="210"/>
      <c r="G33" s="211">
        <f>E33</f>
        <v>981.51172329599979</v>
      </c>
    </row>
    <row r="34" spans="3:7">
      <c r="C34" s="302" t="s">
        <v>9</v>
      </c>
      <c r="D34" s="303"/>
      <c r="E34" s="304">
        <f>QUOTATION!L116</f>
        <v>14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2130.6606251106214</v>
      </c>
      <c r="F35" s="212"/>
      <c r="G35" s="213">
        <f>G32/(G33)</f>
        <v>2130.6606251106214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2019-08-07T09:16:32Z</cp:lastPrinted>
  <dcterms:created xsi:type="dcterms:W3CDTF">2010-12-18T06:34:46Z</dcterms:created>
  <dcterms:modified xsi:type="dcterms:W3CDTF">2019-08-13T08:52:34Z</dcterms:modified>
</cp:coreProperties>
</file>