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8" i="158" l="1"/>
  <c r="Q16" i="158"/>
  <c r="Q13" i="158"/>
  <c r="Q12" i="158"/>
  <c r="Q7" i="158"/>
  <c r="Q6" i="158"/>
  <c r="Q5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AH26" i="159" s="1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4" i="160" l="1"/>
  <c r="AH22" i="159"/>
  <c r="AH30" i="159"/>
  <c r="AH38" i="159"/>
  <c r="AH46" i="159"/>
  <c r="AH54" i="159"/>
  <c r="AH9" i="159"/>
  <c r="AH31" i="159"/>
  <c r="AH37" i="159"/>
  <c r="AH56" i="159"/>
  <c r="AH24" i="159"/>
  <c r="AH29" i="159"/>
  <c r="AH32" i="159"/>
  <c r="AH40" i="159"/>
  <c r="AH45" i="159"/>
  <c r="AH50" i="159"/>
  <c r="AH53" i="159"/>
  <c r="M45" i="160"/>
  <c r="M36" i="160"/>
  <c r="AH27" i="159"/>
  <c r="AH35" i="159"/>
  <c r="AH57" i="159"/>
  <c r="M40" i="160"/>
  <c r="AH47" i="159"/>
  <c r="AH48" i="159"/>
  <c r="AH51" i="159"/>
  <c r="AH43" i="159"/>
  <c r="AH25" i="159"/>
  <c r="AH28" i="159"/>
  <c r="AH33" i="159"/>
  <c r="AH36" i="159"/>
  <c r="AH41" i="159"/>
  <c r="AH44" i="159"/>
  <c r="M34" i="160"/>
  <c r="M31" i="160"/>
  <c r="M30" i="160"/>
  <c r="M51" i="160"/>
  <c r="AH52" i="159"/>
  <c r="AH55" i="159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S81" i="159"/>
  <c r="N89" i="160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T38" i="159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<sst xmlns="http://schemas.openxmlformats.org/spreadsheetml/2006/main" count="2005" uniqueCount="478">
  <si>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</si>
  <si>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</si>
  <si>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</si>
  <si>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</si>
  <si>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</si>
  <si>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</si>
  <si>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</si>
  <si>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</si>
  <si>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</si>
  <si>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</si>
  <si>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</si>
  <si>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</si>
  <si>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</si>
  <si>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</si>
  <si>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</si>
  <si>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</si>
  <si>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</si>
  <si>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</si>
  <si>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</si>
  <si>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</si>
  <si>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</si>
  <si>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</si>
  <si>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</si>
  <si>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</si>
  <si>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</si>
  <si>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</si>
  <si>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</si>
  <si>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</si>
  <si>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</si>
  <si>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</si>
  <si>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</si>
  <si>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</si>
  <si>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</si>
  <si>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</si>
  <si>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</si>
  <si>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</si>
  <si>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</si>
  <si>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</si>
  <si>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</si>
  <si>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</si>
  <si>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</si>
  <si>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</si>
  <si>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</si>
  <si>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</si>
  <si>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</si>
  <si>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</si>
  <si>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</si>
  <si>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</si>
  <si>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</si>
  <si>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</si>
  <si>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</si>
  <si>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</si>
  <si>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</si>
  <si>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</si>
  <si>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</si>
  <si>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</si>
  <si>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</si>
  <si>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</si>
  <si>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</si>
  <si>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</si>
  <si>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</si>
  <si>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</si>
  <si>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</si>
  <si>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</si>
  <si>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</si>
  <si>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</si>
  <si>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</si>
  <si>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</si>
  <si>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</si>
  <si>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</si>
  <si>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</si>
  <si>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</si>
  <si>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</si>
  <si>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</si>
  <si>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</si>
  <si>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</si>
  <si>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</si>
  <si>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</si>
  <si>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</si>
  <si>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</si>
  <si>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</si>
  <si>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</si>
  <si>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</si>
  <si>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</si>
  <si>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</si>
  <si>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</si>
  <si>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</si>
  <si>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</si>
  <si>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</si>
  <si>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</si>
  <si>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</si>
  <si>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</si>
  <si>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</si>
  <si>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</si>
  <si>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</si>
  <si>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</si>
  <si>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</si>
  <si>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</si>
  <si>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</si>
  <si>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</si>
  <si>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</si>
  <si>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</si>
  <si>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</si>
  <si>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</si>
  <si>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</si>
  <si>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</si>
  <si>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</si>
  <si>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</si>
  <si>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</si>
  <si>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</si>
  <si>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</si>
  <si>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</si>
  <si>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</si>
  <si>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</si>
  <si>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</si>
  <si>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</si>
  <si>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</si>
  <si>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</si>
  <si>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</si>
  <si>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</si>
  <si>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</si>
  <si>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</si>
  <si>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</si>
  <si>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</si>
  <si>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</si>
  <si>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</si>
  <si>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</si>
  <si>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</si>
  <si>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</si>
  <si>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</si>
  <si>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</si>
  <si>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</si>
  <si>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</si>
  <si>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</si>
  <si>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</si>
  <si>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</si>
  <si>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</si>
  <si>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</si>
  <si>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</si>
  <si>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</si>
  <si>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</si>
  <si>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</si>
  <si>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</si>
  <si>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</si>
  <si>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</si>
  <si>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</si>
  <si>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</si>
  <si>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</si>
  <si>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</si>
  <si>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</si>
  <si>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</si>
  <si>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</si>
  <si>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</si>
  <si>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</si>
  <si>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</si>
  <si>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</si>
  <si>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</si>
  <si>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</si>
  <si>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</si>
  <si>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</si>
  <si>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</si>
  <si>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</si>
  <si>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</si>
  <si>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</si>
  <si>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</si>
  <si>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</si>
  <si>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</si>
  <si>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</si>
  <si>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</si>
  <si>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</si>
  <si>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</si>
  <si>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</si>
  <si>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</si>
  <si>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</si>
  <si>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</si>
  <si>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</si>
  <si>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</si>
  <si>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</si>
  <si>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</si>
  <si>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</si>
  <si>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</si>
  <si>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</si>
  <si>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</si>
  <si>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</si>
  <si>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</si>
  <si>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</si>
  <si>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</si>
  <si>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</si>
  <si>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</si>
  <si>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</si>
  <si>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</si>
  <si>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</si>
  <si>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</si>
  <si>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</si>
  <si>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</si>
  <si>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</si>
  <si>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</si>
  <si>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</si>
  <si>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</si>
  <si>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</si>
  <si>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</si>
  <si>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</si>
  <si>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</si>
  <si>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</si>
  <si>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</si>
  <si>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</si>
  <si>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</si>
  <si>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</si>
  <si>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</si>
  <si>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</si>
  <si>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</si>
  <si>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</si>
  <si>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</si>
  <si>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</si>
  <si>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</si>
  <si>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</si>
  <si>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</si>
  <si>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</si>
  <si>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</si>
  <si>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</si>
  <si>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</si>
  <si>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</si>
  <si>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</si>
  <si>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</si>
  <si>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</si>
  <si>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</si>
  <si>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</si>
  <si>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</si>
  <si>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</si>
  <si>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</si>
  <si>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</si>
  <si>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</si>
  <si>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</si>
  <si>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</si>
  <si>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</si>
  <si>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</si>
  <si>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</si>
  <si>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</si>
  <si>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</si>
  <si>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</si>
  <si>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</si>
  <si>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</si>
  <si>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</si>
  <si>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</si>
  <si>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</si>
  <si>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</si>
  <si>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</si>
  <si>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</si>
  <si>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</si>
  <si>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</si>
  <si>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</si>
  <si>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</si>
  <si>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</si>
  <si>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</si>
  <si>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</si>
  <si>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</si>
  <si>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</si>
  <si>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</si>
  <si>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</si>
  <si>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</si>
  <si>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</si>
  <si>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</si>
  <si>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</si>
  <si>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</si>
  <si>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</si>
  <si>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</si>
  <si>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</si>
  <si>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</si>
  <si>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</si>
  <si>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</si>
  <si>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</si>
  <si>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</si>
  <si>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</si>
  <si>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</si>
  <si>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</si>
  <si>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</si>
  <si>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</si>
  <si>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</si>
  <si>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</si>
  <si>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</si>
  <si>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</si>
  <si>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</si>
  <si>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</si>
  <si>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</si>
  <si>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</si>
  <si>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</si>
  <si>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</si>
  <si>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</si>
  <si>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</si>
  <si>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</si>
  <si>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</si>
  <si>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</si>
  <si>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</si>
  <si>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</si>
  <si>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</si>
  <si>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</si>
  <si>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</si>
  <si>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</si>
  <si>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</si>
  <si>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</si>
  <si>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</si>
  <si>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</si>
  <si>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</si>
  <si>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</si>
  <si>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</si>
  <si>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</si>
  <si>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</si>
  <si>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</si>
  <si>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</si>
  <si>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</si>
  <si>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</si>
  <si>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</si>
  <si>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</si>
  <si>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</si>
  <si>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</si>
  <si>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</si>
  <si>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</si>
  <si>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</si>
  <si>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</si>
  <si>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</si>
  <si>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</si>
  <si>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</si>
  <si>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</si>
  <si>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</si>
  <si>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</si>
  <si>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</si>
  <si>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</si>
  <si>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</si>
  <si>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</si>
  <si>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</si>
  <si>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</si>
  <si>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</si>
  <si>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</si>
  <si>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</si>
  <si>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</si>
  <si>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</si>
  <si>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</si>
  <si>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</si>
  <si>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</si>
  <si>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</si>
  <si>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</si>
  <si>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</si>
  <si>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</si>
  <si>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</si>
  <si>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</si>
  <si>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</si>
  <si>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</si>
  <si>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</si>
  <si>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</si>
  <si>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</si>
  <si>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</si>
  <si>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</si>
  <si>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</si>
  <si>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</si>
  <si>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</si>
  <si>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</si>
  <si>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</si>
  <si>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</si>
  <si>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</si>
  <si>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</si>
  <si>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</si>
  <si>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</si>
  <si>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</si>
  <si>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</si>
  <si>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</si>
  <si>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</si>
  <si>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</si>
  <si>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</si>
  <si>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</si>
  <si>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</si>
  <si>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</si>
  <si>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</si>
  <si>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</si>
  <si>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</si>
  <si>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</si>
  <si>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</si>
  <si>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</si>
  <si>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</si>
  <si>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</si>
  <si>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</si>
  <si>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</si>
  <si>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</si>
  <si>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</si>
  <si>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</si>
  <si>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</si>
  <si>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</si>
  <si>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</si>
  <si>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</si>
  <si>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</si>
  <si>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</si>
  <si>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</si>
  <si>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</si>
  <si>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</si>
  <si>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</si>
  <si>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</si>
  <si>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</si>
  <si>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</si>
  <si>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</si>
  <si>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</si>
  <si>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</si>
  <si>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</si>
  <si>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</si>
  <si>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</si>
  <si>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</si>
  <si>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</si>
  <si>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</si>
  <si>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</si>
  <si>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</si>
  <si>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</si>
  <si>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</si>
  <si>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</si>
  <si>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</si>
  <si>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</si>
  <si>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</si>
  <si>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</si>
  <si>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</si>
  <si>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</si>
  <si>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</si>
  <si>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</si>
  <si>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</si>
  <si>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</si>
  <si>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</si>
  <si>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Ramya Satish</t>
  </si>
  <si>
    <t>ABPL-DE-19.20-2149</t>
  </si>
  <si>
    <t>D3-WD</t>
  </si>
  <si>
    <t>M15000</t>
  </si>
  <si>
    <t>FRENCH DOOR WITH TOP FIXED</t>
  </si>
  <si>
    <t>6MM</t>
  </si>
  <si>
    <t>NO</t>
  </si>
  <si>
    <t>08A - GF - DINING</t>
  </si>
  <si>
    <t>SD1-WD</t>
  </si>
  <si>
    <t>M14600</t>
  </si>
  <si>
    <t>3 TRACK 2 SHUTTER SLIDING DOOR</t>
  </si>
  <si>
    <t>SS</t>
  </si>
  <si>
    <t>08B - GF - GBR</t>
  </si>
  <si>
    <t>SD2-WD</t>
  </si>
  <si>
    <t>08C - FF - MBR</t>
  </si>
  <si>
    <t>SD3-WD</t>
  </si>
  <si>
    <t>08D - FF -BEDROOM 2</t>
  </si>
  <si>
    <t>GL1-WD</t>
  </si>
  <si>
    <t>M14600 &amp; M15000</t>
  </si>
  <si>
    <t>3 TRACK 3 SHUTTER SLIDING DOOR WITH TOP FIXED</t>
  </si>
  <si>
    <t>8MM &amp; 6MM</t>
  </si>
  <si>
    <t>RETRACTABLE</t>
  </si>
  <si>
    <t>08E - GF - LOUNGE</t>
  </si>
  <si>
    <t>GL2-WD</t>
  </si>
  <si>
    <t>2 SIDE HUNG WINDOWS WITH 7 FIXED</t>
  </si>
  <si>
    <t>08F - GF - LOUNGE</t>
  </si>
  <si>
    <t>W6A</t>
  </si>
  <si>
    <t>FIXED GLASS 3 NO'S</t>
  </si>
  <si>
    <t>08G - GF - DINING</t>
  </si>
  <si>
    <t>W6B</t>
  </si>
  <si>
    <t>W9A</t>
  </si>
  <si>
    <t>3 TRACK 2 SHUTTER SLIDING DOOR WITH 4 FIXED</t>
  </si>
  <si>
    <t>08I - FF - STAIRCASE</t>
  </si>
  <si>
    <t>W9B</t>
  </si>
  <si>
    <t>3 TRACK 2 SHUTTER SLIDING DOOR WITH 7 FIXED</t>
  </si>
  <si>
    <t>08J - SF - STAIRCASE</t>
  </si>
  <si>
    <t>V1</t>
  </si>
  <si>
    <t>M940</t>
  </si>
  <si>
    <t>2 FIXED GLASS WITH EXHAUST PROVISION</t>
  </si>
  <si>
    <t>6MM (F)</t>
  </si>
  <si>
    <t>GF - GUEST TOILET</t>
  </si>
  <si>
    <t>V2</t>
  </si>
  <si>
    <t>FIXED GLASS WITH EXHAUST PROVISION</t>
  </si>
  <si>
    <t>FF - BEDROOM TOILET</t>
  </si>
  <si>
    <t>V3</t>
  </si>
  <si>
    <t>M900</t>
  </si>
  <si>
    <t>3 TRACK 2 SHUTTER SLIDING WINDOW</t>
  </si>
  <si>
    <t>FF - MASTER WARDROBE</t>
  </si>
  <si>
    <t>V4</t>
  </si>
  <si>
    <t>GF - POWDER ROOM</t>
  </si>
  <si>
    <t>6mm :- 6mm Clear Toughened Glass</t>
  </si>
  <si>
    <t>8mm :- 8mm Clear Toughened Glass</t>
  </si>
  <si>
    <t>6mm :- 6mm Frosted Toughened Glass</t>
  </si>
  <si>
    <t>Transportation is extra as actuals.</t>
  </si>
  <si>
    <t>Wood Effect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</si>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</sst>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182217</xdr:colOff>
      <xdr:row>8</xdr:row>
      <xdr:rowOff>57979</xdr:rowOff>
    </xdr:from>
    <xdr:to>
      <xdr:col>6</xdr:col>
      <xdr:colOff>347870</xdr:colOff>
      <xdr:row>16</xdr:row>
      <xdr:rowOff>251426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532283"/>
          <a:ext cx="2145196" cy="271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488673</xdr:colOff>
      <xdr:row>19</xdr:row>
      <xdr:rowOff>57979</xdr:rowOff>
    </xdr:from>
    <xdr:to>
      <xdr:col>5</xdr:col>
      <xdr:colOff>1838739</xdr:colOff>
      <xdr:row>27</xdr:row>
      <xdr:rowOff>243084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3" y="4845327"/>
          <a:ext cx="1350066" cy="270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30</xdr:row>
      <xdr:rowOff>57978</xdr:rowOff>
    </xdr:from>
    <xdr:to>
      <xdr:col>6</xdr:col>
      <xdr:colOff>372718</xdr:colOff>
      <xdr:row>38</xdr:row>
      <xdr:rowOff>213888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8158369"/>
          <a:ext cx="2468218" cy="2673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41</xdr:row>
      <xdr:rowOff>99390</xdr:rowOff>
    </xdr:from>
    <xdr:to>
      <xdr:col>7</xdr:col>
      <xdr:colOff>8282</xdr:colOff>
      <xdr:row>49</xdr:row>
      <xdr:rowOff>225460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11512825"/>
          <a:ext cx="2418522" cy="2643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112268</xdr:colOff>
      <xdr:row>52</xdr:row>
      <xdr:rowOff>74543</xdr:rowOff>
    </xdr:from>
    <xdr:to>
      <xdr:col>10</xdr:col>
      <xdr:colOff>33130</xdr:colOff>
      <xdr:row>60</xdr:row>
      <xdr:rowOff>250775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64" y="14801021"/>
          <a:ext cx="5014666" cy="2694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265042</xdr:colOff>
      <xdr:row>63</xdr:row>
      <xdr:rowOff>49696</xdr:rowOff>
    </xdr:from>
    <xdr:to>
      <xdr:col>8</xdr:col>
      <xdr:colOff>240194</xdr:colOff>
      <xdr:row>71</xdr:row>
      <xdr:rowOff>261727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3" y="18089218"/>
          <a:ext cx="3304761" cy="2729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422413</xdr:colOff>
      <xdr:row>74</xdr:row>
      <xdr:rowOff>74543</xdr:rowOff>
    </xdr:from>
    <xdr:to>
      <xdr:col>5</xdr:col>
      <xdr:colOff>1962979</xdr:colOff>
      <xdr:row>82</xdr:row>
      <xdr:rowOff>175935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21427108"/>
          <a:ext cx="1540566" cy="261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85</xdr:row>
      <xdr:rowOff>57978</xdr:rowOff>
    </xdr:from>
    <xdr:to>
      <xdr:col>5</xdr:col>
      <xdr:colOff>1905000</xdr:colOff>
      <xdr:row>93</xdr:row>
      <xdr:rowOff>189774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24723587"/>
          <a:ext cx="1598544" cy="2649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96</xdr:row>
      <xdr:rowOff>41413</xdr:rowOff>
    </xdr:from>
    <xdr:to>
      <xdr:col>7</xdr:col>
      <xdr:colOff>115956</xdr:colOff>
      <xdr:row>104</xdr:row>
      <xdr:rowOff>252244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1" y="28020065"/>
          <a:ext cx="2923761" cy="2728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107</xdr:row>
      <xdr:rowOff>57978</xdr:rowOff>
    </xdr:from>
    <xdr:to>
      <xdr:col>6</xdr:col>
      <xdr:colOff>132522</xdr:colOff>
      <xdr:row>115</xdr:row>
      <xdr:rowOff>257477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31349674"/>
          <a:ext cx="2459935" cy="2717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119</xdr:row>
      <xdr:rowOff>173935</xdr:rowOff>
    </xdr:from>
    <xdr:to>
      <xdr:col>6</xdr:col>
      <xdr:colOff>215348</xdr:colOff>
      <xdr:row>124</xdr:row>
      <xdr:rowOff>1622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35093413"/>
          <a:ext cx="2161761" cy="1401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130</xdr:row>
      <xdr:rowOff>132521</xdr:rowOff>
    </xdr:from>
    <xdr:to>
      <xdr:col>5</xdr:col>
      <xdr:colOff>1673087</xdr:colOff>
      <xdr:row>135</xdr:row>
      <xdr:rowOff>272257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38365043"/>
          <a:ext cx="1283805" cy="1713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57977</xdr:colOff>
      <xdr:row>141</xdr:row>
      <xdr:rowOff>298174</xdr:rowOff>
    </xdr:from>
    <xdr:to>
      <xdr:col>7</xdr:col>
      <xdr:colOff>1690</xdr:colOff>
      <xdr:row>146</xdr:row>
      <xdr:rowOff>33130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238" y="41843739"/>
          <a:ext cx="3008278" cy="1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152</xdr:row>
      <xdr:rowOff>140804</xdr:rowOff>
    </xdr:from>
    <xdr:to>
      <xdr:col>5</xdr:col>
      <xdr:colOff>1813891</xdr:colOff>
      <xdr:row>158</xdr:row>
      <xdr:rowOff>22408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5" y="44999413"/>
          <a:ext cx="1540566" cy="177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58" sqref="Q15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ABPL-DE-19.20-2149</v>
      </c>
      <c r="O2" s="540"/>
      <c r="P2" s="219" t="s">
        <v>257</v>
      </c>
    </row>
    <row r="3" spans="2:16">
      <c r="B3" s="218"/>
      <c r="C3" s="539" t="s">
        <v>126</v>
      </c>
      <c r="D3" s="539"/>
      <c r="E3" s="539"/>
      <c r="F3" s="540" t="str">
        <f>QUOTATION!F7</f>
        <v>Ramya Satish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43684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Bangalore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R1</v>
      </c>
      <c r="O4" s="287">
        <f>QUOTATION!N8</f>
        <v>43689</v>
      </c>
    </row>
    <row r="5" spans="2:16">
      <c r="B5" s="218"/>
      <c r="C5" s="539" t="s">
        <v>169</v>
      </c>
      <c r="D5" s="539"/>
      <c r="E5" s="539"/>
      <c r="F5" s="540" t="str">
        <f>QUOTATION!F9</f>
        <v>Mr. Prasanth : 9591855724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Wood Effect</v>
      </c>
      <c r="G6" s="539"/>
      <c r="H6" s="539"/>
      <c r="I6" s="541" t="s">
        <v>178</v>
      </c>
      <c r="J6" s="541"/>
      <c r="K6" s="540" t="str">
        <f>QUOTATION!I10</f>
        <v>Black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D3-WD</v>
      </c>
      <c r="F8" s="288" t="s">
        <v>255</v>
      </c>
      <c r="G8" s="540" t="str">
        <f>'BD Team'!D9</f>
        <v>FRENCH DOOR WITH TOP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08A - GF - DINING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Wood Effect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2440 X 3354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SD1-WD</v>
      </c>
      <c r="F19" s="288" t="s">
        <v>255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08B - GF - GBR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Wood Effect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1380 X 2440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6MM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SD2-WD</v>
      </c>
      <c r="F30" s="288" t="s">
        <v>255</v>
      </c>
      <c r="G30" s="540" t="str">
        <f>'BD Team'!D11</f>
        <v>3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08C - FF - MBR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Wood Effect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2744 X 2440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6MM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SD3-WD</v>
      </c>
      <c r="F41" s="288" t="s">
        <v>255</v>
      </c>
      <c r="G41" s="540" t="str">
        <f>'BD Team'!D12</f>
        <v>3 TRACK 2 SHUTTER SLIDING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08D - FF -BEDROOM 2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Wood Effect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2440 X 2134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M14600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GL1-WD</v>
      </c>
      <c r="F52" s="288" t="s">
        <v>255</v>
      </c>
      <c r="G52" s="540" t="str">
        <f>'BD Team'!D13</f>
        <v>3 TRACK 3 SHUTTER SLIDING DOOR WITH TOP FIXED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08E - GF - LOUNGE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Wood Effect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5488 X 3354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M14600 &amp; 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8MM &amp; 6MM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RETRACTABLE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GL2-WD</v>
      </c>
      <c r="F63" s="288" t="s">
        <v>255</v>
      </c>
      <c r="G63" s="540" t="str">
        <f>'BD Team'!D14</f>
        <v>2 SIDE HUNG WINDOWS WITH 7 FIXED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08F - GF - LOUNGE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Wood Effect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4040 X 3252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6MM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W6A</v>
      </c>
      <c r="F74" s="288" t="s">
        <v>255</v>
      </c>
      <c r="G74" s="540" t="str">
        <f>'BD Team'!D15</f>
        <v>FIXED GLASS 3 NO'S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08G - GF - DINING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Wood Effect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1652 X 3252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6MM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W6B</v>
      </c>
      <c r="F85" s="288" t="s">
        <v>255</v>
      </c>
      <c r="G85" s="540" t="str">
        <f>'BD Team'!D16</f>
        <v>FIXED GLASS 3 NO'S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08G - GF - DINING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Wood Effect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1702 X 3252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6MM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W9A</v>
      </c>
      <c r="F96" s="288" t="s">
        <v>255</v>
      </c>
      <c r="G96" s="540" t="str">
        <f>'BD Team'!D17</f>
        <v>3 TRACK 2 SHUTTER SLIDING DOOR WITH 4 FIXED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08I - FF - STAIRCASE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Wood Effect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2592 X 3556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M14600 &amp; 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SS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W9B</v>
      </c>
      <c r="F107" s="288" t="s">
        <v>255</v>
      </c>
      <c r="G107" s="540" t="str">
        <f>'BD Team'!D18</f>
        <v>3 TRACK 2 SHUTTER SLIDING DOOR WITH 7 FIXED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08J - SF - STAIRCASE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Wood Effect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2592 X 4318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M14600 &amp; 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6MM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 t="str">
        <f>'BD Team'!B19</f>
        <v>V1</v>
      </c>
      <c r="F118" s="288" t="s">
        <v>255</v>
      </c>
      <c r="G118" s="540" t="str">
        <f>'BD Team'!D19</f>
        <v>2 FIXED GLASS WITH EXHAUST PROVISION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GF - GUEST TOILET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Wood Effect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>1678 X 916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 t="str">
        <f>'BD Team'!C19</f>
        <v>M940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 t="str">
        <f>'BD Team'!E19</f>
        <v>6MM (F)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 t="str">
        <f>'BD Team'!B20</f>
        <v>V2</v>
      </c>
      <c r="F129" s="288" t="s">
        <v>255</v>
      </c>
      <c r="G129" s="540" t="str">
        <f>'BD Team'!D20</f>
        <v>FIXED GLASS WITH EXHAUST PROVISION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FF - BEDROOM TOILET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Wood Effect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>458 X 916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 t="str">
        <f>'BD Team'!C20</f>
        <v>M940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 t="str">
        <f>'BD Team'!E20</f>
        <v>6MM (F)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 t="str">
        <f>'BD Team'!F20</f>
        <v>NO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 t="str">
        <f>'BD Team'!B21</f>
        <v>V3</v>
      </c>
      <c r="F140" s="288" t="s">
        <v>255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FF - MASTER WARDROBE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Wood Effect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>2744 X 610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 t="str">
        <f>'BD Team'!E21</f>
        <v>6MM (F)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 t="str">
        <f>'BD Team'!B22</f>
        <v>V4</v>
      </c>
      <c r="F151" s="288" t="s">
        <v>255</v>
      </c>
      <c r="G151" s="540" t="str">
        <f>'BD Team'!D22</f>
        <v>2 FIXED GLASS WITH EXHAUST PROVISION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GF - POWDER ROOM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Wood Effect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>1016 X 1220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 t="str">
        <f>'BD Team'!C22</f>
        <v>M940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 t="str">
        <f>'BD Team'!E22</f>
        <v>6MM (F)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 t="str">
        <f>'BD Team'!F22</f>
        <v>NO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Wood Effect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Wood Effect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Wood Effect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Wood Effect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Wood Effect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Wood Effect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Wood Effect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Wood Effect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Wood Effect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Wood Effect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Wood Effect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Wood Effect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Wood Effect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Wood Effect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Wood Effect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Wood Effect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Wood Effect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Wood Effect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Wood Effect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Wood Effect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Wood Effect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Wood Effect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Wood Effect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Wood Effect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Wood Effect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Wood Effect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Wood Effect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Wood Effect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Wood Effect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Wood Effect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Wood Effect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Wood Effect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Wood Effect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Wood Effect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Wood Effect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Wood Effect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Wood Effect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Wood Effect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Wood Effect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Wood Effect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Wood Effect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Wood Effect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Wood Effect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Wood Effect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Wood Effect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Wood Effect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Wood Effect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Wood Effect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Wood Effect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Wood Effect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Wood Effect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Wood Effect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Wood Effect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Wood Effect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Wood Effect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Wood Effect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Wood Effect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Wood Effect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Wood Effect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Wood Effect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Wood Effect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Wood Effect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Wood Effect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Wood Effect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Wood Effect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Wood Effect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Wood Effect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Wood Effect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Wood Effect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Wood Effect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Wood Effect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Wood Effect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Wood Effect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Wood Effect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Wood Effect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Wood Effect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Wood Effect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Wood Effect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Wood Effect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Wood Effect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Wood Effect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Wood Effect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Wood Effect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Wood Effect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Wood Effect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Wood Effect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453</v>
      </c>
    </row>
    <row r="5" spans="3:5">
      <c r="C5" s="236" t="s">
        <v>395</v>
      </c>
      <c r="D5" s="236" t="s">
        <v>393</v>
      </c>
      <c r="E5" s="309">
        <f>ROUND(Pricing!U104,0.1)/40</f>
        <v>13.6</v>
      </c>
    </row>
    <row r="6" spans="3:5">
      <c r="C6" s="236" t="s">
        <v>83</v>
      </c>
      <c r="D6" s="236" t="s">
        <v>392</v>
      </c>
      <c r="E6" s="309">
        <f>ROUND(Pricing!V104,0.1)</f>
        <v>28</v>
      </c>
    </row>
    <row r="7" spans="3:5">
      <c r="C7" s="236" t="s">
        <v>399</v>
      </c>
      <c r="D7" s="236" t="s">
        <v>391</v>
      </c>
      <c r="E7" s="309">
        <f>ROUND(Pricing!W104,0.1)</f>
        <v>453</v>
      </c>
    </row>
    <row r="8" spans="3:5">
      <c r="C8" s="236" t="s">
        <v>396</v>
      </c>
      <c r="D8" s="236" t="s">
        <v>391</v>
      </c>
      <c r="E8" s="309">
        <f>ROUND(Pricing!X104,0.1)</f>
        <v>906</v>
      </c>
    </row>
    <row r="9" spans="3:5">
      <c r="C9" t="s">
        <v>223</v>
      </c>
      <c r="D9" s="236" t="s">
        <v>394</v>
      </c>
      <c r="E9" s="309">
        <f>ROUND(Pricing!Y104,0.1)</f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A16" sqref="A1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D3-WD</v>
      </c>
      <c r="B2" s="318" t="str">
        <f>'BD Team'!C9</f>
        <v>M15000</v>
      </c>
      <c r="C2" s="318" t="str">
        <f>'BD Team'!D9</f>
        <v>FRENCH DOOR WITH TOP FIXED</v>
      </c>
      <c r="D2" s="318" t="str">
        <f>'BD Team'!E9</f>
        <v>6MM</v>
      </c>
      <c r="E2" s="318" t="str">
        <f>'BD Team'!G9</f>
        <v>08A - GF - DINING</v>
      </c>
      <c r="F2" s="318" t="str">
        <f>'BD Team'!F9</f>
        <v>NO</v>
      </c>
      <c r="I2" s="318">
        <f>'BD Team'!H9</f>
        <v>2440</v>
      </c>
      <c r="J2" s="318">
        <f>'BD Team'!I9</f>
        <v>3354</v>
      </c>
      <c r="K2" s="318">
        <f>'BD Team'!J9</f>
        <v>1</v>
      </c>
      <c r="L2" s="319">
        <f>'BD Team'!K9</f>
        <v>702.13</v>
      </c>
      <c r="M2" s="318">
        <f>Pricing!O4</f>
        <v>1002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SD1-WD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6MM</v>
      </c>
      <c r="E3" s="318" t="str">
        <f>'BD Team'!G10</f>
        <v>08B - GF - GBR</v>
      </c>
      <c r="F3" s="318" t="str">
        <f>'BD Team'!F10</f>
        <v>SS</v>
      </c>
      <c r="I3" s="318">
        <f>'BD Team'!H10</f>
        <v>1380</v>
      </c>
      <c r="J3" s="318">
        <f>'BD Team'!I10</f>
        <v>2440</v>
      </c>
      <c r="K3" s="318">
        <f>'BD Team'!J10</f>
        <v>1</v>
      </c>
      <c r="L3" s="319">
        <f>'BD Team'!K10</f>
        <v>468.6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SD2-WD</v>
      </c>
      <c r="B4" s="318" t="str">
        <f>'BD Team'!C11</f>
        <v>M14600</v>
      </c>
      <c r="C4" s="318" t="str">
        <f>'BD Team'!D11</f>
        <v>3 TRACK 2 SHUTTER SLIDING DOOR</v>
      </c>
      <c r="D4" s="318" t="str">
        <f>'BD Team'!E11</f>
        <v>6MM</v>
      </c>
      <c r="E4" s="318" t="str">
        <f>'BD Team'!G11</f>
        <v>08C - FF - MBR</v>
      </c>
      <c r="F4" s="318" t="str">
        <f>'BD Team'!F11</f>
        <v>SS</v>
      </c>
      <c r="I4" s="318">
        <f>'BD Team'!H11</f>
        <v>2744</v>
      </c>
      <c r="J4" s="318">
        <f>'BD Team'!I11</f>
        <v>2440</v>
      </c>
      <c r="K4" s="318">
        <f>'BD Team'!J11</f>
        <v>1</v>
      </c>
      <c r="L4" s="319">
        <f>'BD Team'!K11</f>
        <v>573.5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SD3-WD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6MM</v>
      </c>
      <c r="E5" s="318" t="str">
        <f>'BD Team'!G12</f>
        <v>08D - FF -BEDROOM 2</v>
      </c>
      <c r="F5" s="318" t="str">
        <f>'BD Team'!F12</f>
        <v>SS</v>
      </c>
      <c r="I5" s="318">
        <f>'BD Team'!H12</f>
        <v>2440</v>
      </c>
      <c r="J5" s="318">
        <f>'BD Team'!I12</f>
        <v>2134</v>
      </c>
      <c r="K5" s="318">
        <f>'BD Team'!J12</f>
        <v>1</v>
      </c>
      <c r="L5" s="319">
        <f>'BD Team'!K12</f>
        <v>521.32000000000005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GL1-WD</v>
      </c>
      <c r="B6" s="318" t="str">
        <f>'BD Team'!C13</f>
        <v>M14600 &amp; M15000</v>
      </c>
      <c r="C6" s="318" t="str">
        <f>'BD Team'!D13</f>
        <v>3 TRACK 3 SHUTTER SLIDING DOOR WITH TOP FIXED</v>
      </c>
      <c r="D6" s="318" t="str">
        <f>'BD Team'!E13</f>
        <v>8MM &amp; 6MM</v>
      </c>
      <c r="E6" s="318" t="str">
        <f>'BD Team'!G13</f>
        <v>08E - GF - LOUNGE</v>
      </c>
      <c r="F6" s="318" t="str">
        <f>'BD Team'!F13</f>
        <v>RETRACTABLE</v>
      </c>
      <c r="I6" s="318">
        <f>'BD Team'!H13</f>
        <v>5488</v>
      </c>
      <c r="J6" s="318">
        <f>'BD Team'!I13</f>
        <v>3354</v>
      </c>
      <c r="K6" s="318">
        <f>'BD Team'!J13</f>
        <v>1</v>
      </c>
      <c r="L6" s="319">
        <f>'BD Team'!K13</f>
        <v>1230.47</v>
      </c>
      <c r="M6" s="318">
        <f>Pricing!O8</f>
        <v>1322</v>
      </c>
      <c r="N6" s="318">
        <f>Pricing!Q8</f>
        <v>0</v>
      </c>
      <c r="O6" s="318">
        <f>Pricing!R8</f>
        <v>4305.5999999999995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GL2-WD</v>
      </c>
      <c r="B7" s="318" t="str">
        <f>'BD Team'!C14</f>
        <v>M15000</v>
      </c>
      <c r="C7" s="318" t="str">
        <f>'BD Team'!D14</f>
        <v>2 SIDE HUNG WINDOWS WITH 7 FIXED</v>
      </c>
      <c r="D7" s="318" t="str">
        <f>'BD Team'!E14</f>
        <v>6MM</v>
      </c>
      <c r="E7" s="318" t="str">
        <f>'BD Team'!G14</f>
        <v>08F - GF - LOUNGE</v>
      </c>
      <c r="F7" s="318" t="str">
        <f>'BD Team'!F14</f>
        <v>NO</v>
      </c>
      <c r="I7" s="318">
        <f>'BD Team'!H14</f>
        <v>4040</v>
      </c>
      <c r="J7" s="318">
        <f>'BD Team'!I14</f>
        <v>3252</v>
      </c>
      <c r="K7" s="318">
        <f>'BD Team'!J14</f>
        <v>1</v>
      </c>
      <c r="L7" s="319">
        <f>'BD Team'!K14</f>
        <v>1487.83</v>
      </c>
      <c r="M7" s="318">
        <f>Pricing!O9</f>
        <v>1002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W6A</v>
      </c>
      <c r="B8" s="318" t="str">
        <f>'BD Team'!C15</f>
        <v>M15000</v>
      </c>
      <c r="C8" s="318" t="str">
        <f>'BD Team'!D15</f>
        <v>FIXED GLASS 3 NO'S</v>
      </c>
      <c r="D8" s="318" t="str">
        <f>'BD Team'!E15</f>
        <v>6MM</v>
      </c>
      <c r="E8" s="318" t="str">
        <f>'BD Team'!G15</f>
        <v>08G - GF - DINING</v>
      </c>
      <c r="F8" s="318" t="str">
        <f>'BD Team'!F15</f>
        <v>NO</v>
      </c>
      <c r="I8" s="318">
        <f>'BD Team'!H15</f>
        <v>1652</v>
      </c>
      <c r="J8" s="318">
        <f>'BD Team'!I15</f>
        <v>3252</v>
      </c>
      <c r="K8" s="318">
        <f>'BD Team'!J15</f>
        <v>1</v>
      </c>
      <c r="L8" s="319">
        <f>'BD Team'!K15</f>
        <v>233.83</v>
      </c>
      <c r="M8" s="318">
        <f>Pricing!O10</f>
        <v>1002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W6B</v>
      </c>
      <c r="B9" s="318" t="str">
        <f>'BD Team'!C16</f>
        <v>M15000</v>
      </c>
      <c r="C9" s="318" t="str">
        <f>'BD Team'!D16</f>
        <v>FIXED GLASS 3 NO'S</v>
      </c>
      <c r="D9" s="318" t="str">
        <f>'BD Team'!E16</f>
        <v>6MM</v>
      </c>
      <c r="E9" s="318" t="str">
        <f>'BD Team'!G16</f>
        <v>08G - GF - DINING</v>
      </c>
      <c r="F9" s="318" t="str">
        <f>'BD Team'!F16</f>
        <v>NO</v>
      </c>
      <c r="I9" s="318">
        <f>'BD Team'!H16</f>
        <v>1702</v>
      </c>
      <c r="J9" s="318">
        <f>'BD Team'!I16</f>
        <v>3252</v>
      </c>
      <c r="K9" s="318">
        <f>'BD Team'!J16</f>
        <v>1</v>
      </c>
      <c r="L9" s="319">
        <f>'BD Team'!K16</f>
        <v>237.5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W9A</v>
      </c>
      <c r="B10" s="318" t="str">
        <f>'BD Team'!C17</f>
        <v>M14600 &amp; M15000</v>
      </c>
      <c r="C10" s="318" t="str">
        <f>'BD Team'!D17</f>
        <v>3 TRACK 2 SHUTTER SLIDING DOOR WITH 4 FIXED</v>
      </c>
      <c r="D10" s="318" t="str">
        <f>'BD Team'!E17</f>
        <v>6MM</v>
      </c>
      <c r="E10" s="318" t="str">
        <f>'BD Team'!G17</f>
        <v>08I - FF - STAIRCASE</v>
      </c>
      <c r="F10" s="318" t="str">
        <f>'BD Team'!F17</f>
        <v>SS</v>
      </c>
      <c r="I10" s="318">
        <f>'BD Team'!H17</f>
        <v>2592</v>
      </c>
      <c r="J10" s="318">
        <f>'BD Team'!I17</f>
        <v>3556</v>
      </c>
      <c r="K10" s="318">
        <f>'BD Team'!J17</f>
        <v>1</v>
      </c>
      <c r="L10" s="319">
        <f>'BD Team'!K17</f>
        <v>1008.61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W9B</v>
      </c>
      <c r="B11" s="318" t="str">
        <f>'BD Team'!C18</f>
        <v>M14600 &amp; M15000</v>
      </c>
      <c r="C11" s="318" t="str">
        <f>'BD Team'!D18</f>
        <v>3 TRACK 2 SHUTTER SLIDING DOOR WITH 7 FIXED</v>
      </c>
      <c r="D11" s="318" t="str">
        <f>'BD Team'!E18</f>
        <v>6MM</v>
      </c>
      <c r="E11" s="318" t="str">
        <f>'BD Team'!G18</f>
        <v>08J - SF - STAIRCASE</v>
      </c>
      <c r="F11" s="318" t="str">
        <f>'BD Team'!F18</f>
        <v>SS</v>
      </c>
      <c r="I11" s="318">
        <f>'BD Team'!H18</f>
        <v>2592</v>
      </c>
      <c r="J11" s="318">
        <f>'BD Team'!I18</f>
        <v>4318</v>
      </c>
      <c r="K11" s="318">
        <f>'BD Team'!J18</f>
        <v>1</v>
      </c>
      <c r="L11" s="319">
        <f>'BD Team'!K18</f>
        <v>1222.83</v>
      </c>
      <c r="M11" s="318">
        <f>Pricing!O13</f>
        <v>1002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V1</v>
      </c>
      <c r="B12" s="318" t="str">
        <f>'BD Team'!C19</f>
        <v>M940</v>
      </c>
      <c r="C12" s="318" t="str">
        <f>'BD Team'!D19</f>
        <v>2 FIXED GLASS WITH EXHAUST PROVISION</v>
      </c>
      <c r="D12" s="318" t="str">
        <f>'BD Team'!E19</f>
        <v>6MM (F)</v>
      </c>
      <c r="E12" s="318" t="str">
        <f>'BD Team'!G19</f>
        <v>GF - GUEST TOILET</v>
      </c>
      <c r="F12" s="318" t="str">
        <f>'BD Team'!F19</f>
        <v>NO</v>
      </c>
      <c r="I12" s="318">
        <f>'BD Team'!H19</f>
        <v>1678</v>
      </c>
      <c r="J12" s="318">
        <f>'BD Team'!I19</f>
        <v>916</v>
      </c>
      <c r="K12" s="318">
        <f>'BD Team'!J19</f>
        <v>1</v>
      </c>
      <c r="L12" s="319">
        <f>'BD Team'!K19</f>
        <v>95.49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V2</v>
      </c>
      <c r="B13" s="318" t="str">
        <f>'BD Team'!C20</f>
        <v>M940</v>
      </c>
      <c r="C13" s="318" t="str">
        <f>'BD Team'!D20</f>
        <v>FIXED GLASS WITH EXHAUST PROVISION</v>
      </c>
      <c r="D13" s="318" t="str">
        <f>'BD Team'!E20</f>
        <v>6MM (F)</v>
      </c>
      <c r="E13" s="318" t="str">
        <f>'BD Team'!G20</f>
        <v>FF - BEDROOM TOILET</v>
      </c>
      <c r="F13" s="318" t="str">
        <f>'BD Team'!F20</f>
        <v>NO</v>
      </c>
      <c r="I13" s="318">
        <f>'BD Team'!H20</f>
        <v>458</v>
      </c>
      <c r="J13" s="318">
        <f>'BD Team'!I20</f>
        <v>916</v>
      </c>
      <c r="K13" s="318">
        <f>'BD Team'!J20</f>
        <v>1</v>
      </c>
      <c r="L13" s="319">
        <f>'BD Team'!K20</f>
        <v>43.61</v>
      </c>
      <c r="M13" s="318">
        <f>Pricing!O15</f>
        <v>2003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V3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6MM (F)</v>
      </c>
      <c r="E14" s="318" t="str">
        <f>'BD Team'!G21</f>
        <v>FF - MASTER WARDROBE</v>
      </c>
      <c r="F14" s="318" t="str">
        <f>'BD Team'!F21</f>
        <v>SS</v>
      </c>
      <c r="I14" s="318">
        <f>'BD Team'!H21</f>
        <v>2744</v>
      </c>
      <c r="J14" s="318">
        <f>'BD Team'!I21</f>
        <v>610</v>
      </c>
      <c r="K14" s="318">
        <f>'BD Team'!J21</f>
        <v>1</v>
      </c>
      <c r="L14" s="319">
        <f>'BD Team'!K21</f>
        <v>323.42</v>
      </c>
      <c r="M14" s="318">
        <f>Pricing!O16</f>
        <v>2003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V4</v>
      </c>
      <c r="B15" s="318" t="str">
        <f>'BD Team'!C22</f>
        <v>M940</v>
      </c>
      <c r="C15" s="318" t="str">
        <f>'BD Team'!D22</f>
        <v>2 FIXED GLASS WITH EXHAUST PROVISION</v>
      </c>
      <c r="D15" s="318" t="str">
        <f>'BD Team'!E22</f>
        <v>6MM (F)</v>
      </c>
      <c r="E15" s="318" t="str">
        <f>'BD Team'!G22</f>
        <v>GF - POWDER ROOM</v>
      </c>
      <c r="F15" s="318" t="str">
        <f>'BD Team'!F22</f>
        <v>NO</v>
      </c>
      <c r="I15" s="318">
        <f>'BD Team'!H22</f>
        <v>1016</v>
      </c>
      <c r="J15" s="318">
        <f>'BD Team'!I22</f>
        <v>1220</v>
      </c>
      <c r="K15" s="318">
        <f>'BD Team'!J22</f>
        <v>1</v>
      </c>
      <c r="L15" s="319">
        <f>'BD Team'!K22</f>
        <v>94.21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H25" sqref="H2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185</v>
      </c>
      <c r="I2" s="324"/>
      <c r="J2" s="165" t="s">
        <v>423</v>
      </c>
      <c r="K2" s="167"/>
      <c r="L2" s="104" t="s">
        <v>208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183</v>
      </c>
      <c r="G3" s="162" t="s">
        <v>417</v>
      </c>
      <c r="H3" s="323" t="s">
        <v>186</v>
      </c>
      <c r="I3" s="324"/>
      <c r="J3" s="166">
        <v>43684</v>
      </c>
      <c r="K3" s="167"/>
      <c r="L3" s="104" t="s">
        <v>258</v>
      </c>
      <c r="M3" s="104" t="s">
        <v>381</v>
      </c>
    </row>
    <row r="4" spans="1:13" s="104" customFormat="1" ht="18">
      <c r="A4" s="322" t="s">
        <v>169</v>
      </c>
      <c r="B4" s="322"/>
      <c r="C4" s="322"/>
      <c r="D4" s="322"/>
      <c r="E4" s="162" t="s">
        <v>365</v>
      </c>
      <c r="F4" s="135"/>
      <c r="G4" s="164"/>
      <c r="H4" s="323" t="s">
        <v>187</v>
      </c>
      <c r="I4" s="324"/>
      <c r="J4" s="165" t="s">
        <v>402</v>
      </c>
      <c r="K4" s="167"/>
      <c r="L4" s="104" t="s">
        <v>259</v>
      </c>
      <c r="M4" s="104" t="s">
        <v>382</v>
      </c>
    </row>
    <row r="5" spans="1:13" s="104" customFormat="1">
      <c r="A5" s="322" t="s">
        <v>177</v>
      </c>
      <c r="B5" s="322"/>
      <c r="C5" s="322"/>
      <c r="D5" s="322"/>
      <c r="E5" s="162" t="s">
        <v>476</v>
      </c>
      <c r="F5" s="136" t="s">
        <v>184</v>
      </c>
      <c r="G5" s="162" t="s">
        <v>261</v>
      </c>
      <c r="H5" s="323" t="s">
        <v>374</v>
      </c>
      <c r="I5" s="324"/>
      <c r="J5" s="165"/>
      <c r="K5" s="167"/>
      <c r="L5" s="104" t="s">
        <v>260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427</v>
      </c>
      <c r="F9" s="113" t="s">
        <v>428</v>
      </c>
      <c r="G9" s="113" t="s">
        <v>429</v>
      </c>
      <c r="H9" s="113">
        <v>2440</v>
      </c>
      <c r="I9" s="113">
        <v>3354</v>
      </c>
      <c r="J9" s="113">
        <v>1</v>
      </c>
      <c r="K9" s="123">
        <v>702.13</v>
      </c>
    </row>
    <row r="10" spans="1:13" ht="20.100000000000001" customHeight="1">
      <c r="A10" s="113">
        <v>2</v>
      </c>
      <c r="B10" s="113" t="s">
        <v>430</v>
      </c>
      <c r="C10" s="113" t="s">
        <v>431</v>
      </c>
      <c r="D10" s="113" t="s">
        <v>432</v>
      </c>
      <c r="E10" s="113" t="s">
        <v>427</v>
      </c>
      <c r="F10" s="113" t="s">
        <v>433</v>
      </c>
      <c r="G10" s="113" t="s">
        <v>434</v>
      </c>
      <c r="H10" s="113">
        <v>1380</v>
      </c>
      <c r="I10" s="113">
        <v>2440</v>
      </c>
      <c r="J10" s="113">
        <v>1</v>
      </c>
      <c r="K10" s="123">
        <v>468.6</v>
      </c>
      <c r="L10" s="47" t="s">
        <v>283</v>
      </c>
    </row>
    <row r="11" spans="1:13" ht="20.100000000000001" customHeight="1">
      <c r="A11" s="113">
        <v>3</v>
      </c>
      <c r="B11" s="113" t="s">
        <v>435</v>
      </c>
      <c r="C11" s="113" t="s">
        <v>431</v>
      </c>
      <c r="D11" s="113" t="s">
        <v>432</v>
      </c>
      <c r="E11" s="113" t="s">
        <v>427</v>
      </c>
      <c r="F11" s="113" t="s">
        <v>433</v>
      </c>
      <c r="G11" s="113" t="s">
        <v>436</v>
      </c>
      <c r="H11" s="113">
        <v>2744</v>
      </c>
      <c r="I11" s="113">
        <v>2440</v>
      </c>
      <c r="J11" s="113">
        <v>1</v>
      </c>
      <c r="K11" s="123">
        <v>573.5</v>
      </c>
      <c r="L11" s="47" t="s">
        <v>282</v>
      </c>
    </row>
    <row r="12" spans="1:13" ht="20.100000000000001" customHeight="1">
      <c r="A12" s="113">
        <v>4</v>
      </c>
      <c r="B12" s="113" t="s">
        <v>437</v>
      </c>
      <c r="C12" s="113" t="s">
        <v>431</v>
      </c>
      <c r="D12" s="113" t="s">
        <v>432</v>
      </c>
      <c r="E12" s="113" t="s">
        <v>427</v>
      </c>
      <c r="F12" s="113" t="s">
        <v>433</v>
      </c>
      <c r="G12" s="113" t="s">
        <v>438</v>
      </c>
      <c r="H12" s="113">
        <v>2440</v>
      </c>
      <c r="I12" s="113">
        <v>2134</v>
      </c>
      <c r="J12" s="113">
        <v>1</v>
      </c>
      <c r="K12" s="123">
        <v>521.32000000000005</v>
      </c>
      <c r="L12" s="47" t="s">
        <v>365</v>
      </c>
    </row>
    <row r="13" spans="1:13" ht="20.100000000000001" customHeight="1">
      <c r="A13" s="113">
        <v>5</v>
      </c>
      <c r="B13" s="113" t="s">
        <v>439</v>
      </c>
      <c r="C13" s="113" t="s">
        <v>440</v>
      </c>
      <c r="D13" s="113" t="s">
        <v>441</v>
      </c>
      <c r="E13" s="113" t="s">
        <v>442</v>
      </c>
      <c r="F13" s="113" t="s">
        <v>443</v>
      </c>
      <c r="G13" s="113" t="s">
        <v>444</v>
      </c>
      <c r="H13" s="113">
        <v>5488</v>
      </c>
      <c r="I13" s="113">
        <v>3354</v>
      </c>
      <c r="J13" s="113">
        <v>1</v>
      </c>
      <c r="K13" s="123">
        <v>1230.47</v>
      </c>
      <c r="L13" s="47" t="s">
        <v>366</v>
      </c>
    </row>
    <row r="14" spans="1:13">
      <c r="A14" s="113">
        <v>6</v>
      </c>
      <c r="B14" s="113" t="s">
        <v>445</v>
      </c>
      <c r="C14" s="113" t="s">
        <v>425</v>
      </c>
      <c r="D14" s="113" t="s">
        <v>446</v>
      </c>
      <c r="E14" s="113" t="s">
        <v>427</v>
      </c>
      <c r="F14" s="113" t="s">
        <v>428</v>
      </c>
      <c r="G14" s="113" t="s">
        <v>447</v>
      </c>
      <c r="H14" s="113">
        <v>4040</v>
      </c>
      <c r="I14" s="113">
        <v>3252</v>
      </c>
      <c r="J14" s="113">
        <v>1</v>
      </c>
      <c r="K14" s="123">
        <v>1487.83</v>
      </c>
      <c r="L14" s="47" t="s">
        <v>367</v>
      </c>
    </row>
    <row r="15" spans="1:13" ht="20.100000000000001" customHeight="1">
      <c r="A15" s="113">
        <v>7</v>
      </c>
      <c r="B15" s="113" t="s">
        <v>448</v>
      </c>
      <c r="C15" s="113" t="s">
        <v>425</v>
      </c>
      <c r="D15" s="113" t="s">
        <v>449</v>
      </c>
      <c r="E15" s="113" t="s">
        <v>427</v>
      </c>
      <c r="F15" s="113" t="s">
        <v>428</v>
      </c>
      <c r="G15" s="113" t="s">
        <v>450</v>
      </c>
      <c r="H15" s="113">
        <v>1652</v>
      </c>
      <c r="I15" s="113">
        <v>3252</v>
      </c>
      <c r="J15" s="113">
        <v>1</v>
      </c>
      <c r="K15" s="123">
        <v>233.83</v>
      </c>
      <c r="L15" s="47" t="s">
        <v>368</v>
      </c>
    </row>
    <row r="16" spans="1:13" ht="20.100000000000001" customHeight="1">
      <c r="A16" s="113">
        <v>8</v>
      </c>
      <c r="B16" s="113" t="s">
        <v>451</v>
      </c>
      <c r="C16" s="113" t="s">
        <v>425</v>
      </c>
      <c r="D16" s="113" t="s">
        <v>449</v>
      </c>
      <c r="E16" s="113" t="s">
        <v>427</v>
      </c>
      <c r="F16" s="113" t="s">
        <v>428</v>
      </c>
      <c r="G16" s="113" t="s">
        <v>450</v>
      </c>
      <c r="H16" s="113">
        <v>1702</v>
      </c>
      <c r="I16" s="113">
        <v>3252</v>
      </c>
      <c r="J16" s="113">
        <v>1</v>
      </c>
      <c r="K16" s="123">
        <v>237.5</v>
      </c>
      <c r="L16" s="47" t="s">
        <v>369</v>
      </c>
    </row>
    <row r="17" spans="1:13" ht="20.100000000000001" customHeight="1">
      <c r="A17" s="113">
        <v>9</v>
      </c>
      <c r="B17" s="113" t="s">
        <v>452</v>
      </c>
      <c r="C17" s="113" t="s">
        <v>440</v>
      </c>
      <c r="D17" s="113" t="s">
        <v>453</v>
      </c>
      <c r="E17" s="113" t="s">
        <v>427</v>
      </c>
      <c r="F17" s="113" t="s">
        <v>433</v>
      </c>
      <c r="G17" s="113" t="s">
        <v>454</v>
      </c>
      <c r="H17" s="113">
        <v>2592</v>
      </c>
      <c r="I17" s="113">
        <v>3556</v>
      </c>
      <c r="J17" s="113">
        <v>1</v>
      </c>
      <c r="K17" s="123">
        <v>1008.61</v>
      </c>
      <c r="L17" s="47" t="s">
        <v>370</v>
      </c>
    </row>
    <row r="18" spans="1:13" ht="20.100000000000001" customHeight="1">
      <c r="A18" s="113">
        <v>10</v>
      </c>
      <c r="B18" s="113" t="s">
        <v>455</v>
      </c>
      <c r="C18" s="113" t="s">
        <v>440</v>
      </c>
      <c r="D18" s="113" t="s">
        <v>456</v>
      </c>
      <c r="E18" s="113" t="s">
        <v>427</v>
      </c>
      <c r="F18" s="113" t="s">
        <v>433</v>
      </c>
      <c r="G18" s="113" t="s">
        <v>457</v>
      </c>
      <c r="H18" s="113">
        <v>2592</v>
      </c>
      <c r="I18" s="113">
        <v>4318</v>
      </c>
      <c r="J18" s="113">
        <v>1</v>
      </c>
      <c r="K18" s="123">
        <v>1222.83</v>
      </c>
      <c r="L18" s="47" t="s">
        <v>371</v>
      </c>
    </row>
    <row r="19" spans="1:13" ht="20.100000000000001" customHeight="1">
      <c r="A19" s="113">
        <v>11</v>
      </c>
      <c r="B19" s="113" t="s">
        <v>458</v>
      </c>
      <c r="C19" s="113" t="s">
        <v>459</v>
      </c>
      <c r="D19" s="113" t="s">
        <v>460</v>
      </c>
      <c r="E19" s="113" t="s">
        <v>461</v>
      </c>
      <c r="F19" s="113" t="s">
        <v>428</v>
      </c>
      <c r="G19" s="113" t="s">
        <v>462</v>
      </c>
      <c r="H19" s="113">
        <v>1678</v>
      </c>
      <c r="I19" s="113">
        <v>916</v>
      </c>
      <c r="J19" s="113">
        <v>1</v>
      </c>
      <c r="K19" s="123">
        <v>95.49</v>
      </c>
      <c r="L19" s="47" t="s">
        <v>372</v>
      </c>
    </row>
    <row r="20" spans="1:13">
      <c r="A20" s="113">
        <v>12</v>
      </c>
      <c r="B20" s="113" t="s">
        <v>463</v>
      </c>
      <c r="C20" s="113" t="s">
        <v>459</v>
      </c>
      <c r="D20" s="113" t="s">
        <v>464</v>
      </c>
      <c r="E20" s="113" t="s">
        <v>461</v>
      </c>
      <c r="F20" s="113" t="s">
        <v>428</v>
      </c>
      <c r="G20" s="113" t="s">
        <v>465</v>
      </c>
      <c r="H20" s="113">
        <v>458</v>
      </c>
      <c r="I20" s="113">
        <v>916</v>
      </c>
      <c r="J20" s="113">
        <v>1</v>
      </c>
      <c r="K20" s="123">
        <v>43.61</v>
      </c>
      <c r="L20" s="47" t="s">
        <v>385</v>
      </c>
    </row>
    <row r="21" spans="1:13" ht="20.100000000000001" customHeight="1">
      <c r="A21" s="113">
        <v>13</v>
      </c>
      <c r="B21" s="113" t="s">
        <v>466</v>
      </c>
      <c r="C21" s="113" t="s">
        <v>467</v>
      </c>
      <c r="D21" s="113" t="s">
        <v>468</v>
      </c>
      <c r="E21" s="113" t="s">
        <v>461</v>
      </c>
      <c r="F21" s="113" t="s">
        <v>433</v>
      </c>
      <c r="G21" s="113" t="s">
        <v>469</v>
      </c>
      <c r="H21" s="113">
        <v>2744</v>
      </c>
      <c r="I21" s="113">
        <v>610</v>
      </c>
      <c r="J21" s="113">
        <v>1</v>
      </c>
      <c r="K21" s="123">
        <v>323.42</v>
      </c>
      <c r="L21" s="47" t="s">
        <v>386</v>
      </c>
    </row>
    <row r="22" spans="1:13" ht="20.100000000000001" customHeight="1">
      <c r="A22" s="113">
        <v>14</v>
      </c>
      <c r="B22" s="113" t="s">
        <v>470</v>
      </c>
      <c r="C22" s="113" t="s">
        <v>459</v>
      </c>
      <c r="D22" s="113" t="s">
        <v>460</v>
      </c>
      <c r="E22" s="113" t="s">
        <v>461</v>
      </c>
      <c r="F22" s="113" t="s">
        <v>428</v>
      </c>
      <c r="G22" s="113" t="s">
        <v>471</v>
      </c>
      <c r="H22" s="113">
        <v>1016</v>
      </c>
      <c r="I22" s="113">
        <v>1220</v>
      </c>
      <c r="J22" s="113">
        <v>1</v>
      </c>
      <c r="K22" s="123">
        <v>94.21</v>
      </c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05" sqref="O10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223</v>
      </c>
    </row>
    <row r="4" spans="1:25">
      <c r="A4" s="118">
        <f>'BD Team'!A9</f>
        <v>1</v>
      </c>
      <c r="B4" s="118" t="str">
        <f>'BD Team'!B9</f>
        <v>D3-WD</v>
      </c>
      <c r="C4" s="118" t="str">
        <f>'BD Team'!C9</f>
        <v>M15000</v>
      </c>
      <c r="D4" s="118" t="str">
        <f>'BD Team'!D9</f>
        <v>FRENCH DOOR WITH TOP FIXED</v>
      </c>
      <c r="E4" s="118" t="str">
        <f>'BD Team'!F9</f>
        <v>NO</v>
      </c>
      <c r="F4" s="121" t="str">
        <f>'BD Team'!G9</f>
        <v>08A - GF - DINING</v>
      </c>
      <c r="G4" s="118">
        <f>'BD Team'!H9</f>
        <v>2440</v>
      </c>
      <c r="H4" s="118">
        <f>'BD Team'!I9</f>
        <v>3354</v>
      </c>
      <c r="I4" s="118">
        <f>'BD Team'!J9</f>
        <v>1</v>
      </c>
      <c r="J4" s="103">
        <f t="shared" ref="J4:J53" si="0">G4*H4*I4*10.764/1000000</f>
        <v>88.089992640000006</v>
      </c>
      <c r="K4" s="172">
        <f>'BD Team'!K9</f>
        <v>702.13</v>
      </c>
      <c r="L4" s="171">
        <f>K4*I4</f>
        <v>702.13</v>
      </c>
      <c r="M4" s="170">
        <f>L4*'Changable Values'!$D$4</f>
        <v>58276.79</v>
      </c>
      <c r="N4" s="170" t="str">
        <f>'BD Team'!E9</f>
        <v>6MM</v>
      </c>
      <c r="O4" s="172">
        <v>1002</v>
      </c>
      <c r="P4" s="241"/>
      <c r="Q4" s="173"/>
      <c r="R4" s="185"/>
      <c r="S4" s="312"/>
      <c r="T4" s="313">
        <f>(G4+H4)*I4*2/300</f>
        <v>38.626666666666665</v>
      </c>
      <c r="U4" s="313">
        <f>SUM(G4:H4)*I4*2*4/1000</f>
        <v>46.351999999999997</v>
      </c>
      <c r="V4" s="313">
        <f>SUM(G4:H4)*I4*5*5*4/(1000*240)</f>
        <v>2.4141666666666666</v>
      </c>
      <c r="W4" s="313">
        <f>T4</f>
        <v>38.626666666666665</v>
      </c>
      <c r="X4" s="313">
        <f>W4*2</f>
        <v>77.25333333333333</v>
      </c>
      <c r="Y4" s="313">
        <f>SUM(G4:H4)*I4*4/1000</f>
        <v>23.175999999999998</v>
      </c>
    </row>
    <row r="5" spans="1:25">
      <c r="A5" s="118">
        <f>'BD Team'!A10</f>
        <v>2</v>
      </c>
      <c r="B5" s="118" t="str">
        <f>'BD Team'!B10</f>
        <v>SD1-WD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08B - GF - GBR</v>
      </c>
      <c r="G5" s="118">
        <f>'BD Team'!H10</f>
        <v>1380</v>
      </c>
      <c r="H5" s="118">
        <f>'BD Team'!I10</f>
        <v>2440</v>
      </c>
      <c r="I5" s="118">
        <f>'BD Team'!J10</f>
        <v>1</v>
      </c>
      <c r="J5" s="103">
        <f t="shared" si="0"/>
        <v>36.244540799999996</v>
      </c>
      <c r="K5" s="172">
        <f>'BD Team'!K10</f>
        <v>468.6</v>
      </c>
      <c r="L5" s="171">
        <f t="shared" ref="L5:L53" si="1">K5*I5</f>
        <v>468.6</v>
      </c>
      <c r="M5" s="170">
        <f>L5*'Changable Values'!$D$4</f>
        <v>38893.800000000003</v>
      </c>
      <c r="N5" s="170" t="str">
        <f>'BD Team'!E10</f>
        <v>6MM</v>
      </c>
      <c r="O5" s="172">
        <v>1002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25.466666666666665</v>
      </c>
      <c r="U5" s="313">
        <f t="shared" ref="U5:U68" si="3">SUM(G5:H5)*I5*2*4/1000</f>
        <v>30.56</v>
      </c>
      <c r="V5" s="313">
        <f t="shared" ref="V5:V68" si="4">SUM(G5:H5)*I5*5*5*4/(1000*240)</f>
        <v>1.5916666666666666</v>
      </c>
      <c r="W5" s="313">
        <f t="shared" ref="W5:W68" si="5">T5</f>
        <v>25.466666666666665</v>
      </c>
      <c r="X5" s="313">
        <f t="shared" ref="X5:X68" si="6">W5*2</f>
        <v>50.93333333333333</v>
      </c>
      <c r="Y5" s="313">
        <f t="shared" ref="Y5:Y68" si="7">SUM(G5:H5)*I5*4/1000</f>
        <v>15.28</v>
      </c>
    </row>
    <row r="6" spans="1:25">
      <c r="A6" s="118">
        <f>'BD Team'!A11</f>
        <v>3</v>
      </c>
      <c r="B6" s="118" t="str">
        <f>'BD Team'!B11</f>
        <v>SD2-WD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08C - FF - MBR</v>
      </c>
      <c r="G6" s="118">
        <f>'BD Team'!H11</f>
        <v>2744</v>
      </c>
      <c r="H6" s="118">
        <f>'BD Team'!I11</f>
        <v>2440</v>
      </c>
      <c r="I6" s="118">
        <f>'BD Team'!J11</f>
        <v>1</v>
      </c>
      <c r="J6" s="103">
        <f t="shared" si="0"/>
        <v>72.068855039999988</v>
      </c>
      <c r="K6" s="172">
        <f>'BD Team'!K11</f>
        <v>573.5</v>
      </c>
      <c r="L6" s="171">
        <f t="shared" si="1"/>
        <v>573.5</v>
      </c>
      <c r="M6" s="170">
        <f>L6*'Changable Values'!$D$4</f>
        <v>47600.5</v>
      </c>
      <c r="N6" s="170" t="str">
        <f>'BD Team'!E11</f>
        <v>6MM</v>
      </c>
      <c r="O6" s="172">
        <v>1002</v>
      </c>
      <c r="P6" s="241"/>
      <c r="Q6" s="173">
        <f t="shared" ref="Q6:Q7" si="8">50*10.764</f>
        <v>538.19999999999993</v>
      </c>
      <c r="R6" s="185"/>
      <c r="S6" s="312"/>
      <c r="T6" s="313">
        <f t="shared" si="2"/>
        <v>34.56</v>
      </c>
      <c r="U6" s="313">
        <f t="shared" si="3"/>
        <v>41.472000000000001</v>
      </c>
      <c r="V6" s="313">
        <f t="shared" si="4"/>
        <v>2.16</v>
      </c>
      <c r="W6" s="313">
        <f t="shared" si="5"/>
        <v>34.56</v>
      </c>
      <c r="X6" s="313">
        <f t="shared" si="6"/>
        <v>69.12</v>
      </c>
      <c r="Y6" s="313">
        <f t="shared" si="7"/>
        <v>20.736000000000001</v>
      </c>
    </row>
    <row r="7" spans="1:25">
      <c r="A7" s="118">
        <f>'BD Team'!A12</f>
        <v>4</v>
      </c>
      <c r="B7" s="118" t="str">
        <f>'BD Team'!B12</f>
        <v>SD3-WD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08D - FF -BEDROOM 2</v>
      </c>
      <c r="G7" s="118">
        <f>'BD Team'!H12</f>
        <v>2440</v>
      </c>
      <c r="H7" s="118">
        <f>'BD Team'!I12</f>
        <v>2134</v>
      </c>
      <c r="I7" s="118">
        <f>'BD Team'!J12</f>
        <v>1</v>
      </c>
      <c r="J7" s="103">
        <f t="shared" si="0"/>
        <v>56.04771744</v>
      </c>
      <c r="K7" s="172">
        <f>'BD Team'!K12</f>
        <v>521.32000000000005</v>
      </c>
      <c r="L7" s="171">
        <f t="shared" si="1"/>
        <v>521.32000000000005</v>
      </c>
      <c r="M7" s="170">
        <f>L7*'Changable Values'!$D$4</f>
        <v>43269.560000000005</v>
      </c>
      <c r="N7" s="170" t="str">
        <f>'BD Team'!E12</f>
        <v>6MM</v>
      </c>
      <c r="O7" s="172">
        <v>1002</v>
      </c>
      <c r="P7" s="241"/>
      <c r="Q7" s="173">
        <f t="shared" si="8"/>
        <v>538.19999999999993</v>
      </c>
      <c r="R7" s="185"/>
      <c r="S7" s="312"/>
      <c r="T7" s="313">
        <f t="shared" si="2"/>
        <v>30.493333333333332</v>
      </c>
      <c r="U7" s="313">
        <f t="shared" si="3"/>
        <v>36.591999999999999</v>
      </c>
      <c r="V7" s="313">
        <f t="shared" si="4"/>
        <v>1.9058333333333333</v>
      </c>
      <c r="W7" s="313">
        <f t="shared" si="5"/>
        <v>30.493333333333332</v>
      </c>
      <c r="X7" s="313">
        <f t="shared" si="6"/>
        <v>60.986666666666665</v>
      </c>
      <c r="Y7" s="313">
        <f t="shared" si="7"/>
        <v>18.295999999999999</v>
      </c>
    </row>
    <row r="8" spans="1:25">
      <c r="A8" s="118">
        <f>'BD Team'!A13</f>
        <v>5</v>
      </c>
      <c r="B8" s="118" t="str">
        <f>'BD Team'!B13</f>
        <v>GL1-WD</v>
      </c>
      <c r="C8" s="118" t="str">
        <f>'BD Team'!C13</f>
        <v>M14600 &amp; M15000</v>
      </c>
      <c r="D8" s="118" t="str">
        <f>'BD Team'!D13</f>
        <v>3 TRACK 3 SHUTTER SLIDING DOOR WITH TOP FIXED</v>
      </c>
      <c r="E8" s="118" t="str">
        <f>'BD Team'!F13</f>
        <v>RETRACTABLE</v>
      </c>
      <c r="F8" s="121" t="str">
        <f>'BD Team'!G13</f>
        <v>08E - GF - LOUNGE</v>
      </c>
      <c r="G8" s="118">
        <f>'BD Team'!H13</f>
        <v>5488</v>
      </c>
      <c r="H8" s="118">
        <f>'BD Team'!I13</f>
        <v>3354</v>
      </c>
      <c r="I8" s="118">
        <f>'BD Team'!J13</f>
        <v>1</v>
      </c>
      <c r="J8" s="103">
        <f t="shared" si="0"/>
        <v>198.13027852799999</v>
      </c>
      <c r="K8" s="172">
        <f>'BD Team'!K13</f>
        <v>1230.47</v>
      </c>
      <c r="L8" s="171">
        <f t="shared" si="1"/>
        <v>1230.47</v>
      </c>
      <c r="M8" s="170">
        <f>L8*'Changable Values'!$D$4</f>
        <v>102129.01000000001</v>
      </c>
      <c r="N8" s="170" t="str">
        <f>'BD Team'!E13</f>
        <v>8MM &amp; 6MM</v>
      </c>
      <c r="O8" s="172">
        <v>1322</v>
      </c>
      <c r="P8" s="241"/>
      <c r="Q8" s="173"/>
      <c r="R8" s="185">
        <f>400*10.764</f>
        <v>4305.5999999999995</v>
      </c>
      <c r="S8" s="312"/>
      <c r="T8" s="313">
        <f t="shared" si="2"/>
        <v>58.946666666666665</v>
      </c>
      <c r="U8" s="313">
        <f t="shared" si="3"/>
        <v>70.736000000000004</v>
      </c>
      <c r="V8" s="313">
        <f t="shared" si="4"/>
        <v>3.6841666666666666</v>
      </c>
      <c r="W8" s="313">
        <f t="shared" si="5"/>
        <v>58.946666666666665</v>
      </c>
      <c r="X8" s="313">
        <f t="shared" si="6"/>
        <v>117.89333333333333</v>
      </c>
      <c r="Y8" s="313">
        <f t="shared" si="7"/>
        <v>35.368000000000002</v>
      </c>
    </row>
    <row r="9" spans="1:25">
      <c r="A9" s="118">
        <f>'BD Team'!A14</f>
        <v>6</v>
      </c>
      <c r="B9" s="118" t="str">
        <f>'BD Team'!B14</f>
        <v>GL2-WD</v>
      </c>
      <c r="C9" s="118" t="str">
        <f>'BD Team'!C14</f>
        <v>M15000</v>
      </c>
      <c r="D9" s="118" t="str">
        <f>'BD Team'!D14</f>
        <v>2 SIDE HUNG WINDOWS WITH 7 FIXED</v>
      </c>
      <c r="E9" s="118" t="str">
        <f>'BD Team'!F14</f>
        <v>NO</v>
      </c>
      <c r="F9" s="121" t="str">
        <f>'BD Team'!G14</f>
        <v>08F - GF - LOUNGE</v>
      </c>
      <c r="G9" s="118">
        <f>'BD Team'!H14</f>
        <v>4040</v>
      </c>
      <c r="H9" s="118">
        <f>'BD Team'!I14</f>
        <v>3252</v>
      </c>
      <c r="I9" s="118">
        <f>'BD Team'!J14</f>
        <v>1</v>
      </c>
      <c r="J9" s="103">
        <f t="shared" si="0"/>
        <v>141.41829312000002</v>
      </c>
      <c r="K9" s="172">
        <f>'BD Team'!K14</f>
        <v>1487.83</v>
      </c>
      <c r="L9" s="171">
        <f t="shared" si="1"/>
        <v>1487.83</v>
      </c>
      <c r="M9" s="170">
        <f>L9*'Changable Values'!$D$4</f>
        <v>123489.89</v>
      </c>
      <c r="N9" s="170" t="str">
        <f>'BD Team'!E14</f>
        <v>6MM</v>
      </c>
      <c r="O9" s="172">
        <v>1002</v>
      </c>
      <c r="P9" s="241"/>
      <c r="Q9" s="173"/>
      <c r="R9" s="185"/>
      <c r="S9" s="312"/>
      <c r="T9" s="313">
        <f t="shared" si="2"/>
        <v>48.613333333333337</v>
      </c>
      <c r="U9" s="313">
        <f t="shared" si="3"/>
        <v>58.335999999999999</v>
      </c>
      <c r="V9" s="313">
        <f t="shared" si="4"/>
        <v>3.0383333333333336</v>
      </c>
      <c r="W9" s="313">
        <f t="shared" si="5"/>
        <v>48.613333333333337</v>
      </c>
      <c r="X9" s="313">
        <f t="shared" si="6"/>
        <v>97.226666666666674</v>
      </c>
      <c r="Y9" s="313">
        <f t="shared" si="7"/>
        <v>29.167999999999999</v>
      </c>
    </row>
    <row r="10" spans="1:25">
      <c r="A10" s="118">
        <f>'BD Team'!A15</f>
        <v>7</v>
      </c>
      <c r="B10" s="118" t="str">
        <f>'BD Team'!B15</f>
        <v>W6A</v>
      </c>
      <c r="C10" s="118" t="str">
        <f>'BD Team'!C15</f>
        <v>M15000</v>
      </c>
      <c r="D10" s="118" t="str">
        <f>'BD Team'!D15</f>
        <v>FIXED GLASS 3 NO'S</v>
      </c>
      <c r="E10" s="118" t="str">
        <f>'BD Team'!F15</f>
        <v>NO</v>
      </c>
      <c r="F10" s="121" t="str">
        <f>'BD Team'!G15</f>
        <v>08G - GF - DINING</v>
      </c>
      <c r="G10" s="118">
        <f>'BD Team'!H15</f>
        <v>1652</v>
      </c>
      <c r="H10" s="118">
        <f>'BD Team'!I15</f>
        <v>3252</v>
      </c>
      <c r="I10" s="118">
        <f>'BD Team'!J15</f>
        <v>1</v>
      </c>
      <c r="J10" s="103">
        <f t="shared" si="0"/>
        <v>57.827480255999994</v>
      </c>
      <c r="K10" s="172">
        <f>'BD Team'!K15</f>
        <v>233.83</v>
      </c>
      <c r="L10" s="171">
        <f t="shared" si="1"/>
        <v>233.83</v>
      </c>
      <c r="M10" s="170">
        <f>L10*'Changable Values'!$D$4</f>
        <v>19407.89</v>
      </c>
      <c r="N10" s="170" t="str">
        <f>'BD Team'!E15</f>
        <v>6MM</v>
      </c>
      <c r="O10" s="172">
        <v>1002</v>
      </c>
      <c r="P10" s="241"/>
      <c r="Q10" s="173"/>
      <c r="R10" s="185"/>
      <c r="S10" s="312"/>
      <c r="T10" s="313">
        <f t="shared" si="2"/>
        <v>32.693333333333335</v>
      </c>
      <c r="U10" s="313">
        <f t="shared" si="3"/>
        <v>39.231999999999999</v>
      </c>
      <c r="V10" s="313">
        <f t="shared" si="4"/>
        <v>2.0433333333333334</v>
      </c>
      <c r="W10" s="313">
        <f t="shared" si="5"/>
        <v>32.693333333333335</v>
      </c>
      <c r="X10" s="313">
        <f t="shared" si="6"/>
        <v>65.38666666666667</v>
      </c>
      <c r="Y10" s="313">
        <f t="shared" si="7"/>
        <v>19.616</v>
      </c>
    </row>
    <row r="11" spans="1:25">
      <c r="A11" s="118">
        <f>'BD Team'!A16</f>
        <v>8</v>
      </c>
      <c r="B11" s="118" t="str">
        <f>'BD Team'!B16</f>
        <v>W6B</v>
      </c>
      <c r="C11" s="118" t="str">
        <f>'BD Team'!C16</f>
        <v>M15000</v>
      </c>
      <c r="D11" s="118" t="str">
        <f>'BD Team'!D16</f>
        <v>FIXED GLASS 3 NO'S</v>
      </c>
      <c r="E11" s="118" t="str">
        <f>'BD Team'!F16</f>
        <v>NO</v>
      </c>
      <c r="F11" s="121" t="str">
        <f>'BD Team'!G16</f>
        <v>08G - GF - DINING</v>
      </c>
      <c r="G11" s="118">
        <f>'BD Team'!H16</f>
        <v>1702</v>
      </c>
      <c r="H11" s="118">
        <f>'BD Team'!I16</f>
        <v>3252</v>
      </c>
      <c r="I11" s="118">
        <f>'BD Team'!J16</f>
        <v>1</v>
      </c>
      <c r="J11" s="103">
        <f t="shared" si="0"/>
        <v>59.577706655999997</v>
      </c>
      <c r="K11" s="172">
        <f>'BD Team'!K16</f>
        <v>237.5</v>
      </c>
      <c r="L11" s="171">
        <f t="shared" si="1"/>
        <v>237.5</v>
      </c>
      <c r="M11" s="170">
        <f>L11*'Changable Values'!$D$4</f>
        <v>19712.5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2"/>
        <v>33.026666666666664</v>
      </c>
      <c r="U11" s="313">
        <f t="shared" si="3"/>
        <v>39.631999999999998</v>
      </c>
      <c r="V11" s="313">
        <f t="shared" si="4"/>
        <v>2.0641666666666665</v>
      </c>
      <c r="W11" s="313">
        <f t="shared" si="5"/>
        <v>33.026666666666664</v>
      </c>
      <c r="X11" s="313">
        <f t="shared" si="6"/>
        <v>66.053333333333327</v>
      </c>
      <c r="Y11" s="313">
        <f t="shared" si="7"/>
        <v>19.815999999999999</v>
      </c>
    </row>
    <row r="12" spans="1:25">
      <c r="A12" s="118">
        <f>'BD Team'!A17</f>
        <v>9</v>
      </c>
      <c r="B12" s="118" t="str">
        <f>'BD Team'!B17</f>
        <v>W9A</v>
      </c>
      <c r="C12" s="118" t="str">
        <f>'BD Team'!C17</f>
        <v>M14600 &amp; M15000</v>
      </c>
      <c r="D12" s="118" t="str">
        <f>'BD Team'!D17</f>
        <v>3 TRACK 2 SHUTTER SLIDING DOOR WITH 4 FIXED</v>
      </c>
      <c r="E12" s="118" t="str">
        <f>'BD Team'!F17</f>
        <v>SS</v>
      </c>
      <c r="F12" s="121" t="str">
        <f>'BD Team'!G17</f>
        <v>08I - FF - STAIRCASE</v>
      </c>
      <c r="G12" s="118">
        <f>'BD Team'!H17</f>
        <v>2592</v>
      </c>
      <c r="H12" s="118">
        <f>'BD Team'!I17</f>
        <v>3556</v>
      </c>
      <c r="I12" s="118">
        <f>'BD Team'!J17</f>
        <v>1</v>
      </c>
      <c r="J12" s="103">
        <f t="shared" si="0"/>
        <v>99.213424127999986</v>
      </c>
      <c r="K12" s="172">
        <f>'BD Team'!K17</f>
        <v>1008.61</v>
      </c>
      <c r="L12" s="171">
        <f t="shared" si="1"/>
        <v>1008.61</v>
      </c>
      <c r="M12" s="170">
        <f>L12*'Changable Values'!$D$4</f>
        <v>83714.63</v>
      </c>
      <c r="N12" s="170" t="str">
        <f>'BD Team'!E17</f>
        <v>6MM</v>
      </c>
      <c r="O12" s="172">
        <v>1002</v>
      </c>
      <c r="P12" s="241"/>
      <c r="Q12" s="173">
        <f t="shared" ref="Q12:Q13" si="9">50*10.764</f>
        <v>538.19999999999993</v>
      </c>
      <c r="R12" s="185"/>
      <c r="S12" s="312"/>
      <c r="T12" s="313">
        <f t="shared" si="2"/>
        <v>40.986666666666665</v>
      </c>
      <c r="U12" s="313">
        <f t="shared" si="3"/>
        <v>49.183999999999997</v>
      </c>
      <c r="V12" s="313">
        <f t="shared" si="4"/>
        <v>2.5616666666666665</v>
      </c>
      <c r="W12" s="313">
        <f t="shared" si="5"/>
        <v>40.986666666666665</v>
      </c>
      <c r="X12" s="313">
        <f t="shared" si="6"/>
        <v>81.973333333333329</v>
      </c>
      <c r="Y12" s="313">
        <f t="shared" si="7"/>
        <v>24.591999999999999</v>
      </c>
    </row>
    <row r="13" spans="1:25">
      <c r="A13" s="118">
        <f>'BD Team'!A18</f>
        <v>10</v>
      </c>
      <c r="B13" s="118" t="str">
        <f>'BD Team'!B18</f>
        <v>W9B</v>
      </c>
      <c r="C13" s="118" t="str">
        <f>'BD Team'!C18</f>
        <v>M14600 &amp; M15000</v>
      </c>
      <c r="D13" s="118" t="str">
        <f>'BD Team'!D18</f>
        <v>3 TRACK 2 SHUTTER SLIDING DOOR WITH 7 FIXED</v>
      </c>
      <c r="E13" s="118" t="str">
        <f>'BD Team'!F18</f>
        <v>SS</v>
      </c>
      <c r="F13" s="121" t="str">
        <f>'BD Team'!G18</f>
        <v>08J - SF - STAIRCASE</v>
      </c>
      <c r="G13" s="118">
        <f>'BD Team'!H18</f>
        <v>2592</v>
      </c>
      <c r="H13" s="118">
        <f>'BD Team'!I18</f>
        <v>4318</v>
      </c>
      <c r="I13" s="118">
        <f>'BD Team'!J18</f>
        <v>1</v>
      </c>
      <c r="J13" s="103">
        <f t="shared" si="0"/>
        <v>120.47344358399999</v>
      </c>
      <c r="K13" s="172">
        <f>'BD Team'!K18</f>
        <v>1222.83</v>
      </c>
      <c r="L13" s="171">
        <f t="shared" si="1"/>
        <v>1222.83</v>
      </c>
      <c r="M13" s="170">
        <f>L13*'Changable Values'!$D$4</f>
        <v>101494.89</v>
      </c>
      <c r="N13" s="170" t="str">
        <f>'BD Team'!E18</f>
        <v>6MM</v>
      </c>
      <c r="O13" s="172">
        <v>1002</v>
      </c>
      <c r="P13" s="241"/>
      <c r="Q13" s="173">
        <f t="shared" si="9"/>
        <v>538.19999999999993</v>
      </c>
      <c r="R13" s="185"/>
      <c r="S13" s="312"/>
      <c r="T13" s="313">
        <f t="shared" si="2"/>
        <v>46.06666666666667</v>
      </c>
      <c r="U13" s="313">
        <f t="shared" si="3"/>
        <v>55.28</v>
      </c>
      <c r="V13" s="313">
        <f t="shared" si="4"/>
        <v>2.8791666666666669</v>
      </c>
      <c r="W13" s="313">
        <f t="shared" si="5"/>
        <v>46.06666666666667</v>
      </c>
      <c r="X13" s="313">
        <f t="shared" si="6"/>
        <v>92.13333333333334</v>
      </c>
      <c r="Y13" s="313">
        <f t="shared" si="7"/>
        <v>27.64</v>
      </c>
    </row>
    <row r="14" spans="1:25">
      <c r="A14" s="118">
        <f>'BD Team'!A19</f>
        <v>11</v>
      </c>
      <c r="B14" s="118" t="str">
        <f>'BD Team'!B19</f>
        <v>V1</v>
      </c>
      <c r="C14" s="118" t="str">
        <f>'BD Team'!C19</f>
        <v>M940</v>
      </c>
      <c r="D14" s="118" t="str">
        <f>'BD Team'!D19</f>
        <v>2 FIXED GLASS WITH EXHAUST PROVISION</v>
      </c>
      <c r="E14" s="118" t="str">
        <f>'BD Team'!F19</f>
        <v>NO</v>
      </c>
      <c r="F14" s="121" t="str">
        <f>'BD Team'!G19</f>
        <v>GF - GUEST TOILET</v>
      </c>
      <c r="G14" s="118">
        <f>'BD Team'!H19</f>
        <v>1678</v>
      </c>
      <c r="H14" s="118">
        <f>'BD Team'!I19</f>
        <v>916</v>
      </c>
      <c r="I14" s="118">
        <f>'BD Team'!J19</f>
        <v>1</v>
      </c>
      <c r="J14" s="103">
        <f t="shared" si="0"/>
        <v>16.544784671999999</v>
      </c>
      <c r="K14" s="172">
        <f>'BD Team'!K19</f>
        <v>95.49</v>
      </c>
      <c r="L14" s="171">
        <f t="shared" si="1"/>
        <v>95.49</v>
      </c>
      <c r="M14" s="170">
        <f>L14*'Changable Values'!$D$4</f>
        <v>7925.6699999999992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2"/>
        <v>17.293333333333333</v>
      </c>
      <c r="U14" s="313">
        <f t="shared" si="3"/>
        <v>20.751999999999999</v>
      </c>
      <c r="V14" s="313">
        <f t="shared" si="4"/>
        <v>1.0808333333333333</v>
      </c>
      <c r="W14" s="313">
        <f t="shared" si="5"/>
        <v>17.293333333333333</v>
      </c>
      <c r="X14" s="313">
        <f t="shared" si="6"/>
        <v>34.586666666666666</v>
      </c>
      <c r="Y14" s="313">
        <f t="shared" si="7"/>
        <v>10.375999999999999</v>
      </c>
    </row>
    <row r="15" spans="1:25">
      <c r="A15" s="118">
        <f>'BD Team'!A20</f>
        <v>12</v>
      </c>
      <c r="B15" s="118" t="str">
        <f>'BD Team'!B20</f>
        <v>V2</v>
      </c>
      <c r="C15" s="118" t="str">
        <f>'BD Team'!C20</f>
        <v>M940</v>
      </c>
      <c r="D15" s="118" t="str">
        <f>'BD Team'!D20</f>
        <v>FIXED GLASS WITH EXHAUST PROVISION</v>
      </c>
      <c r="E15" s="118" t="str">
        <f>'BD Team'!F20</f>
        <v>NO</v>
      </c>
      <c r="F15" s="121" t="str">
        <f>'BD Team'!G20</f>
        <v>FF - BEDROOM TOILET</v>
      </c>
      <c r="G15" s="118">
        <f>'BD Team'!H20</f>
        <v>458</v>
      </c>
      <c r="H15" s="118">
        <f>'BD Team'!I20</f>
        <v>916</v>
      </c>
      <c r="I15" s="118">
        <f>'BD Team'!J20</f>
        <v>1</v>
      </c>
      <c r="J15" s="103">
        <f t="shared" si="0"/>
        <v>4.5157993919999999</v>
      </c>
      <c r="K15" s="172">
        <f>'BD Team'!K20</f>
        <v>43.61</v>
      </c>
      <c r="L15" s="171">
        <f t="shared" si="1"/>
        <v>43.61</v>
      </c>
      <c r="M15" s="170">
        <f>L15*'Changable Values'!$D$4</f>
        <v>3619.63</v>
      </c>
      <c r="N15" s="170" t="str">
        <f>'BD Team'!E20</f>
        <v>6MM (F)</v>
      </c>
      <c r="O15" s="172">
        <v>2003</v>
      </c>
      <c r="P15" s="241"/>
      <c r="Q15" s="173"/>
      <c r="R15" s="185"/>
      <c r="S15" s="312"/>
      <c r="T15" s="313">
        <f t="shared" si="2"/>
        <v>9.16</v>
      </c>
      <c r="U15" s="313">
        <f t="shared" si="3"/>
        <v>10.992000000000001</v>
      </c>
      <c r="V15" s="313">
        <f t="shared" si="4"/>
        <v>0.57250000000000001</v>
      </c>
      <c r="W15" s="313">
        <f t="shared" si="5"/>
        <v>9.16</v>
      </c>
      <c r="X15" s="313">
        <f t="shared" si="6"/>
        <v>18.32</v>
      </c>
      <c r="Y15" s="313">
        <f t="shared" si="7"/>
        <v>5.4960000000000004</v>
      </c>
    </row>
    <row r="16" spans="1:25">
      <c r="A16" s="118">
        <f>'BD Team'!A21</f>
        <v>13</v>
      </c>
      <c r="B16" s="118" t="str">
        <f>'BD Team'!B21</f>
        <v>V3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FF - MASTER WARDROBE</v>
      </c>
      <c r="G16" s="118">
        <f>'BD Team'!H21</f>
        <v>2744</v>
      </c>
      <c r="H16" s="118">
        <f>'BD Team'!I21</f>
        <v>610</v>
      </c>
      <c r="I16" s="118">
        <f>'BD Team'!J21</f>
        <v>1</v>
      </c>
      <c r="J16" s="103">
        <f t="shared" si="0"/>
        <v>18.017213759999997</v>
      </c>
      <c r="K16" s="172">
        <f>'BD Team'!K21</f>
        <v>323.42</v>
      </c>
      <c r="L16" s="171">
        <f t="shared" si="1"/>
        <v>323.42</v>
      </c>
      <c r="M16" s="170">
        <f>L16*'Changable Values'!$D$4</f>
        <v>26843.86</v>
      </c>
      <c r="N16" s="170" t="str">
        <f>'BD Team'!E21</f>
        <v>6MM (F)</v>
      </c>
      <c r="O16" s="172">
        <v>2003</v>
      </c>
      <c r="P16" s="241"/>
      <c r="Q16" s="173">
        <f>50*10.764</f>
        <v>538.19999999999993</v>
      </c>
      <c r="R16" s="185"/>
      <c r="S16" s="312"/>
      <c r="T16" s="313">
        <f t="shared" si="2"/>
        <v>22.36</v>
      </c>
      <c r="U16" s="313">
        <f t="shared" si="3"/>
        <v>26.832000000000001</v>
      </c>
      <c r="V16" s="313">
        <f t="shared" si="4"/>
        <v>1.3975</v>
      </c>
      <c r="W16" s="313">
        <f t="shared" si="5"/>
        <v>22.36</v>
      </c>
      <c r="X16" s="313">
        <f t="shared" si="6"/>
        <v>44.72</v>
      </c>
      <c r="Y16" s="313">
        <f t="shared" si="7"/>
        <v>13.416</v>
      </c>
    </row>
    <row r="17" spans="1:25">
      <c r="A17" s="118">
        <f>'BD Team'!A22</f>
        <v>14</v>
      </c>
      <c r="B17" s="118" t="str">
        <f>'BD Team'!B22</f>
        <v>V4</v>
      </c>
      <c r="C17" s="118" t="str">
        <f>'BD Team'!C22</f>
        <v>M940</v>
      </c>
      <c r="D17" s="118" t="str">
        <f>'BD Team'!D22</f>
        <v>2 FIXED GLASS WITH EXHAUST PROVISION</v>
      </c>
      <c r="E17" s="118" t="str">
        <f>'BD Team'!F22</f>
        <v>NO</v>
      </c>
      <c r="F17" s="121" t="str">
        <f>'BD Team'!G22</f>
        <v>GF - POWDER ROOM</v>
      </c>
      <c r="G17" s="118">
        <f>'BD Team'!H22</f>
        <v>1016</v>
      </c>
      <c r="H17" s="118">
        <f>'BD Team'!I22</f>
        <v>1220</v>
      </c>
      <c r="I17" s="118">
        <f>'BD Team'!J22</f>
        <v>1</v>
      </c>
      <c r="J17" s="103">
        <f t="shared" si="0"/>
        <v>13.34219328</v>
      </c>
      <c r="K17" s="172">
        <f>'BD Team'!K22</f>
        <v>94.21</v>
      </c>
      <c r="L17" s="171">
        <f t="shared" si="1"/>
        <v>94.21</v>
      </c>
      <c r="M17" s="170">
        <f>L17*'Changable Values'!$D$4</f>
        <v>7819.4299999999994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2"/>
        <v>14.906666666666666</v>
      </c>
      <c r="U17" s="313">
        <f t="shared" si="3"/>
        <v>17.888000000000002</v>
      </c>
      <c r="V17" s="313">
        <f t="shared" si="4"/>
        <v>0.93166666666666664</v>
      </c>
      <c r="W17" s="313">
        <f t="shared" si="5"/>
        <v>14.906666666666666</v>
      </c>
      <c r="X17" s="313">
        <f t="shared" si="6"/>
        <v>29.813333333333333</v>
      </c>
      <c r="Y17" s="313">
        <f t="shared" si="7"/>
        <v>8.9440000000000008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8243.3499999999985</v>
      </c>
      <c r="L104" s="168">
        <f>SUM(L4:L103)</f>
        <v>8243.3499999999985</v>
      </c>
      <c r="M104" s="168">
        <f>SUM(M4:M103)</f>
        <v>684198.05000000016</v>
      </c>
      <c r="T104" s="314">
        <f t="shared" ref="T104:Y104" si="18">SUM(T4:T103)</f>
        <v>453.20000000000005</v>
      </c>
      <c r="U104" s="314">
        <f t="shared" si="18"/>
        <v>543.84</v>
      </c>
      <c r="V104" s="314">
        <f t="shared" si="18"/>
        <v>28.325000000000003</v>
      </c>
      <c r="W104" s="314">
        <f t="shared" si="18"/>
        <v>453.20000000000005</v>
      </c>
      <c r="X104" s="314">
        <f t="shared" si="18"/>
        <v>906.40000000000009</v>
      </c>
      <c r="Y104" s="314">
        <f t="shared" si="18"/>
        <v>271.92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7" sqref="D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DOOR WITH TOP FIXED</v>
      </c>
      <c r="D8" s="131" t="str">
        <f>Pricing!B4</f>
        <v>D3-WD</v>
      </c>
      <c r="E8" s="132" t="str">
        <f>Pricing!N4</f>
        <v>6MM</v>
      </c>
      <c r="F8" s="68">
        <f>Pricing!G4</f>
        <v>2440</v>
      </c>
      <c r="G8" s="68">
        <f>Pricing!H4</f>
        <v>3354</v>
      </c>
      <c r="H8" s="100">
        <f t="shared" ref="H8:H57" si="0">(F8*G8)/1000000</f>
        <v>8.1837599999999995</v>
      </c>
      <c r="I8" s="70">
        <f>Pricing!I4</f>
        <v>1</v>
      </c>
      <c r="J8" s="69">
        <f t="shared" ref="J8" si="1">H8*I8</f>
        <v>8.1837599999999995</v>
      </c>
      <c r="K8" s="71">
        <f t="shared" ref="K8" si="2">J8*10.764</f>
        <v>88.089992639999991</v>
      </c>
      <c r="L8" s="69"/>
      <c r="M8" s="72"/>
      <c r="N8" s="72"/>
      <c r="O8" s="72">
        <f t="shared" ref="O8:O35" si="3">N8*M8*L8/1000000</f>
        <v>0</v>
      </c>
      <c r="P8" s="73">
        <f>Pricing!M4</f>
        <v>58276.79</v>
      </c>
      <c r="Q8" s="74">
        <f t="shared" ref="Q8:Q56" si="4">P8*$Q$6</f>
        <v>5827.6790000000001</v>
      </c>
      <c r="R8" s="74">
        <f t="shared" ref="R8:R56" si="5">(P8+Q8)*$R$6</f>
        <v>7051.4915899999996</v>
      </c>
      <c r="S8" s="74">
        <f t="shared" ref="S8:S56" si="6">(P8+Q8+R8)*$S$6</f>
        <v>355.77980295000003</v>
      </c>
      <c r="T8" s="74">
        <f t="shared" ref="T8:T56" si="7">(P8+Q8+R8+S8)*$T$6</f>
        <v>715.11740392950003</v>
      </c>
      <c r="U8" s="72">
        <f t="shared" ref="U8:U56" si="8">SUM(P8:T8)</f>
        <v>72226.8577968795</v>
      </c>
      <c r="V8" s="74">
        <f t="shared" ref="V8:V56" si="9">U8*$V$6</f>
        <v>1083.4028669531924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8200.12752</v>
      </c>
      <c r="AE8" s="76">
        <f>((((F8+G8)*2)/305)*I8*$AE$7)</f>
        <v>949.83606557377038</v>
      </c>
      <c r="AF8" s="346">
        <f>(((((F8*4)+(G8*4))/1000)*$AF$6*$AG$6)/300)*I8*$AF$7</f>
        <v>973.39199999999983</v>
      </c>
      <c r="AG8" s="347"/>
      <c r="AH8" s="76">
        <f>(((F8+G8))*I8/1000)*8*$AH$7</f>
        <v>34.763999999999996</v>
      </c>
      <c r="AI8" s="76">
        <f t="shared" ref="AI8:AI57" si="15">(((F8+G8)*2*I8)/1000)*2*$AI$7</f>
        <v>115.88</v>
      </c>
      <c r="AJ8" s="76">
        <f>J8*Pricing!Q4</f>
        <v>0</v>
      </c>
      <c r="AK8" s="76">
        <f>J8*Pricing!R4</f>
        <v>0</v>
      </c>
      <c r="AL8" s="76">
        <f t="shared" ref="AL8:AL39" si="16">J8*$AL$6</f>
        <v>8808.9992639999982</v>
      </c>
      <c r="AM8" s="77">
        <f t="shared" ref="AM8:AM39" si="17">$AM$6*J8</f>
        <v>0</v>
      </c>
      <c r="AN8" s="76">
        <f t="shared" ref="AN8:AN39" si="18">$AN$6*J8</f>
        <v>7047.1994111999984</v>
      </c>
      <c r="AO8" s="72">
        <f t="shared" ref="AO8:AO39" si="19">SUM(U8:V8)+SUM(AC8:AI8)-AD8</f>
        <v>75384.132729406469</v>
      </c>
      <c r="AP8" s="74">
        <f t="shared" ref="AP8:AP39" si="20">AO8*$AP$6</f>
        <v>94230.165911758086</v>
      </c>
      <c r="AQ8" s="74">
        <f t="shared" ref="AQ8:AQ56" si="21">(AO8+AP8)*$AQ$6</f>
        <v>0</v>
      </c>
      <c r="AR8" s="74">
        <f t="shared" ref="AR8:AR39" si="22">SUM(AO8:AQ8)/J8</f>
        <v>20725.717596943774</v>
      </c>
      <c r="AS8" s="72">
        <f t="shared" ref="AS8:AS39" si="23">SUM(AJ8:AQ8)+AD8+AB8</f>
        <v>193670.62483636456</v>
      </c>
      <c r="AT8" s="72">
        <f t="shared" ref="AT8:AT39" si="24">AS8/J8</f>
        <v>23665.237596943774</v>
      </c>
      <c r="AU8" s="78">
        <f t="shared" ref="AU8:AU56" si="25">AT8/10.764</f>
        <v>2198.5542174789834</v>
      </c>
      <c r="AV8" s="79">
        <f t="shared" ref="AV8:AV39" si="26">K8/$K$109</f>
        <v>8.9749302580091769E-2</v>
      </c>
      <c r="AW8" s="80">
        <f t="shared" ref="AW8:AW39" si="27">(U8+V8)/(J8*10.764)</f>
        <v>832.22007933899977</v>
      </c>
      <c r="AX8" s="81">
        <f t="shared" ref="AX8:AX39" si="28">SUM(W8:AN8,AP8)/(J8*10.764)</f>
        <v>1366.3341381399832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SD1-WD</v>
      </c>
      <c r="E9" s="132" t="str">
        <f>Pricing!N5</f>
        <v>6MM</v>
      </c>
      <c r="F9" s="68">
        <f>Pricing!G5</f>
        <v>1380</v>
      </c>
      <c r="G9" s="68">
        <f>Pricing!H5</f>
        <v>2440</v>
      </c>
      <c r="H9" s="100">
        <f t="shared" si="0"/>
        <v>3.3672</v>
      </c>
      <c r="I9" s="70">
        <f>Pricing!I5</f>
        <v>1</v>
      </c>
      <c r="J9" s="69">
        <f t="shared" ref="J9:J58" si="30">H9*I9</f>
        <v>3.3672</v>
      </c>
      <c r="K9" s="71">
        <f t="shared" ref="K9:K58" si="31">J9*10.764</f>
        <v>36.244540799999996</v>
      </c>
      <c r="L9" s="69"/>
      <c r="M9" s="72"/>
      <c r="N9" s="72"/>
      <c r="O9" s="72">
        <f t="shared" si="3"/>
        <v>0</v>
      </c>
      <c r="P9" s="73">
        <f>Pricing!M5</f>
        <v>38893.800000000003</v>
      </c>
      <c r="Q9" s="74">
        <f t="shared" ref="Q9:Q14" si="32">P9*$Q$6</f>
        <v>3889.3800000000006</v>
      </c>
      <c r="R9" s="74">
        <f t="shared" ref="R9:R14" si="33">(P9+Q9)*$R$6</f>
        <v>4706.1498000000001</v>
      </c>
      <c r="S9" s="74">
        <f t="shared" ref="S9:S14" si="34">(P9+Q9+R9)*$S$6</f>
        <v>237.44664900000001</v>
      </c>
      <c r="T9" s="74">
        <f t="shared" ref="T9:T14" si="35">(P9+Q9+R9+S9)*$T$6</f>
        <v>477.26776448999999</v>
      </c>
      <c r="U9" s="72">
        <f t="shared" ref="U9:U14" si="36">SUM(P9:T9)</f>
        <v>48204.04421349</v>
      </c>
      <c r="V9" s="74">
        <f t="shared" ref="V9:V14" si="37">U9*$V$6</f>
        <v>723.06066320234993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3373.9344000000001</v>
      </c>
      <c r="AE9" s="76">
        <f t="shared" ref="AE9:AE57" si="43">((((F9+G9)*2)/305)*I9*$AE$7)</f>
        <v>626.22950819672133</v>
      </c>
      <c r="AF9" s="346">
        <f t="shared" ref="AF9:AF57" si="44">(((((F9*4)+(G9*4))/1000)*$AF$6*$AG$6)/300)*I9*$AF$7</f>
        <v>641.75999999999988</v>
      </c>
      <c r="AG9" s="347"/>
      <c r="AH9" s="76">
        <f t="shared" ref="AH9:AH72" si="45">(((F9+G9))*I9/1000)*8*$AH$7</f>
        <v>22.919999999999998</v>
      </c>
      <c r="AI9" s="76">
        <f t="shared" si="15"/>
        <v>76.399999999999991</v>
      </c>
      <c r="AJ9" s="76">
        <f>J9*Pricing!Q5</f>
        <v>1812.2270399999998</v>
      </c>
      <c r="AK9" s="76">
        <f>J9*Pricing!R5</f>
        <v>0</v>
      </c>
      <c r="AL9" s="76">
        <f t="shared" si="16"/>
        <v>3624.4540799999995</v>
      </c>
      <c r="AM9" s="77">
        <f t="shared" si="17"/>
        <v>0</v>
      </c>
      <c r="AN9" s="76">
        <f t="shared" si="18"/>
        <v>2899.5632639999994</v>
      </c>
      <c r="AO9" s="72">
        <f t="shared" si="19"/>
        <v>50294.414384889074</v>
      </c>
      <c r="AP9" s="74">
        <f t="shared" si="20"/>
        <v>62868.017981111341</v>
      </c>
      <c r="AQ9" s="74">
        <f t="shared" ref="AQ9:AQ14" si="46">(AO9+AP9)*$AQ$6</f>
        <v>0</v>
      </c>
      <c r="AR9" s="74">
        <f t="shared" si="22"/>
        <v>33607.279747564869</v>
      </c>
      <c r="AS9" s="72">
        <f t="shared" si="23"/>
        <v>124872.61115000042</v>
      </c>
      <c r="AT9" s="72">
        <f t="shared" si="24"/>
        <v>37084.999747564863</v>
      </c>
      <c r="AU9" s="78">
        <f t="shared" ref="AU9:AU14" si="47">AT9/10.764</f>
        <v>3445.2805413939859</v>
      </c>
      <c r="AV9" s="79">
        <f t="shared" si="26"/>
        <v>3.6927262242256002E-2</v>
      </c>
      <c r="AW9" s="80">
        <f t="shared" si="27"/>
        <v>1349.9165335457183</v>
      </c>
      <c r="AX9" s="81">
        <f t="shared" si="28"/>
        <v>2095.3640078482681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SD2-WD</v>
      </c>
      <c r="E10" s="132" t="str">
        <f>Pricing!N6</f>
        <v>6MM</v>
      </c>
      <c r="F10" s="68">
        <f>Pricing!G6</f>
        <v>2744</v>
      </c>
      <c r="G10" s="68">
        <f>Pricing!H6</f>
        <v>2440</v>
      </c>
      <c r="H10" s="100">
        <f t="shared" si="0"/>
        <v>6.69536</v>
      </c>
      <c r="I10" s="70">
        <f>Pricing!I6</f>
        <v>1</v>
      </c>
      <c r="J10" s="69">
        <f t="shared" si="30"/>
        <v>6.69536</v>
      </c>
      <c r="K10" s="71">
        <f t="shared" si="31"/>
        <v>72.068855039999988</v>
      </c>
      <c r="L10" s="69"/>
      <c r="M10" s="72"/>
      <c r="N10" s="72"/>
      <c r="O10" s="72">
        <f t="shared" si="3"/>
        <v>0</v>
      </c>
      <c r="P10" s="73">
        <f>Pricing!M6</f>
        <v>47600.5</v>
      </c>
      <c r="Q10" s="74">
        <f t="shared" si="32"/>
        <v>4760.05</v>
      </c>
      <c r="R10" s="74">
        <f t="shared" si="33"/>
        <v>5759.6605</v>
      </c>
      <c r="S10" s="74">
        <f t="shared" si="34"/>
        <v>290.60105250000004</v>
      </c>
      <c r="T10" s="74">
        <f t="shared" si="35"/>
        <v>584.10811552500002</v>
      </c>
      <c r="U10" s="72">
        <f t="shared" si="36"/>
        <v>58994.919668025002</v>
      </c>
      <c r="V10" s="74">
        <f t="shared" si="37"/>
        <v>884.923795020375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6708.75072</v>
      </c>
      <c r="AE10" s="76">
        <f t="shared" si="43"/>
        <v>849.83606557377038</v>
      </c>
      <c r="AF10" s="346">
        <f t="shared" si="44"/>
        <v>870.91199999999992</v>
      </c>
      <c r="AG10" s="347"/>
      <c r="AH10" s="76">
        <f t="shared" si="45"/>
        <v>31.103999999999999</v>
      </c>
      <c r="AI10" s="76">
        <f t="shared" si="15"/>
        <v>103.68</v>
      </c>
      <c r="AJ10" s="76">
        <f>J10*Pricing!Q6</f>
        <v>3603.4427519999995</v>
      </c>
      <c r="AK10" s="76">
        <f>J10*Pricing!R6</f>
        <v>0</v>
      </c>
      <c r="AL10" s="76">
        <f t="shared" si="16"/>
        <v>7206.8855039999989</v>
      </c>
      <c r="AM10" s="77">
        <f t="shared" si="17"/>
        <v>0</v>
      </c>
      <c r="AN10" s="76">
        <f t="shared" si="18"/>
        <v>5765.5084031999995</v>
      </c>
      <c r="AO10" s="72">
        <f t="shared" si="19"/>
        <v>61735.375528619144</v>
      </c>
      <c r="AP10" s="74">
        <f t="shared" si="20"/>
        <v>77169.219410773934</v>
      </c>
      <c r="AQ10" s="74">
        <f t="shared" si="46"/>
        <v>0</v>
      </c>
      <c r="AR10" s="74">
        <f t="shared" si="22"/>
        <v>20746.396749299976</v>
      </c>
      <c r="AS10" s="72">
        <f t="shared" si="23"/>
        <v>162189.18231859308</v>
      </c>
      <c r="AT10" s="72">
        <f t="shared" si="24"/>
        <v>24224.116749299974</v>
      </c>
      <c r="AU10" s="78">
        <f t="shared" si="47"/>
        <v>2250.4753576086932</v>
      </c>
      <c r="AV10" s="79">
        <f t="shared" si="26"/>
        <v>7.3426382313587293E-2</v>
      </c>
      <c r="AW10" s="80">
        <f t="shared" si="27"/>
        <v>830.86991502516014</v>
      </c>
      <c r="AX10" s="81">
        <f t="shared" si="28"/>
        <v>1419.6054425835334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SD3-WD</v>
      </c>
      <c r="E11" s="132" t="str">
        <f>Pricing!N7</f>
        <v>6MM</v>
      </c>
      <c r="F11" s="68">
        <f>Pricing!G7</f>
        <v>2440</v>
      </c>
      <c r="G11" s="68">
        <f>Pricing!H7</f>
        <v>2134</v>
      </c>
      <c r="H11" s="100">
        <f t="shared" si="0"/>
        <v>5.2069599999999996</v>
      </c>
      <c r="I11" s="70">
        <f>Pricing!I7</f>
        <v>1</v>
      </c>
      <c r="J11" s="69">
        <f t="shared" si="30"/>
        <v>5.2069599999999996</v>
      </c>
      <c r="K11" s="71">
        <f t="shared" si="31"/>
        <v>56.047717439999992</v>
      </c>
      <c r="L11" s="69"/>
      <c r="M11" s="72"/>
      <c r="N11" s="72"/>
      <c r="O11" s="72">
        <f t="shared" si="3"/>
        <v>0</v>
      </c>
      <c r="P11" s="73">
        <f>Pricing!M7</f>
        <v>43269.560000000005</v>
      </c>
      <c r="Q11" s="74">
        <f t="shared" si="32"/>
        <v>4326.956000000001</v>
      </c>
      <c r="R11" s="74">
        <f t="shared" si="33"/>
        <v>5235.6167600000008</v>
      </c>
      <c r="S11" s="74">
        <f t="shared" si="34"/>
        <v>264.16066380000007</v>
      </c>
      <c r="T11" s="74">
        <f t="shared" si="35"/>
        <v>530.96293423800012</v>
      </c>
      <c r="U11" s="72">
        <f t="shared" si="36"/>
        <v>53627.256358038008</v>
      </c>
      <c r="V11" s="74">
        <f t="shared" si="37"/>
        <v>804.40884537057013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5217.37392</v>
      </c>
      <c r="AE11" s="76">
        <f t="shared" si="43"/>
        <v>749.8360655737705</v>
      </c>
      <c r="AF11" s="346">
        <f t="shared" si="44"/>
        <v>768.4319999999999</v>
      </c>
      <c r="AG11" s="347"/>
      <c r="AH11" s="76">
        <f t="shared" si="45"/>
        <v>27.443999999999999</v>
      </c>
      <c r="AI11" s="76">
        <f t="shared" si="15"/>
        <v>91.47999999999999</v>
      </c>
      <c r="AJ11" s="76">
        <f>J11*Pricing!Q7</f>
        <v>2802.3858719999994</v>
      </c>
      <c r="AK11" s="76">
        <f>J11*Pricing!R7</f>
        <v>0</v>
      </c>
      <c r="AL11" s="76">
        <f t="shared" si="16"/>
        <v>5604.7717439999988</v>
      </c>
      <c r="AM11" s="77">
        <f t="shared" si="17"/>
        <v>0</v>
      </c>
      <c r="AN11" s="76">
        <f t="shared" si="18"/>
        <v>4483.8173951999988</v>
      </c>
      <c r="AO11" s="72">
        <f t="shared" si="19"/>
        <v>56068.857268982349</v>
      </c>
      <c r="AP11" s="74">
        <f t="shared" si="20"/>
        <v>70086.071586227932</v>
      </c>
      <c r="AQ11" s="74">
        <f t="shared" si="46"/>
        <v>0</v>
      </c>
      <c r="AR11" s="74">
        <f t="shared" si="22"/>
        <v>24228.13481478834</v>
      </c>
      <c r="AS11" s="72">
        <f t="shared" si="23"/>
        <v>144263.27778641027</v>
      </c>
      <c r="AT11" s="72">
        <f t="shared" si="24"/>
        <v>27705.854814788338</v>
      </c>
      <c r="AU11" s="78">
        <f t="shared" si="47"/>
        <v>2573.9367163497154</v>
      </c>
      <c r="AV11" s="79">
        <f t="shared" si="26"/>
        <v>5.7103462047082831E-2</v>
      </c>
      <c r="AW11" s="80">
        <f t="shared" si="27"/>
        <v>971.16649329526354</v>
      </c>
      <c r="AX11" s="81">
        <f t="shared" si="28"/>
        <v>1602.7702230544521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3 SHUTTER SLIDING DOOR WITH TOP FIXED</v>
      </c>
      <c r="D12" s="131" t="str">
        <f>Pricing!B8</f>
        <v>GL1-WD</v>
      </c>
      <c r="E12" s="132" t="str">
        <f>Pricing!N8</f>
        <v>8MM &amp; 6MM</v>
      </c>
      <c r="F12" s="68">
        <f>Pricing!G8</f>
        <v>5488</v>
      </c>
      <c r="G12" s="68">
        <f>Pricing!H8</f>
        <v>3354</v>
      </c>
      <c r="H12" s="100">
        <f t="shared" si="0"/>
        <v>18.406752000000001</v>
      </c>
      <c r="I12" s="70">
        <f>Pricing!I8</f>
        <v>1</v>
      </c>
      <c r="J12" s="69">
        <f t="shared" si="30"/>
        <v>18.406752000000001</v>
      </c>
      <c r="K12" s="71">
        <f t="shared" si="31"/>
        <v>198.13027852799999</v>
      </c>
      <c r="L12" s="69"/>
      <c r="M12" s="72"/>
      <c r="N12" s="72"/>
      <c r="O12" s="72">
        <f t="shared" si="3"/>
        <v>0</v>
      </c>
      <c r="P12" s="73">
        <f>Pricing!M8</f>
        <v>102129.01000000001</v>
      </c>
      <c r="Q12" s="74">
        <f t="shared" si="32"/>
        <v>10212.901000000002</v>
      </c>
      <c r="R12" s="74">
        <f t="shared" si="33"/>
        <v>12357.610210000001</v>
      </c>
      <c r="S12" s="74">
        <f t="shared" si="34"/>
        <v>623.49760605000006</v>
      </c>
      <c r="T12" s="74">
        <f t="shared" si="35"/>
        <v>1253.2301881605001</v>
      </c>
      <c r="U12" s="72">
        <f t="shared" si="36"/>
        <v>126576.24900421051</v>
      </c>
      <c r="V12" s="74">
        <f t="shared" si="37"/>
        <v>1898.6437350631575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24333.726144</v>
      </c>
      <c r="AE12" s="76">
        <f t="shared" si="43"/>
        <v>1449.5081967213114</v>
      </c>
      <c r="AF12" s="346">
        <f t="shared" si="44"/>
        <v>1485.4559999999999</v>
      </c>
      <c r="AG12" s="347"/>
      <c r="AH12" s="76">
        <f t="shared" si="45"/>
        <v>53.052000000000007</v>
      </c>
      <c r="AI12" s="76">
        <f t="shared" si="15"/>
        <v>176.84</v>
      </c>
      <c r="AJ12" s="76">
        <f>J12*Pricing!Q8</f>
        <v>0</v>
      </c>
      <c r="AK12" s="76">
        <f>J12*Pricing!R8</f>
        <v>79252.111411199992</v>
      </c>
      <c r="AL12" s="76">
        <f t="shared" si="16"/>
        <v>19813.027852799998</v>
      </c>
      <c r="AM12" s="77">
        <f t="shared" si="17"/>
        <v>0</v>
      </c>
      <c r="AN12" s="76">
        <f t="shared" si="18"/>
        <v>15850.422282239999</v>
      </c>
      <c r="AO12" s="72">
        <f t="shared" si="19"/>
        <v>131639.74893599498</v>
      </c>
      <c r="AP12" s="74">
        <f t="shared" si="20"/>
        <v>164549.68616999371</v>
      </c>
      <c r="AQ12" s="74">
        <f t="shared" si="46"/>
        <v>0</v>
      </c>
      <c r="AR12" s="74">
        <f t="shared" si="22"/>
        <v>16091.347083178427</v>
      </c>
      <c r="AS12" s="72">
        <f t="shared" si="23"/>
        <v>435438.72279622871</v>
      </c>
      <c r="AT12" s="72">
        <f t="shared" si="24"/>
        <v>23656.467083178428</v>
      </c>
      <c r="AU12" s="78">
        <f t="shared" si="47"/>
        <v>2197.7394168690475</v>
      </c>
      <c r="AV12" s="79">
        <f t="shared" si="26"/>
        <v>0.20186236580309166</v>
      </c>
      <c r="AW12" s="80">
        <f t="shared" si="27"/>
        <v>648.43644138479044</v>
      </c>
      <c r="AX12" s="81">
        <f t="shared" si="28"/>
        <v>1549.3029754842571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WINDOWS WITH 7 FIXED</v>
      </c>
      <c r="D13" s="131" t="str">
        <f>Pricing!B9</f>
        <v>GL2-WD</v>
      </c>
      <c r="E13" s="132" t="str">
        <f>Pricing!N9</f>
        <v>6MM</v>
      </c>
      <c r="F13" s="68">
        <f>Pricing!G9</f>
        <v>4040</v>
      </c>
      <c r="G13" s="68">
        <f>Pricing!H9</f>
        <v>3252</v>
      </c>
      <c r="H13" s="100">
        <f t="shared" si="0"/>
        <v>13.13808</v>
      </c>
      <c r="I13" s="70">
        <f>Pricing!I9</f>
        <v>1</v>
      </c>
      <c r="J13" s="69">
        <f t="shared" si="30"/>
        <v>13.13808</v>
      </c>
      <c r="K13" s="71">
        <f t="shared" si="31"/>
        <v>141.41829311999999</v>
      </c>
      <c r="L13" s="69"/>
      <c r="M13" s="72"/>
      <c r="N13" s="72"/>
      <c r="O13" s="72">
        <f t="shared" si="3"/>
        <v>0</v>
      </c>
      <c r="P13" s="73">
        <f>Pricing!M9</f>
        <v>123489.89</v>
      </c>
      <c r="Q13" s="74">
        <f t="shared" si="32"/>
        <v>12348.989000000001</v>
      </c>
      <c r="R13" s="74">
        <f t="shared" si="33"/>
        <v>14942.276690000002</v>
      </c>
      <c r="S13" s="74">
        <f t="shared" si="34"/>
        <v>753.90577845000007</v>
      </c>
      <c r="T13" s="74">
        <f t="shared" si="35"/>
        <v>1515.3506146845</v>
      </c>
      <c r="U13" s="72">
        <f t="shared" si="36"/>
        <v>153050.41208313449</v>
      </c>
      <c r="V13" s="74">
        <f t="shared" si="37"/>
        <v>2295.7561812470171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13164.356160000001</v>
      </c>
      <c r="AE13" s="76">
        <f t="shared" si="43"/>
        <v>1195.4098360655739</v>
      </c>
      <c r="AF13" s="346">
        <f t="shared" si="44"/>
        <v>1225.0559999999998</v>
      </c>
      <c r="AG13" s="347"/>
      <c r="AH13" s="76">
        <f t="shared" si="45"/>
        <v>43.751999999999995</v>
      </c>
      <c r="AI13" s="76">
        <f t="shared" si="15"/>
        <v>145.84</v>
      </c>
      <c r="AJ13" s="76">
        <f>J13*Pricing!Q9</f>
        <v>0</v>
      </c>
      <c r="AK13" s="76">
        <f>J13*Pricing!R9</f>
        <v>0</v>
      </c>
      <c r="AL13" s="76">
        <f t="shared" si="16"/>
        <v>14141.829311999998</v>
      </c>
      <c r="AM13" s="77">
        <f t="shared" si="17"/>
        <v>0</v>
      </c>
      <c r="AN13" s="76">
        <f t="shared" si="18"/>
        <v>11313.463449599998</v>
      </c>
      <c r="AO13" s="72">
        <f t="shared" si="19"/>
        <v>157956.22610044709</v>
      </c>
      <c r="AP13" s="74">
        <f t="shared" si="20"/>
        <v>197445.28262555887</v>
      </c>
      <c r="AQ13" s="74">
        <f t="shared" si="46"/>
        <v>0</v>
      </c>
      <c r="AR13" s="74">
        <f t="shared" si="22"/>
        <v>27051.251684112591</v>
      </c>
      <c r="AS13" s="72">
        <f t="shared" si="23"/>
        <v>394021.15764760599</v>
      </c>
      <c r="AT13" s="72">
        <f t="shared" si="24"/>
        <v>29990.771684112591</v>
      </c>
      <c r="AU13" s="78">
        <f t="shared" si="47"/>
        <v>2786.2106729944808</v>
      </c>
      <c r="AV13" s="79">
        <f t="shared" si="26"/>
        <v>0.14408212328336267</v>
      </c>
      <c r="AW13" s="80">
        <f t="shared" si="27"/>
        <v>1098.487082803093</v>
      </c>
      <c r="AX13" s="81">
        <f t="shared" si="28"/>
        <v>1687.723590191388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3 NO'S</v>
      </c>
      <c r="D14" s="131" t="str">
        <f>Pricing!B10</f>
        <v>W6A</v>
      </c>
      <c r="E14" s="132" t="str">
        <f>Pricing!N10</f>
        <v>6MM</v>
      </c>
      <c r="F14" s="68">
        <f>Pricing!G10</f>
        <v>1652</v>
      </c>
      <c r="G14" s="68">
        <f>Pricing!H10</f>
        <v>3252</v>
      </c>
      <c r="H14" s="100">
        <f t="shared" si="0"/>
        <v>5.3723039999999997</v>
      </c>
      <c r="I14" s="70">
        <f>Pricing!I10</f>
        <v>1</v>
      </c>
      <c r="J14" s="69">
        <f t="shared" si="30"/>
        <v>5.3723039999999997</v>
      </c>
      <c r="K14" s="71">
        <f t="shared" si="31"/>
        <v>57.827480255999994</v>
      </c>
      <c r="L14" s="69"/>
      <c r="M14" s="72"/>
      <c r="N14" s="72"/>
      <c r="O14" s="72">
        <f t="shared" si="3"/>
        <v>0</v>
      </c>
      <c r="P14" s="73">
        <f>Pricing!M10</f>
        <v>19407.89</v>
      </c>
      <c r="Q14" s="74">
        <f t="shared" si="32"/>
        <v>1940.789</v>
      </c>
      <c r="R14" s="74">
        <f t="shared" si="33"/>
        <v>2348.3546900000001</v>
      </c>
      <c r="S14" s="74">
        <f t="shared" si="34"/>
        <v>118.48516845</v>
      </c>
      <c r="T14" s="74">
        <f t="shared" si="35"/>
        <v>238.1551885845</v>
      </c>
      <c r="U14" s="72">
        <f t="shared" si="36"/>
        <v>24053.674047034499</v>
      </c>
      <c r="V14" s="74">
        <f t="shared" si="37"/>
        <v>360.80511070551745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5383.0486080000001</v>
      </c>
      <c r="AE14" s="76">
        <f t="shared" si="43"/>
        <v>803.93442622950818</v>
      </c>
      <c r="AF14" s="346">
        <f t="shared" si="44"/>
        <v>823.87199999999984</v>
      </c>
      <c r="AG14" s="347"/>
      <c r="AH14" s="76">
        <f t="shared" si="45"/>
        <v>29.423999999999999</v>
      </c>
      <c r="AI14" s="76">
        <f t="shared" si="15"/>
        <v>98.08</v>
      </c>
      <c r="AJ14" s="76">
        <f>J14*Pricing!Q10</f>
        <v>0</v>
      </c>
      <c r="AK14" s="76">
        <f>J14*Pricing!R10</f>
        <v>0</v>
      </c>
      <c r="AL14" s="76">
        <f t="shared" si="16"/>
        <v>5782.748025599999</v>
      </c>
      <c r="AM14" s="77">
        <f t="shared" si="17"/>
        <v>0</v>
      </c>
      <c r="AN14" s="76">
        <f t="shared" si="18"/>
        <v>4626.1984204799992</v>
      </c>
      <c r="AO14" s="72">
        <f t="shared" si="19"/>
        <v>26169.789583969523</v>
      </c>
      <c r="AP14" s="74">
        <f t="shared" si="20"/>
        <v>32712.236979961905</v>
      </c>
      <c r="AQ14" s="74">
        <f t="shared" si="46"/>
        <v>0</v>
      </c>
      <c r="AR14" s="74">
        <f t="shared" si="22"/>
        <v>10960.293118917216</v>
      </c>
      <c r="AS14" s="72">
        <f t="shared" si="23"/>
        <v>74674.021618011422</v>
      </c>
      <c r="AT14" s="72">
        <f t="shared" si="24"/>
        <v>13899.813118917215</v>
      </c>
      <c r="AU14" s="78">
        <f t="shared" si="47"/>
        <v>1291.3241470565974</v>
      </c>
      <c r="AV14" s="79">
        <f t="shared" si="26"/>
        <v>5.8916749421810674E-2</v>
      </c>
      <c r="AW14" s="80">
        <f t="shared" si="27"/>
        <v>422.19510602326216</v>
      </c>
      <c r="AX14" s="81">
        <f t="shared" si="28"/>
        <v>869.1290410333354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3 NO'S</v>
      </c>
      <c r="D15" s="131" t="str">
        <f>Pricing!B11</f>
        <v>W6B</v>
      </c>
      <c r="E15" s="132" t="str">
        <f>Pricing!N11</f>
        <v>6MM</v>
      </c>
      <c r="F15" s="68">
        <f>Pricing!G11</f>
        <v>1702</v>
      </c>
      <c r="G15" s="68">
        <f>Pricing!H11</f>
        <v>3252</v>
      </c>
      <c r="H15" s="100">
        <f t="shared" si="0"/>
        <v>5.534904</v>
      </c>
      <c r="I15" s="70">
        <f>Pricing!I11</f>
        <v>1</v>
      </c>
      <c r="J15" s="69">
        <f t="shared" si="30"/>
        <v>5.534904</v>
      </c>
      <c r="K15" s="71">
        <f t="shared" si="31"/>
        <v>59.577706655999997</v>
      </c>
      <c r="L15" s="69"/>
      <c r="M15" s="72"/>
      <c r="N15" s="72"/>
      <c r="O15" s="72">
        <f t="shared" si="3"/>
        <v>0</v>
      </c>
      <c r="P15" s="73">
        <f>Pricing!M11</f>
        <v>19712.5</v>
      </c>
      <c r="Q15" s="74">
        <f t="shared" si="4"/>
        <v>1971.25</v>
      </c>
      <c r="R15" s="74">
        <f t="shared" si="5"/>
        <v>2385.2125000000001</v>
      </c>
      <c r="S15" s="74">
        <f t="shared" si="6"/>
        <v>120.3448125</v>
      </c>
      <c r="T15" s="74">
        <f t="shared" si="7"/>
        <v>241.893073125</v>
      </c>
      <c r="U15" s="72">
        <f t="shared" si="8"/>
        <v>24431.200385625001</v>
      </c>
      <c r="V15" s="74">
        <f t="shared" si="9"/>
        <v>366.46800578437501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5545.9738079999997</v>
      </c>
      <c r="AE15" s="76">
        <f t="shared" si="43"/>
        <v>812.13114754098365</v>
      </c>
      <c r="AF15" s="346">
        <f t="shared" si="44"/>
        <v>832.27200000000005</v>
      </c>
      <c r="AG15" s="347"/>
      <c r="AH15" s="76">
        <f t="shared" si="45"/>
        <v>29.723999999999997</v>
      </c>
      <c r="AI15" s="76">
        <f t="shared" ref="AI15:AI20" si="49">(((F15+G15)*2*I15)/1000)*2*$AI$7</f>
        <v>99.08</v>
      </c>
      <c r="AJ15" s="76">
        <f>J15*Pricing!Q11</f>
        <v>0</v>
      </c>
      <c r="AK15" s="76">
        <f>J15*Pricing!R11</f>
        <v>0</v>
      </c>
      <c r="AL15" s="76">
        <f t="shared" si="16"/>
        <v>5957.7706655999991</v>
      </c>
      <c r="AM15" s="77">
        <f t="shared" si="17"/>
        <v>0</v>
      </c>
      <c r="AN15" s="76">
        <f t="shared" si="18"/>
        <v>4766.2165324799998</v>
      </c>
      <c r="AO15" s="72">
        <f t="shared" si="19"/>
        <v>26570.87553895036</v>
      </c>
      <c r="AP15" s="74">
        <f t="shared" si="20"/>
        <v>33213.594423687951</v>
      </c>
      <c r="AQ15" s="74">
        <f t="shared" si="21"/>
        <v>0</v>
      </c>
      <c r="AR15" s="74">
        <f t="shared" si="22"/>
        <v>10801.356258868864</v>
      </c>
      <c r="AS15" s="72">
        <f t="shared" si="23"/>
        <v>76054.430968718298</v>
      </c>
      <c r="AT15" s="72">
        <f t="shared" si="24"/>
        <v>13740.876258868862</v>
      </c>
      <c r="AU15" s="78">
        <f t="shared" si="25"/>
        <v>1276.5585524775979</v>
      </c>
      <c r="AV15" s="79">
        <f t="shared" si="26"/>
        <v>6.0699944016901798E-2</v>
      </c>
      <c r="AW15" s="80">
        <f t="shared" si="27"/>
        <v>416.22394991788485</v>
      </c>
      <c r="AX15" s="81">
        <f t="shared" si="28"/>
        <v>860.33460255971318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 WITH 4 FIXED</v>
      </c>
      <c r="D16" s="131" t="str">
        <f>Pricing!B12</f>
        <v>W9A</v>
      </c>
      <c r="E16" s="132" t="str">
        <f>Pricing!N12</f>
        <v>6MM</v>
      </c>
      <c r="F16" s="68">
        <f>Pricing!G12</f>
        <v>2592</v>
      </c>
      <c r="G16" s="68">
        <f>Pricing!H12</f>
        <v>3556</v>
      </c>
      <c r="H16" s="100">
        <f t="shared" si="0"/>
        <v>9.2171520000000005</v>
      </c>
      <c r="I16" s="70">
        <f>Pricing!I12</f>
        <v>1</v>
      </c>
      <c r="J16" s="69">
        <f t="shared" si="30"/>
        <v>9.2171520000000005</v>
      </c>
      <c r="K16" s="71">
        <f t="shared" si="31"/>
        <v>99.213424128</v>
      </c>
      <c r="L16" s="69"/>
      <c r="M16" s="72"/>
      <c r="N16" s="72"/>
      <c r="O16" s="72">
        <f t="shared" si="3"/>
        <v>0</v>
      </c>
      <c r="P16" s="73">
        <f>Pricing!M12</f>
        <v>83714.63</v>
      </c>
      <c r="Q16" s="74">
        <f t="shared" si="4"/>
        <v>8371.4630000000016</v>
      </c>
      <c r="R16" s="74">
        <f t="shared" si="5"/>
        <v>10129.470230000001</v>
      </c>
      <c r="S16" s="74">
        <f t="shared" si="6"/>
        <v>511.0778161500001</v>
      </c>
      <c r="T16" s="74">
        <f t="shared" si="7"/>
        <v>1027.2664104615003</v>
      </c>
      <c r="U16" s="72">
        <f t="shared" si="8"/>
        <v>103753.90745661152</v>
      </c>
      <c r="V16" s="74">
        <f t="shared" si="9"/>
        <v>1556.3086118491726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9235.5863040000004</v>
      </c>
      <c r="AE16" s="76">
        <f t="shared" si="43"/>
        <v>1007.8688524590165</v>
      </c>
      <c r="AF16" s="346">
        <f t="shared" si="44"/>
        <v>1032.8639999999998</v>
      </c>
      <c r="AG16" s="347"/>
      <c r="AH16" s="76">
        <f t="shared" si="45"/>
        <v>36.887999999999998</v>
      </c>
      <c r="AI16" s="76">
        <f t="shared" si="49"/>
        <v>122.96</v>
      </c>
      <c r="AJ16" s="76">
        <f>J16*Pricing!Q12</f>
        <v>4960.6712063999994</v>
      </c>
      <c r="AK16" s="76">
        <f>J16*Pricing!R12</f>
        <v>0</v>
      </c>
      <c r="AL16" s="76">
        <f t="shared" si="16"/>
        <v>9921.3424127999988</v>
      </c>
      <c r="AM16" s="77">
        <f t="shared" si="17"/>
        <v>0</v>
      </c>
      <c r="AN16" s="76">
        <f t="shared" si="18"/>
        <v>7937.0739302399998</v>
      </c>
      <c r="AO16" s="72">
        <f t="shared" si="19"/>
        <v>107510.79692091972</v>
      </c>
      <c r="AP16" s="74">
        <f t="shared" si="20"/>
        <v>134388.49615114965</v>
      </c>
      <c r="AQ16" s="74">
        <f t="shared" si="21"/>
        <v>0</v>
      </c>
      <c r="AR16" s="74">
        <f t="shared" si="22"/>
        <v>26244.472595446983</v>
      </c>
      <c r="AS16" s="72">
        <f t="shared" si="23"/>
        <v>273953.96692550939</v>
      </c>
      <c r="AT16" s="72">
        <f t="shared" si="24"/>
        <v>29722.192595446984</v>
      </c>
      <c r="AU16" s="78">
        <f t="shared" si="25"/>
        <v>2761.2590668382559</v>
      </c>
      <c r="AV16" s="79">
        <f t="shared" si="26"/>
        <v>0.10108226093808935</v>
      </c>
      <c r="AW16" s="80">
        <f t="shared" si="27"/>
        <v>1061.4512803488662</v>
      </c>
      <c r="AX16" s="81">
        <f t="shared" si="28"/>
        <v>1699.8077864893894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 WITH 7 FIXED</v>
      </c>
      <c r="D17" s="131" t="str">
        <f>Pricing!B13</f>
        <v>W9B</v>
      </c>
      <c r="E17" s="132" t="str">
        <f>Pricing!N13</f>
        <v>6MM</v>
      </c>
      <c r="F17" s="68">
        <f>Pricing!G13</f>
        <v>2592</v>
      </c>
      <c r="G17" s="68">
        <f>Pricing!H13</f>
        <v>4318</v>
      </c>
      <c r="H17" s="100">
        <f t="shared" si="0"/>
        <v>11.192256</v>
      </c>
      <c r="I17" s="70">
        <f>Pricing!I13</f>
        <v>1</v>
      </c>
      <c r="J17" s="69">
        <f t="shared" si="30"/>
        <v>11.192256</v>
      </c>
      <c r="K17" s="71">
        <f t="shared" si="31"/>
        <v>120.47344358399999</v>
      </c>
      <c r="L17" s="69"/>
      <c r="M17" s="72"/>
      <c r="N17" s="72"/>
      <c r="O17" s="72">
        <f t="shared" si="3"/>
        <v>0</v>
      </c>
      <c r="P17" s="73">
        <f>Pricing!M13</f>
        <v>101494.89</v>
      </c>
      <c r="Q17" s="74">
        <f t="shared" si="4"/>
        <v>10149.489000000001</v>
      </c>
      <c r="R17" s="74">
        <f t="shared" si="5"/>
        <v>12280.88169</v>
      </c>
      <c r="S17" s="74">
        <f t="shared" si="6"/>
        <v>619.62630345000002</v>
      </c>
      <c r="T17" s="74">
        <f t="shared" si="7"/>
        <v>1245.4488699345</v>
      </c>
      <c r="U17" s="72">
        <f t="shared" si="8"/>
        <v>125790.33586338449</v>
      </c>
      <c r="V17" s="74">
        <f t="shared" si="9"/>
        <v>1886.8550379507674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11214.640512</v>
      </c>
      <c r="AE17" s="76">
        <f t="shared" si="43"/>
        <v>1132.7868852459017</v>
      </c>
      <c r="AF17" s="346">
        <f t="shared" si="44"/>
        <v>1160.8799999999999</v>
      </c>
      <c r="AG17" s="347"/>
      <c r="AH17" s="76">
        <f t="shared" si="45"/>
        <v>41.46</v>
      </c>
      <c r="AI17" s="76">
        <f t="shared" si="49"/>
        <v>138.19999999999999</v>
      </c>
      <c r="AJ17" s="76">
        <f>J17*Pricing!Q13</f>
        <v>6023.6721791999998</v>
      </c>
      <c r="AK17" s="76">
        <f>J17*Pricing!R13</f>
        <v>0</v>
      </c>
      <c r="AL17" s="76">
        <f t="shared" si="16"/>
        <v>12047.3443584</v>
      </c>
      <c r="AM17" s="77">
        <f t="shared" si="17"/>
        <v>0</v>
      </c>
      <c r="AN17" s="76">
        <f t="shared" si="18"/>
        <v>9637.8754867199987</v>
      </c>
      <c r="AO17" s="72">
        <f t="shared" si="19"/>
        <v>130150.51778658117</v>
      </c>
      <c r="AP17" s="74">
        <f t="shared" si="20"/>
        <v>162688.14723322645</v>
      </c>
      <c r="AQ17" s="74">
        <f t="shared" si="21"/>
        <v>0</v>
      </c>
      <c r="AR17" s="74">
        <f t="shared" si="22"/>
        <v>26164.400190614619</v>
      </c>
      <c r="AS17" s="72">
        <f t="shared" si="23"/>
        <v>331762.19755612762</v>
      </c>
      <c r="AT17" s="72">
        <f t="shared" si="24"/>
        <v>29642.12019061462</v>
      </c>
      <c r="AU17" s="78">
        <f t="shared" si="25"/>
        <v>2753.8201589199762</v>
      </c>
      <c r="AV17" s="79">
        <f t="shared" si="26"/>
        <v>0.12274274542482277</v>
      </c>
      <c r="AW17" s="80">
        <f t="shared" si="27"/>
        <v>1059.795313415379</v>
      </c>
      <c r="AX17" s="81">
        <f t="shared" si="28"/>
        <v>1694.0248455045969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FIXED GLASS WITH EXHAUST PROVISION</v>
      </c>
      <c r="D18" s="131" t="str">
        <f>Pricing!B14</f>
        <v>V1</v>
      </c>
      <c r="E18" s="132" t="str">
        <f>Pricing!N14</f>
        <v>6MM (F)</v>
      </c>
      <c r="F18" s="68">
        <f>Pricing!G14</f>
        <v>1678</v>
      </c>
      <c r="G18" s="68">
        <f>Pricing!H14</f>
        <v>916</v>
      </c>
      <c r="H18" s="100">
        <f t="shared" si="0"/>
        <v>1.537048</v>
      </c>
      <c r="I18" s="70">
        <f>Pricing!I14</f>
        <v>1</v>
      </c>
      <c r="J18" s="69">
        <f t="shared" si="30"/>
        <v>1.537048</v>
      </c>
      <c r="K18" s="71">
        <f t="shared" si="31"/>
        <v>16.544784671999999</v>
      </c>
      <c r="L18" s="69"/>
      <c r="M18" s="72"/>
      <c r="N18" s="72"/>
      <c r="O18" s="72">
        <f t="shared" si="3"/>
        <v>0</v>
      </c>
      <c r="P18" s="73">
        <f>Pricing!M14</f>
        <v>7925.6699999999992</v>
      </c>
      <c r="Q18" s="74">
        <f t="shared" si="4"/>
        <v>792.56700000000001</v>
      </c>
      <c r="R18" s="74">
        <f t="shared" si="5"/>
        <v>959.00606999999991</v>
      </c>
      <c r="S18" s="74">
        <f t="shared" si="6"/>
        <v>48.386215349999993</v>
      </c>
      <c r="T18" s="74">
        <f t="shared" si="7"/>
        <v>97.256292853499986</v>
      </c>
      <c r="U18" s="72">
        <f t="shared" si="8"/>
        <v>9822.8855782034989</v>
      </c>
      <c r="V18" s="74">
        <f t="shared" si="9"/>
        <v>147.34328367305247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3078.707144</v>
      </c>
      <c r="AE18" s="76">
        <f t="shared" si="43"/>
        <v>425.24590163934431</v>
      </c>
      <c r="AF18" s="346">
        <f t="shared" si="44"/>
        <v>435.79200000000003</v>
      </c>
      <c r="AG18" s="347"/>
      <c r="AH18" s="76">
        <f t="shared" si="45"/>
        <v>15.564</v>
      </c>
      <c r="AI18" s="76">
        <f t="shared" si="49"/>
        <v>51.879999999999995</v>
      </c>
      <c r="AJ18" s="76">
        <f>J18*Pricing!Q14</f>
        <v>0</v>
      </c>
      <c r="AK18" s="76">
        <f>J18*Pricing!R14</f>
        <v>0</v>
      </c>
      <c r="AL18" s="76">
        <f t="shared" si="16"/>
        <v>1654.4784671999998</v>
      </c>
      <c r="AM18" s="77">
        <f t="shared" si="17"/>
        <v>0</v>
      </c>
      <c r="AN18" s="76">
        <f t="shared" si="18"/>
        <v>1323.5827737599998</v>
      </c>
      <c r="AO18" s="72">
        <f t="shared" si="19"/>
        <v>10898.710763515894</v>
      </c>
      <c r="AP18" s="74">
        <f t="shared" si="20"/>
        <v>13623.388454394866</v>
      </c>
      <c r="AQ18" s="74">
        <f t="shared" si="21"/>
        <v>0</v>
      </c>
      <c r="AR18" s="74">
        <f t="shared" si="22"/>
        <v>15954.023048018513</v>
      </c>
      <c r="AS18" s="72">
        <f t="shared" si="23"/>
        <v>30578.86760287076</v>
      </c>
      <c r="AT18" s="72">
        <f t="shared" si="24"/>
        <v>19894.543048018513</v>
      </c>
      <c r="AU18" s="78">
        <f t="shared" si="25"/>
        <v>1848.2481464156926</v>
      </c>
      <c r="AV18" s="79">
        <f t="shared" si="26"/>
        <v>1.6856431033183388E-2</v>
      </c>
      <c r="AW18" s="80">
        <f t="shared" si="27"/>
        <v>602.62064810972902</v>
      </c>
      <c r="AX18" s="81">
        <f t="shared" si="28"/>
        <v>1245.6274983059636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WITH EXHAUST PROVISION</v>
      </c>
      <c r="D19" s="131" t="str">
        <f>Pricing!B15</f>
        <v>V2</v>
      </c>
      <c r="E19" s="132" t="str">
        <f>Pricing!N15</f>
        <v>6MM (F)</v>
      </c>
      <c r="F19" s="68">
        <f>Pricing!G15</f>
        <v>458</v>
      </c>
      <c r="G19" s="68">
        <f>Pricing!H15</f>
        <v>916</v>
      </c>
      <c r="H19" s="100">
        <f t="shared" si="0"/>
        <v>0.41952800000000001</v>
      </c>
      <c r="I19" s="70">
        <f>Pricing!I15</f>
        <v>1</v>
      </c>
      <c r="J19" s="69">
        <f t="shared" si="30"/>
        <v>0.41952800000000001</v>
      </c>
      <c r="K19" s="71">
        <f t="shared" si="31"/>
        <v>4.5157993919999999</v>
      </c>
      <c r="L19" s="69"/>
      <c r="M19" s="72"/>
      <c r="N19" s="72"/>
      <c r="O19" s="72">
        <f t="shared" si="3"/>
        <v>0</v>
      </c>
      <c r="P19" s="73">
        <f>Pricing!M15</f>
        <v>3619.63</v>
      </c>
      <c r="Q19" s="74">
        <f t="shared" si="4"/>
        <v>361.96300000000002</v>
      </c>
      <c r="R19" s="74">
        <f t="shared" si="5"/>
        <v>437.97523000000001</v>
      </c>
      <c r="S19" s="74">
        <f t="shared" si="6"/>
        <v>22.097841150000004</v>
      </c>
      <c r="T19" s="74">
        <f t="shared" si="7"/>
        <v>44.416660711500008</v>
      </c>
      <c r="U19" s="72">
        <f t="shared" si="8"/>
        <v>4486.0827318615011</v>
      </c>
      <c r="V19" s="74">
        <f t="shared" si="9"/>
        <v>67.291240977922513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840.31458399999997</v>
      </c>
      <c r="AE19" s="76">
        <f t="shared" si="43"/>
        <v>225.24590163934425</v>
      </c>
      <c r="AF19" s="346">
        <f t="shared" si="44"/>
        <v>230.83199999999999</v>
      </c>
      <c r="AG19" s="347"/>
      <c r="AH19" s="76">
        <f t="shared" si="45"/>
        <v>8.2439999999999998</v>
      </c>
      <c r="AI19" s="76">
        <f t="shared" si="49"/>
        <v>27.480000000000004</v>
      </c>
      <c r="AJ19" s="76">
        <f>J19*Pricing!Q15</f>
        <v>0</v>
      </c>
      <c r="AK19" s="76">
        <f>J19*Pricing!R15</f>
        <v>0</v>
      </c>
      <c r="AL19" s="76">
        <f t="shared" si="16"/>
        <v>451.57993919999996</v>
      </c>
      <c r="AM19" s="77">
        <f t="shared" si="17"/>
        <v>0</v>
      </c>
      <c r="AN19" s="76">
        <f t="shared" si="18"/>
        <v>361.26395135999996</v>
      </c>
      <c r="AO19" s="72">
        <f t="shared" si="19"/>
        <v>5045.1758744787685</v>
      </c>
      <c r="AP19" s="74">
        <f t="shared" si="20"/>
        <v>6306.4698430984608</v>
      </c>
      <c r="AQ19" s="74">
        <f t="shared" si="21"/>
        <v>0</v>
      </c>
      <c r="AR19" s="74">
        <f t="shared" si="22"/>
        <v>27058.136090027911</v>
      </c>
      <c r="AS19" s="72">
        <f t="shared" si="23"/>
        <v>13004.804192137228</v>
      </c>
      <c r="AT19" s="72">
        <f t="shared" si="24"/>
        <v>30998.656090027907</v>
      </c>
      <c r="AU19" s="78">
        <f t="shared" si="25"/>
        <v>2879.8454189918161</v>
      </c>
      <c r="AV19" s="79">
        <f t="shared" si="26"/>
        <v>4.6008613904636427E-3</v>
      </c>
      <c r="AW19" s="80">
        <f t="shared" si="27"/>
        <v>1008.3206930994298</v>
      </c>
      <c r="AX19" s="81">
        <f t="shared" si="28"/>
        <v>1871.5247258923864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V3</v>
      </c>
      <c r="E20" s="132" t="str">
        <f>Pricing!N16</f>
        <v>6MM (F)</v>
      </c>
      <c r="F20" s="68">
        <f>Pricing!G16</f>
        <v>2744</v>
      </c>
      <c r="G20" s="68">
        <f>Pricing!H16</f>
        <v>610</v>
      </c>
      <c r="H20" s="100">
        <f t="shared" si="0"/>
        <v>1.67384</v>
      </c>
      <c r="I20" s="70">
        <f>Pricing!I16</f>
        <v>1</v>
      </c>
      <c r="J20" s="69">
        <f t="shared" si="30"/>
        <v>1.67384</v>
      </c>
      <c r="K20" s="71">
        <f t="shared" si="31"/>
        <v>18.017213759999997</v>
      </c>
      <c r="L20" s="69"/>
      <c r="M20" s="72"/>
      <c r="N20" s="72"/>
      <c r="O20" s="72">
        <f t="shared" si="3"/>
        <v>0</v>
      </c>
      <c r="P20" s="73">
        <f>Pricing!M16</f>
        <v>26843.86</v>
      </c>
      <c r="Q20" s="74">
        <f t="shared" si="4"/>
        <v>2684.3860000000004</v>
      </c>
      <c r="R20" s="74">
        <f t="shared" si="5"/>
        <v>3248.1070599999998</v>
      </c>
      <c r="S20" s="74">
        <f t="shared" si="6"/>
        <v>163.88176530000001</v>
      </c>
      <c r="T20" s="74">
        <f t="shared" si="7"/>
        <v>329.40234825300001</v>
      </c>
      <c r="U20" s="72">
        <f t="shared" si="8"/>
        <v>33269.637173553005</v>
      </c>
      <c r="V20" s="74">
        <f t="shared" si="9"/>
        <v>499.04455760329506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3352.7015200000001</v>
      </c>
      <c r="AE20" s="76">
        <f t="shared" si="43"/>
        <v>549.8360655737705</v>
      </c>
      <c r="AF20" s="346">
        <f t="shared" si="44"/>
        <v>563.47200000000009</v>
      </c>
      <c r="AG20" s="347"/>
      <c r="AH20" s="76">
        <f t="shared" si="45"/>
        <v>20.124000000000002</v>
      </c>
      <c r="AI20" s="76">
        <f t="shared" si="49"/>
        <v>67.08</v>
      </c>
      <c r="AJ20" s="76">
        <f>J20*Pricing!Q16</f>
        <v>900.86068799999987</v>
      </c>
      <c r="AK20" s="76">
        <f>J20*Pricing!R16</f>
        <v>0</v>
      </c>
      <c r="AL20" s="76">
        <f t="shared" si="16"/>
        <v>1801.7213759999997</v>
      </c>
      <c r="AM20" s="77">
        <f t="shared" si="17"/>
        <v>0</v>
      </c>
      <c r="AN20" s="76">
        <f t="shared" si="18"/>
        <v>1441.3771007999999</v>
      </c>
      <c r="AO20" s="72">
        <f t="shared" si="19"/>
        <v>34969.193796730069</v>
      </c>
      <c r="AP20" s="74">
        <f t="shared" si="20"/>
        <v>43711.492245912588</v>
      </c>
      <c r="AQ20" s="74">
        <f t="shared" si="21"/>
        <v>0</v>
      </c>
      <c r="AR20" s="74">
        <f t="shared" si="22"/>
        <v>47006.097382451524</v>
      </c>
      <c r="AS20" s="72">
        <f t="shared" si="23"/>
        <v>86177.346727442666</v>
      </c>
      <c r="AT20" s="72">
        <f t="shared" si="24"/>
        <v>51484.817382451525</v>
      </c>
      <c r="AU20" s="78">
        <f t="shared" si="25"/>
        <v>4783.0562414020369</v>
      </c>
      <c r="AV20" s="79">
        <f t="shared" si="26"/>
        <v>1.8356595578396823E-2</v>
      </c>
      <c r="AW20" s="80">
        <f t="shared" si="27"/>
        <v>1874.2454955008707</v>
      </c>
      <c r="AX20" s="81">
        <f t="shared" si="28"/>
        <v>2908.8107459011667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2 FIXED GLASS WITH EXHAUST PROVISION</v>
      </c>
      <c r="D21" s="131" t="str">
        <f>Pricing!B17</f>
        <v>V4</v>
      </c>
      <c r="E21" s="132" t="str">
        <f>Pricing!N17</f>
        <v>6MM (F)</v>
      </c>
      <c r="F21" s="68">
        <f>Pricing!G17</f>
        <v>1016</v>
      </c>
      <c r="G21" s="68">
        <f>Pricing!H17</f>
        <v>1220</v>
      </c>
      <c r="H21" s="100">
        <f t="shared" si="0"/>
        <v>1.23952</v>
      </c>
      <c r="I21" s="70">
        <f>Pricing!I17</f>
        <v>1</v>
      </c>
      <c r="J21" s="69">
        <f t="shared" si="30"/>
        <v>1.23952</v>
      </c>
      <c r="K21" s="71">
        <f t="shared" si="31"/>
        <v>13.342193279999998</v>
      </c>
      <c r="L21" s="69"/>
      <c r="M21" s="72"/>
      <c r="N21" s="72"/>
      <c r="O21" s="72">
        <f t="shared" si="3"/>
        <v>0</v>
      </c>
      <c r="P21" s="73">
        <f>Pricing!M17</f>
        <v>7819.4299999999994</v>
      </c>
      <c r="Q21" s="74">
        <f t="shared" ref="Q21:Q26" si="50">P21*$Q$6</f>
        <v>781.94299999999998</v>
      </c>
      <c r="R21" s="74">
        <f t="shared" ref="R21:R26" si="51">(P21+Q21)*$R$6</f>
        <v>946.15102999999999</v>
      </c>
      <c r="S21" s="74">
        <f t="shared" ref="S21:S26" si="52">(P21+Q21+R21)*$S$6</f>
        <v>47.737620150000005</v>
      </c>
      <c r="T21" s="74">
        <f t="shared" ref="T21:T26" si="53">(P21+Q21+R21+S21)*$T$6</f>
        <v>95.952616501500003</v>
      </c>
      <c r="U21" s="72">
        <f t="shared" ref="U21:U26" si="54">SUM(P21:T21)</f>
        <v>9691.2142666514992</v>
      </c>
      <c r="V21" s="74">
        <f t="shared" ref="V21:V26" si="55">U21*$V$6</f>
        <v>145.36821399977248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2482.7585599999998</v>
      </c>
      <c r="AE21" s="76">
        <f t="shared" si="43"/>
        <v>366.55737704918033</v>
      </c>
      <c r="AF21" s="346">
        <f t="shared" si="44"/>
        <v>375.64800000000008</v>
      </c>
      <c r="AG21" s="347"/>
      <c r="AH21" s="76">
        <f t="shared" si="45"/>
        <v>13.416</v>
      </c>
      <c r="AI21" s="76">
        <f t="shared" si="15"/>
        <v>44.720000000000006</v>
      </c>
      <c r="AJ21" s="76">
        <f>J21*Pricing!Q17</f>
        <v>0</v>
      </c>
      <c r="AK21" s="76">
        <f>J21*Pricing!R17</f>
        <v>0</v>
      </c>
      <c r="AL21" s="76">
        <f t="shared" si="16"/>
        <v>1334.2193279999997</v>
      </c>
      <c r="AM21" s="77">
        <f t="shared" si="17"/>
        <v>0</v>
      </c>
      <c r="AN21" s="76">
        <f t="shared" si="18"/>
        <v>1067.3754623999998</v>
      </c>
      <c r="AO21" s="72">
        <f t="shared" si="19"/>
        <v>10636.923857700453</v>
      </c>
      <c r="AP21" s="74">
        <f t="shared" si="20"/>
        <v>13296.154822125565</v>
      </c>
      <c r="AQ21" s="74">
        <f t="shared" ref="AQ21:AQ26" si="61">(AO21+AP21)*$AQ$6</f>
        <v>0</v>
      </c>
      <c r="AR21" s="74">
        <f t="shared" si="22"/>
        <v>19308.344100801936</v>
      </c>
      <c r="AS21" s="72">
        <f t="shared" si="23"/>
        <v>28817.432030226017</v>
      </c>
      <c r="AT21" s="72">
        <f t="shared" si="24"/>
        <v>23248.864100801937</v>
      </c>
      <c r="AU21" s="78">
        <f t="shared" ref="AU21:AU26" si="62">AT21/10.764</f>
        <v>2159.8721758455908</v>
      </c>
      <c r="AV21" s="79">
        <f t="shared" si="26"/>
        <v>1.3593513926859457E-2</v>
      </c>
      <c r="AW21" s="80">
        <f t="shared" si="27"/>
        <v>737.25378385848671</v>
      </c>
      <c r="AX21" s="81">
        <f t="shared" si="28"/>
        <v>1422.6183919871041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91.184663999999998</v>
      </c>
      <c r="I109" s="87">
        <f>SUM(I8:I108)</f>
        <v>14</v>
      </c>
      <c r="J109" s="88">
        <f>SUM(J8:J108)</f>
        <v>91.184663999999998</v>
      </c>
      <c r="K109" s="89">
        <f>SUM(K8:K108)</f>
        <v>981.51172329599979</v>
      </c>
      <c r="L109" s="88">
        <f>SUM(L8:L8)</f>
        <v>0</v>
      </c>
      <c r="M109" s="88"/>
      <c r="N109" s="88"/>
      <c r="O109" s="88"/>
      <c r="P109" s="87">
        <f>SUM(P8:P108)</f>
        <v>684198.05000000016</v>
      </c>
      <c r="Q109" s="88">
        <f t="shared" ref="Q109:AE109" si="156">SUM(Q8:Q108)</f>
        <v>68419.805000000008</v>
      </c>
      <c r="R109" s="88">
        <f t="shared" si="156"/>
        <v>82787.964049999995</v>
      </c>
      <c r="S109" s="88">
        <f t="shared" si="156"/>
        <v>4177.0290952500009</v>
      </c>
      <c r="T109" s="88">
        <f t="shared" si="156"/>
        <v>8395.8284814525014</v>
      </c>
      <c r="U109" s="88">
        <f t="shared" si="156"/>
        <v>847978.67662670254</v>
      </c>
      <c r="V109" s="88">
        <f t="shared" si="156"/>
        <v>12719.680149400534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102131.99990400001</v>
      </c>
      <c r="AE109" s="88">
        <f t="shared" si="156"/>
        <v>11144.262295081968</v>
      </c>
      <c r="AF109" s="407">
        <f>SUM(AF8:AG108)</f>
        <v>11420.639999999998</v>
      </c>
      <c r="AG109" s="408"/>
      <c r="AH109" s="88">
        <f t="shared" ref="AH109:AQ109" si="157">SUM(AH8:AH108)</f>
        <v>407.88000000000005</v>
      </c>
      <c r="AI109" s="88">
        <f t="shared" si="157"/>
        <v>1359.6000000000001</v>
      </c>
      <c r="AJ109" s="88">
        <f t="shared" ref="AJ109" si="158">SUM(AJ8:AJ108)</f>
        <v>20103.259737599998</v>
      </c>
      <c r="AK109" s="88">
        <f t="shared" si="157"/>
        <v>79252.111411199992</v>
      </c>
      <c r="AL109" s="88">
        <f t="shared" si="157"/>
        <v>98151.172329599998</v>
      </c>
      <c r="AM109" s="88">
        <f t="shared" si="157"/>
        <v>0</v>
      </c>
      <c r="AN109" s="88">
        <f t="shared" si="157"/>
        <v>78520.93786368001</v>
      </c>
      <c r="AO109" s="88">
        <f t="shared" si="157"/>
        <v>885030.73907118489</v>
      </c>
      <c r="AP109" s="88">
        <f t="shared" si="157"/>
        <v>1106288.4238389812</v>
      </c>
      <c r="AQ109" s="88">
        <f t="shared" si="157"/>
        <v>0</v>
      </c>
      <c r="AR109" s="88"/>
      <c r="AS109" s="87">
        <f>SUM(AS8:AS108)</f>
        <v>2369478.6441562469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11420.639999999998</v>
      </c>
      <c r="AW110" s="84"/>
    </row>
    <row r="111" spans="2:54">
      <c r="AF111" s="174"/>
      <c r="AG111" s="174"/>
      <c r="AH111" s="174">
        <f>SUM(AE109:AI109,AC109)</f>
        <v>24332.382295081963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M9" sqref="M9:N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8" style="122" customWidth="1"/>
    <col min="6" max="6" width="51.140625" style="122" customWidth="1"/>
    <col min="7" max="7" width="18.7109375" style="122" customWidth="1"/>
    <col min="8" max="8" width="29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ABPL-DE-19.20-2149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Ramya Satish</v>
      </c>
      <c r="G7" s="460"/>
      <c r="H7" s="460"/>
      <c r="I7" s="460"/>
      <c r="J7" s="461"/>
      <c r="K7" s="437" t="s">
        <v>104</v>
      </c>
      <c r="L7" s="429"/>
      <c r="M7" s="434">
        <f>'BD Team'!J3</f>
        <v>43684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Bangalore</v>
      </c>
      <c r="G8" s="462" t="s">
        <v>180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477</v>
      </c>
      <c r="N8" s="179">
        <v>43689</v>
      </c>
    </row>
    <row r="9" spans="2:15" ht="24.95" customHeight="1">
      <c r="B9" s="428" t="s">
        <v>169</v>
      </c>
      <c r="C9" s="429"/>
      <c r="D9" s="429"/>
      <c r="E9" s="429"/>
      <c r="F9" s="460" t="str">
        <f>'BD Team'!E4</f>
        <v>Mr. Prasanth : 9591855724</v>
      </c>
      <c r="G9" s="460"/>
      <c r="H9" s="460"/>
      <c r="I9" s="460"/>
      <c r="J9" s="461"/>
      <c r="K9" s="437" t="s">
        <v>179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Wood Effect</v>
      </c>
      <c r="G10" s="442" t="s">
        <v>178</v>
      </c>
      <c r="H10" s="443"/>
      <c r="I10" s="440" t="str">
        <f>'BD Team'!G5</f>
        <v>Black</v>
      </c>
      <c r="J10" s="441"/>
      <c r="K10" s="438" t="s">
        <v>373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D3-WD</v>
      </c>
      <c r="E16" s="187" t="str">
        <f>Pricing!C4</f>
        <v>M15000</v>
      </c>
      <c r="F16" s="187" t="str">
        <f>Pricing!D4</f>
        <v>FRENCH DOOR WITH TOP FIXED</v>
      </c>
      <c r="G16" s="187" t="str">
        <f>Pricing!N4</f>
        <v>6MM</v>
      </c>
      <c r="H16" s="187" t="str">
        <f>Pricing!F4</f>
        <v>08A - GF - DINING</v>
      </c>
      <c r="I16" s="216" t="str">
        <f>Pricing!E4</f>
        <v>NO</v>
      </c>
      <c r="J16" s="216">
        <f>Pricing!G4</f>
        <v>2440</v>
      </c>
      <c r="K16" s="216">
        <f>Pricing!H4</f>
        <v>3354</v>
      </c>
      <c r="L16" s="216">
        <f>Pricing!I4</f>
        <v>1</v>
      </c>
      <c r="M16" s="188">
        <f t="shared" ref="M16:M24" si="0">J16*K16*L16/1000000</f>
        <v>8.1837599999999995</v>
      </c>
      <c r="N16" s="189">
        <f>'Cost Calculation'!AS8</f>
        <v>193670.62483636456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SD1-WD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6MM</v>
      </c>
      <c r="H17" s="187" t="str">
        <f>Pricing!F5</f>
        <v>08B - GF - GBR</v>
      </c>
      <c r="I17" s="216" t="str">
        <f>Pricing!E5</f>
        <v>SS</v>
      </c>
      <c r="J17" s="216">
        <f>Pricing!G5</f>
        <v>1380</v>
      </c>
      <c r="K17" s="216">
        <f>Pricing!H5</f>
        <v>2440</v>
      </c>
      <c r="L17" s="216">
        <f>Pricing!I5</f>
        <v>1</v>
      </c>
      <c r="M17" s="188">
        <f t="shared" si="0"/>
        <v>3.3672</v>
      </c>
      <c r="N17" s="189">
        <f>'Cost Calculation'!AS9</f>
        <v>124872.61115000042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SD2-WD</v>
      </c>
      <c r="E18" s="187" t="str">
        <f>Pricing!C6</f>
        <v>M14600</v>
      </c>
      <c r="F18" s="187" t="str">
        <f>Pricing!D6</f>
        <v>3 TRACK 2 SHUTTER SLIDING DOOR</v>
      </c>
      <c r="G18" s="187" t="str">
        <f>Pricing!N6</f>
        <v>6MM</v>
      </c>
      <c r="H18" s="187" t="str">
        <f>Pricing!F6</f>
        <v>08C - FF - MBR</v>
      </c>
      <c r="I18" s="216" t="str">
        <f>Pricing!E6</f>
        <v>SS</v>
      </c>
      <c r="J18" s="216">
        <f>Pricing!G6</f>
        <v>2744</v>
      </c>
      <c r="K18" s="216">
        <f>Pricing!H6</f>
        <v>2440</v>
      </c>
      <c r="L18" s="216">
        <f>Pricing!I6</f>
        <v>1</v>
      </c>
      <c r="M18" s="188">
        <f t="shared" si="0"/>
        <v>6.69536</v>
      </c>
      <c r="N18" s="189">
        <f>'Cost Calculation'!AS10</f>
        <v>162189.18231859308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SD3-WD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6MM</v>
      </c>
      <c r="H19" s="187" t="str">
        <f>Pricing!F7</f>
        <v>08D - FF -BEDROOM 2</v>
      </c>
      <c r="I19" s="216" t="str">
        <f>Pricing!E7</f>
        <v>SS</v>
      </c>
      <c r="J19" s="216">
        <f>Pricing!G7</f>
        <v>2440</v>
      </c>
      <c r="K19" s="216">
        <f>Pricing!H7</f>
        <v>2134</v>
      </c>
      <c r="L19" s="216">
        <f>Pricing!I7</f>
        <v>1</v>
      </c>
      <c r="M19" s="188">
        <f t="shared" si="0"/>
        <v>5.2069599999999996</v>
      </c>
      <c r="N19" s="189">
        <f>'Cost Calculation'!AS11</f>
        <v>144263.27778641027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GL1-WD</v>
      </c>
      <c r="E20" s="187" t="str">
        <f>Pricing!C8</f>
        <v>M14600 &amp; M15000</v>
      </c>
      <c r="F20" s="187" t="str">
        <f>Pricing!D8</f>
        <v>3 TRACK 3 SHUTTER SLIDING DOOR WITH TOP FIXED</v>
      </c>
      <c r="G20" s="187" t="str">
        <f>Pricing!N8</f>
        <v>8MM &amp; 6MM</v>
      </c>
      <c r="H20" s="187" t="str">
        <f>Pricing!F8</f>
        <v>08E - GF - LOUNGE</v>
      </c>
      <c r="I20" s="216" t="str">
        <f>Pricing!E8</f>
        <v>RETRACTABLE</v>
      </c>
      <c r="J20" s="216">
        <f>Pricing!G8</f>
        <v>5488</v>
      </c>
      <c r="K20" s="216">
        <f>Pricing!H8</f>
        <v>3354</v>
      </c>
      <c r="L20" s="216">
        <f>Pricing!I8</f>
        <v>1</v>
      </c>
      <c r="M20" s="188">
        <f t="shared" si="0"/>
        <v>18.406752000000001</v>
      </c>
      <c r="N20" s="189">
        <f>'Cost Calculation'!AS12</f>
        <v>435438.72279622871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GL2-WD</v>
      </c>
      <c r="E21" s="187" t="str">
        <f>Pricing!C9</f>
        <v>M15000</v>
      </c>
      <c r="F21" s="187" t="str">
        <f>Pricing!D9</f>
        <v>2 SIDE HUNG WINDOWS WITH 7 FIXED</v>
      </c>
      <c r="G21" s="187" t="str">
        <f>Pricing!N9</f>
        <v>6MM</v>
      </c>
      <c r="H21" s="187" t="str">
        <f>Pricing!F9</f>
        <v>08F - GF - LOUNGE</v>
      </c>
      <c r="I21" s="216" t="str">
        <f>Pricing!E9</f>
        <v>NO</v>
      </c>
      <c r="J21" s="216">
        <f>Pricing!G9</f>
        <v>4040</v>
      </c>
      <c r="K21" s="216">
        <f>Pricing!H9</f>
        <v>3252</v>
      </c>
      <c r="L21" s="216">
        <f>Pricing!I9</f>
        <v>1</v>
      </c>
      <c r="M21" s="188">
        <f t="shared" si="0"/>
        <v>13.13808</v>
      </c>
      <c r="N21" s="189">
        <f>'Cost Calculation'!AS13</f>
        <v>394021.15764760599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W6A</v>
      </c>
      <c r="E22" s="187" t="str">
        <f>Pricing!C10</f>
        <v>M15000</v>
      </c>
      <c r="F22" s="187" t="str">
        <f>Pricing!D10</f>
        <v>FIXED GLASS 3 NO'S</v>
      </c>
      <c r="G22" s="187" t="str">
        <f>Pricing!N10</f>
        <v>6MM</v>
      </c>
      <c r="H22" s="187" t="str">
        <f>Pricing!F10</f>
        <v>08G - GF - DINING</v>
      </c>
      <c r="I22" s="216" t="str">
        <f>Pricing!E10</f>
        <v>NO</v>
      </c>
      <c r="J22" s="216">
        <f>Pricing!G10</f>
        <v>1652</v>
      </c>
      <c r="K22" s="216">
        <f>Pricing!H10</f>
        <v>3252</v>
      </c>
      <c r="L22" s="216">
        <f>Pricing!I10</f>
        <v>1</v>
      </c>
      <c r="M22" s="188">
        <f t="shared" si="0"/>
        <v>5.3723039999999997</v>
      </c>
      <c r="N22" s="189">
        <f>'Cost Calculation'!AS14</f>
        <v>74674.021618011422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W6B</v>
      </c>
      <c r="E23" s="187" t="str">
        <f>Pricing!C11</f>
        <v>M15000</v>
      </c>
      <c r="F23" s="187" t="str">
        <f>Pricing!D11</f>
        <v>FIXED GLASS 3 NO'S</v>
      </c>
      <c r="G23" s="187" t="str">
        <f>Pricing!N11</f>
        <v>6MM</v>
      </c>
      <c r="H23" s="187" t="str">
        <f>Pricing!F11</f>
        <v>08G - GF - DINING</v>
      </c>
      <c r="I23" s="216" t="str">
        <f>Pricing!E11</f>
        <v>NO</v>
      </c>
      <c r="J23" s="216">
        <f>Pricing!G11</f>
        <v>1702</v>
      </c>
      <c r="K23" s="216">
        <f>Pricing!H11</f>
        <v>3252</v>
      </c>
      <c r="L23" s="216">
        <f>Pricing!I11</f>
        <v>1</v>
      </c>
      <c r="M23" s="188">
        <f t="shared" si="0"/>
        <v>5.534904</v>
      </c>
      <c r="N23" s="189">
        <f>'Cost Calculation'!AS15</f>
        <v>76054.430968718298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W9A</v>
      </c>
      <c r="E24" s="187" t="str">
        <f>Pricing!C12</f>
        <v>M14600 &amp; M15000</v>
      </c>
      <c r="F24" s="187" t="str">
        <f>Pricing!D12</f>
        <v>3 TRACK 2 SHUTTER SLIDING DOOR WITH 4 FIXED</v>
      </c>
      <c r="G24" s="187" t="str">
        <f>Pricing!N12</f>
        <v>6MM</v>
      </c>
      <c r="H24" s="187" t="str">
        <f>Pricing!F12</f>
        <v>08I - FF - STAIRCASE</v>
      </c>
      <c r="I24" s="216" t="str">
        <f>Pricing!E12</f>
        <v>SS</v>
      </c>
      <c r="J24" s="216">
        <f>Pricing!G12</f>
        <v>2592</v>
      </c>
      <c r="K24" s="216">
        <f>Pricing!H12</f>
        <v>3556</v>
      </c>
      <c r="L24" s="216">
        <f>Pricing!I12</f>
        <v>1</v>
      </c>
      <c r="M24" s="188">
        <f t="shared" si="0"/>
        <v>9.2171520000000005</v>
      </c>
      <c r="N24" s="189">
        <f>'Cost Calculation'!AS16</f>
        <v>273953.96692550939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W9B</v>
      </c>
      <c r="E25" s="187" t="str">
        <f>Pricing!C13</f>
        <v>M14600 &amp; M15000</v>
      </c>
      <c r="F25" s="187" t="str">
        <f>Pricing!D13</f>
        <v>3 TRACK 2 SHUTTER SLIDING DOOR WITH 7 FIXED</v>
      </c>
      <c r="G25" s="187" t="str">
        <f>Pricing!N13</f>
        <v>6MM</v>
      </c>
      <c r="H25" s="187" t="str">
        <f>Pricing!F13</f>
        <v>08J - SF - STAIRCASE</v>
      </c>
      <c r="I25" s="216" t="str">
        <f>Pricing!E13</f>
        <v>SS</v>
      </c>
      <c r="J25" s="216">
        <f>Pricing!G13</f>
        <v>2592</v>
      </c>
      <c r="K25" s="216">
        <f>Pricing!H13</f>
        <v>4318</v>
      </c>
      <c r="L25" s="216">
        <f>Pricing!I13</f>
        <v>1</v>
      </c>
      <c r="M25" s="188">
        <f t="shared" ref="M25:M42" si="1">J25*K25*L25/1000000</f>
        <v>11.192256</v>
      </c>
      <c r="N25" s="189">
        <f>'Cost Calculation'!AS17</f>
        <v>331762.19755612762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V1</v>
      </c>
      <c r="E26" s="187" t="str">
        <f>Pricing!C14</f>
        <v>M940</v>
      </c>
      <c r="F26" s="187" t="str">
        <f>Pricing!D14</f>
        <v>2 FIXED GLASS WITH EXHAUST PROVISION</v>
      </c>
      <c r="G26" s="187" t="str">
        <f>Pricing!N14</f>
        <v>6MM (F)</v>
      </c>
      <c r="H26" s="187" t="str">
        <f>Pricing!F14</f>
        <v>GF - GUEST TOILET</v>
      </c>
      <c r="I26" s="216" t="str">
        <f>Pricing!E14</f>
        <v>NO</v>
      </c>
      <c r="J26" s="216">
        <f>Pricing!G14</f>
        <v>1678</v>
      </c>
      <c r="K26" s="216">
        <f>Pricing!H14</f>
        <v>916</v>
      </c>
      <c r="L26" s="216">
        <f>Pricing!I14</f>
        <v>1</v>
      </c>
      <c r="M26" s="188">
        <f t="shared" si="1"/>
        <v>1.537048</v>
      </c>
      <c r="N26" s="189">
        <f>'Cost Calculation'!AS18</f>
        <v>30578.86760287076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V2</v>
      </c>
      <c r="E27" s="187" t="str">
        <f>Pricing!C15</f>
        <v>M940</v>
      </c>
      <c r="F27" s="187" t="str">
        <f>Pricing!D15</f>
        <v>FIXED GLASS WITH EXHAUST PROVISION</v>
      </c>
      <c r="G27" s="187" t="str">
        <f>Pricing!N15</f>
        <v>6MM (F)</v>
      </c>
      <c r="H27" s="187" t="str">
        <f>Pricing!F15</f>
        <v>FF - BEDROOM TOILET</v>
      </c>
      <c r="I27" s="216" t="str">
        <f>Pricing!E15</f>
        <v>NO</v>
      </c>
      <c r="J27" s="216">
        <f>Pricing!G15</f>
        <v>458</v>
      </c>
      <c r="K27" s="216">
        <f>Pricing!H15</f>
        <v>916</v>
      </c>
      <c r="L27" s="216">
        <f>Pricing!I15</f>
        <v>1</v>
      </c>
      <c r="M27" s="188">
        <f t="shared" si="1"/>
        <v>0.41952800000000001</v>
      </c>
      <c r="N27" s="189">
        <f>'Cost Calculation'!AS19</f>
        <v>13004.804192137228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V3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6MM (F)</v>
      </c>
      <c r="H28" s="187" t="str">
        <f>Pricing!F16</f>
        <v>FF - MASTER WARDROBE</v>
      </c>
      <c r="I28" s="216" t="str">
        <f>Pricing!E16</f>
        <v>SS</v>
      </c>
      <c r="J28" s="216">
        <f>Pricing!G16</f>
        <v>2744</v>
      </c>
      <c r="K28" s="216">
        <f>Pricing!H16</f>
        <v>610</v>
      </c>
      <c r="L28" s="216">
        <f>Pricing!I16</f>
        <v>1</v>
      </c>
      <c r="M28" s="188">
        <f t="shared" si="1"/>
        <v>1.67384</v>
      </c>
      <c r="N28" s="189">
        <f>'Cost Calculation'!AS20</f>
        <v>86177.346727442666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V4</v>
      </c>
      <c r="E29" s="187" t="str">
        <f>Pricing!C17</f>
        <v>M940</v>
      </c>
      <c r="F29" s="187" t="str">
        <f>Pricing!D17</f>
        <v>2 FIXED GLASS WITH EXHAUST PROVISION</v>
      </c>
      <c r="G29" s="187" t="str">
        <f>Pricing!N17</f>
        <v>6MM (F)</v>
      </c>
      <c r="H29" s="187" t="str">
        <f>Pricing!F17</f>
        <v>GF - POWDER ROOM</v>
      </c>
      <c r="I29" s="216" t="str">
        <f>Pricing!E17</f>
        <v>NO</v>
      </c>
      <c r="J29" s="216">
        <f>Pricing!G17</f>
        <v>1016</v>
      </c>
      <c r="K29" s="216">
        <f>Pricing!H17</f>
        <v>1220</v>
      </c>
      <c r="L29" s="216">
        <f>Pricing!I17</f>
        <v>1</v>
      </c>
      <c r="M29" s="188">
        <f t="shared" si="1"/>
        <v>1.23952</v>
      </c>
      <c r="N29" s="189">
        <f>'Cost Calculation'!AS21</f>
        <v>28817.432030226017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14</v>
      </c>
      <c r="M116" s="191">
        <f>SUM(M16:M115)</f>
        <v>91.184663999999998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2369479</v>
      </c>
      <c r="O117" s="95">
        <f>N117/SUM(M116)</f>
        <v>25985.499052779316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426506</v>
      </c>
      <c r="O118" s="95">
        <f>N118/SUM(M116)</f>
        <v>4677.3874168138627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2795985</v>
      </c>
      <c r="O119" s="95">
        <f>N119/SUM(M116)</f>
        <v>30662.886469593177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2414.1117663302971</v>
      </c>
    </row>
    <row r="121" spans="2:15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4" t="s">
        <v>475</v>
      </c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472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473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474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25" t="s">
        <v>140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  <c r="O128" s="138"/>
    </row>
    <row r="129" spans="2:14" s="93" customFormat="1" ht="24.95" customHeight="1">
      <c r="B129" s="410">
        <v>1</v>
      </c>
      <c r="C129" s="411"/>
      <c r="D129" s="412" t="s">
        <v>364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388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14" t="s">
        <v>404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0">
        <v>4</v>
      </c>
      <c r="C132" s="411"/>
      <c r="D132" s="414" t="s">
        <v>405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0">
        <v>1</v>
      </c>
      <c r="C134" s="411"/>
      <c r="D134" s="412" t="s">
        <v>142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143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0">
        <v>1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2</v>
      </c>
      <c r="C140" s="411"/>
      <c r="D140" s="412" t="s">
        <v>401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3</v>
      </c>
      <c r="C141" s="411"/>
      <c r="D141" s="412" t="s">
        <v>148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4</v>
      </c>
      <c r="C142" s="411"/>
      <c r="D142" s="412" t="s">
        <v>149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5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6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135" customHeight="1">
      <c r="B147" s="410">
        <v>2</v>
      </c>
      <c r="C147" s="411"/>
      <c r="D147" s="499" t="s">
        <v>154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0">
        <v>3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24.95" customHeight="1">
      <c r="B149" s="410">
        <v>4</v>
      </c>
      <c r="C149" s="411"/>
      <c r="D149" s="412" t="s">
        <v>156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140" customFormat="1" ht="30" customHeight="1">
      <c r="B150" s="496" t="s">
        <v>157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0">
        <v>1</v>
      </c>
      <c r="C151" s="411"/>
      <c r="D151" s="412" t="s">
        <v>158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55.9" customHeight="1">
      <c r="B152" s="410">
        <v>2</v>
      </c>
      <c r="C152" s="411"/>
      <c r="D152" s="499" t="s">
        <v>159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160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0">
        <v>1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0">
        <v>2</v>
      </c>
      <c r="C155" s="411"/>
      <c r="D155" s="474" t="s">
        <v>162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0">
        <v>3</v>
      </c>
      <c r="C156" s="411"/>
      <c r="D156" s="493" t="s">
        <v>163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0">
        <v>4</v>
      </c>
      <c r="C157" s="411"/>
      <c r="D157" s="474" t="s">
        <v>164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165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0">
        <v>1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2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3</v>
      </c>
      <c r="C161" s="411"/>
      <c r="D161" s="474" t="s">
        <v>168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0">
        <v>4</v>
      </c>
      <c r="C162" s="411"/>
      <c r="D162" s="474" t="s">
        <v>400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241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205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R1</v>
      </c>
      <c r="E2" s="307">
        <f>QUOTATION!N8</f>
        <v>43689</v>
      </c>
      <c r="F2" s="518" t="s">
        <v>245</v>
      </c>
      <c r="G2" s="518"/>
    </row>
    <row r="3" spans="3:13">
      <c r="C3" s="297" t="s">
        <v>126</v>
      </c>
      <c r="D3" s="519" t="str">
        <f>QUOTATION!F7</f>
        <v>Ramya Satish</v>
      </c>
      <c r="E3" s="519"/>
      <c r="F3" s="522" t="s">
        <v>246</v>
      </c>
      <c r="G3" s="523">
        <f>QUOTATION!N8</f>
        <v>43689</v>
      </c>
    </row>
    <row r="4" spans="3:13">
      <c r="C4" s="297" t="s">
        <v>243</v>
      </c>
      <c r="D4" s="520" t="str">
        <f>QUOTATION!M6</f>
        <v>ABPL-DE-19.20-2149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169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Wood Effect</v>
      </c>
      <c r="E8" s="519"/>
      <c r="F8" s="522"/>
      <c r="G8" s="524"/>
    </row>
    <row r="9" spans="3:13">
      <c r="C9" s="297" t="s">
        <v>178</v>
      </c>
      <c r="D9" s="519" t="str">
        <f>QUOTATION!I10</f>
        <v>Black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43684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8243.3499999999985</v>
      </c>
      <c r="F14" s="205"/>
      <c r="G14" s="206">
        <f>E14</f>
        <v>8243.3499999999985</v>
      </c>
    </row>
    <row r="15" spans="3:13">
      <c r="C15" s="194" t="s">
        <v>235</v>
      </c>
      <c r="D15" s="296">
        <f>'Changable Values'!D4</f>
        <v>83</v>
      </c>
      <c r="E15" s="199">
        <f>E14*D15</f>
        <v>684198.04999999993</v>
      </c>
      <c r="F15" s="205"/>
      <c r="G15" s="207">
        <f>E15</f>
        <v>684198.04999999993</v>
      </c>
    </row>
    <row r="16" spans="3:13">
      <c r="C16" s="195" t="s">
        <v>97</v>
      </c>
      <c r="D16" s="200">
        <f>'Changable Values'!D5</f>
        <v>0.1</v>
      </c>
      <c r="E16" s="199">
        <f>E15*D16</f>
        <v>68419.804999999993</v>
      </c>
      <c r="F16" s="208">
        <f>'Changable Values'!D5</f>
        <v>0.1</v>
      </c>
      <c r="G16" s="207">
        <f>G15*F16</f>
        <v>68419.804999999993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82787.964049999995</v>
      </c>
      <c r="F17" s="208">
        <f>'Changable Values'!D6</f>
        <v>0.11</v>
      </c>
      <c r="G17" s="207">
        <f>SUM(G15:G16)*F17</f>
        <v>82787.964049999995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4177.02909525</v>
      </c>
      <c r="F18" s="208">
        <f>'Changable Values'!D7</f>
        <v>5.0000000000000001E-3</v>
      </c>
      <c r="G18" s="207">
        <f>SUM(G15:G17)*F18</f>
        <v>4177.02909525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8395.8284814524995</v>
      </c>
      <c r="F19" s="208">
        <f>'Changable Values'!D8</f>
        <v>0.01</v>
      </c>
      <c r="G19" s="207">
        <f>SUM(G15:G18)*F19</f>
        <v>8395.8284814524995</v>
      </c>
    </row>
    <row r="20" spans="3:7">
      <c r="C20" s="195" t="s">
        <v>99</v>
      </c>
      <c r="D20" s="201"/>
      <c r="E20" s="199">
        <f>SUM(E15:E19)</f>
        <v>847978.67662670242</v>
      </c>
      <c r="F20" s="208"/>
      <c r="G20" s="207">
        <f>SUM(G15:G19)</f>
        <v>847978.67662670242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12719.680149400536</v>
      </c>
      <c r="F21" s="208">
        <f>'Changable Values'!D9</f>
        <v>1.4999999999999999E-2</v>
      </c>
      <c r="G21" s="207">
        <f>G20*F21</f>
        <v>12719.680149400536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102131.99990400001</v>
      </c>
      <c r="F23" s="209"/>
      <c r="G23" s="207">
        <f t="shared" si="0"/>
        <v>102131.99990400001</v>
      </c>
    </row>
    <row r="24" spans="3:7">
      <c r="C24" s="195" t="s">
        <v>230</v>
      </c>
      <c r="D24" s="198"/>
      <c r="E24" s="199">
        <f>'Cost Calculation'!AH111</f>
        <v>24332.382295081963</v>
      </c>
      <c r="F24" s="209"/>
      <c r="G24" s="207">
        <f t="shared" si="0"/>
        <v>24332.382295081963</v>
      </c>
    </row>
    <row r="25" spans="3:7">
      <c r="C25" s="196" t="s">
        <v>238</v>
      </c>
      <c r="D25" s="198"/>
      <c r="E25" s="199">
        <f>'Cost Calculation'!AJ109</f>
        <v>20103.259737599998</v>
      </c>
      <c r="F25" s="209"/>
      <c r="G25" s="207">
        <f t="shared" si="0"/>
        <v>20103.259737599998</v>
      </c>
    </row>
    <row r="26" spans="3:7">
      <c r="C26" s="196" t="s">
        <v>239</v>
      </c>
      <c r="D26" s="198"/>
      <c r="E26" s="199">
        <f>'Cost Calculation'!AK109</f>
        <v>79252.111411199992</v>
      </c>
      <c r="F26" s="209"/>
      <c r="G26" s="207">
        <f t="shared" si="0"/>
        <v>79252.111411199992</v>
      </c>
    </row>
    <row r="27" spans="3:7">
      <c r="C27" s="195" t="s">
        <v>86</v>
      </c>
      <c r="D27" s="198"/>
      <c r="E27" s="199">
        <f>'Cost Calculation'!AL109</f>
        <v>98151.172329599998</v>
      </c>
      <c r="F27" s="209"/>
      <c r="G27" s="207">
        <f t="shared" si="0"/>
        <v>98151.172329599998</v>
      </c>
    </row>
    <row r="28" spans="3:7">
      <c r="C28" s="195" t="s">
        <v>88</v>
      </c>
      <c r="D28" s="198"/>
      <c r="E28" s="199">
        <f>'Cost Calculation'!AN109</f>
        <v>78520.93786368001</v>
      </c>
      <c r="F28" s="209"/>
      <c r="G28" s="207">
        <f t="shared" si="0"/>
        <v>78520.93786368001</v>
      </c>
    </row>
    <row r="29" spans="3:7">
      <c r="C29" s="293" t="s">
        <v>378</v>
      </c>
      <c r="D29" s="294"/>
      <c r="E29" s="295">
        <f>SUM(E20:E28)</f>
        <v>1263190.2203172648</v>
      </c>
      <c r="F29" s="209"/>
      <c r="G29" s="207">
        <f>SUM(G20:G21,G24)</f>
        <v>885030.73907118489</v>
      </c>
    </row>
    <row r="30" spans="3:7">
      <c r="C30" s="293" t="s">
        <v>379</v>
      </c>
      <c r="D30" s="294"/>
      <c r="E30" s="295">
        <f>E29/E33</f>
        <v>1286.9843429636935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1106288.423838981</v>
      </c>
      <c r="F31" s="214">
        <f>'Changable Values'!D23</f>
        <v>1.25</v>
      </c>
      <c r="G31" s="207">
        <f>G29*F31</f>
        <v>1106288.4238389812</v>
      </c>
    </row>
    <row r="32" spans="3:7">
      <c r="C32" s="290" t="s">
        <v>5</v>
      </c>
      <c r="D32" s="291"/>
      <c r="E32" s="292">
        <f>E31+E29</f>
        <v>2369478.6441562455</v>
      </c>
      <c r="F32" s="205"/>
      <c r="G32" s="207">
        <f>SUM(G25:G31,G22:G23)</f>
        <v>2369478.6441562464</v>
      </c>
    </row>
    <row r="33" spans="3:7">
      <c r="C33" s="300" t="s">
        <v>231</v>
      </c>
      <c r="D33" s="301"/>
      <c r="E33" s="308">
        <f>'Cost Calculation'!K109</f>
        <v>981.51172329599979</v>
      </c>
      <c r="F33" s="210"/>
      <c r="G33" s="211">
        <f>E33</f>
        <v>981.51172329599979</v>
      </c>
    </row>
    <row r="34" spans="3:7">
      <c r="C34" s="302" t="s">
        <v>9</v>
      </c>
      <c r="D34" s="303"/>
      <c r="E34" s="304">
        <f>QUOTATION!L116</f>
        <v>14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2414.1114037836805</v>
      </c>
      <c r="F35" s="212"/>
      <c r="G35" s="213">
        <f>G32/(G33)</f>
        <v>2414.1114037836815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2019-08-12T07:07:54Z</cp:lastPrinted>
  <dcterms:created xsi:type="dcterms:W3CDTF">2010-12-18T06:34:46Z</dcterms:created>
  <dcterms:modified xsi:type="dcterms:W3CDTF">2019-08-13T08:52:17Z</dcterms:modified>
</cp:coreProperties>
</file>